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ate Newhart\Documents\"/>
    </mc:Choice>
  </mc:AlternateContent>
  <xr:revisionPtr revIDLastSave="0" documentId="13_ncr:1_{B0599487-25F8-4364-B511-6ECF76E86809}" xr6:coauthVersionLast="36" xr6:coauthVersionMax="36" xr10:uidLastSave="{00000000-0000-0000-0000-000000000000}"/>
  <bookViews>
    <workbookView xWindow="0" yWindow="0" windowWidth="23040" windowHeight="10008" xr2:uid="{00000000-000D-0000-FFFF-FFFF00000000}"/>
  </bookViews>
  <sheets>
    <sheet name="Plots" sheetId="10" r:id="rId1"/>
    <sheet name="5-13 1130" sheetId="2" r:id="rId2"/>
    <sheet name="5-15 0830" sheetId="3" r:id="rId3"/>
    <sheet name="5-22 1045" sheetId="5" r:id="rId4"/>
    <sheet name="5-28 1430" sheetId="6" r:id="rId5"/>
    <sheet name="5-29 1500" sheetId="7" r:id="rId6"/>
    <sheet name="All data" sheetId="8" r:id="rId7"/>
    <sheet name="Plot data" sheetId="9" r:id="rId8"/>
  </sheets>
  <definedNames>
    <definedName name="solver_adj" localSheetId="7" hidden="1">'Plot data'!$B$19:$B$21</definedName>
    <definedName name="solver_cvg" localSheetId="7" hidden="1">0.0001</definedName>
    <definedName name="solver_drv" localSheetId="7" hidden="1">1</definedName>
    <definedName name="solver_eng" localSheetId="7" hidden="1">1</definedName>
    <definedName name="solver_est" localSheetId="7" hidden="1">1</definedName>
    <definedName name="solver_itr" localSheetId="7" hidden="1">2147483647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0</definedName>
    <definedName name="solver_nwt" localSheetId="7" hidden="1">1</definedName>
    <definedName name="solver_opt" localSheetId="7" hidden="1">'Plot data'!$B$22</definedName>
    <definedName name="solver_pre" localSheetId="7" hidden="1">0.000001</definedName>
    <definedName name="solver_rbv" localSheetId="7" hidden="1">1</definedName>
    <definedName name="solver_rlx" localSheetId="7" hidden="1">2</definedName>
    <definedName name="solver_rsd" localSheetId="7" hidden="1">0</definedName>
    <definedName name="solver_scl" localSheetId="7" hidden="1">1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2</definedName>
    <definedName name="solver_val" localSheetId="7" hidden="1">0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9" i="9" l="1"/>
  <c r="L29" i="9"/>
  <c r="K30" i="9"/>
  <c r="L30" i="9"/>
  <c r="K31" i="9"/>
  <c r="L31" i="9"/>
  <c r="K32" i="9"/>
  <c r="L32" i="9"/>
  <c r="K33" i="9"/>
  <c r="L33" i="9"/>
  <c r="K34" i="9"/>
  <c r="L34" i="9"/>
  <c r="K35" i="9"/>
  <c r="L35" i="9"/>
  <c r="K36" i="9"/>
  <c r="L36" i="9"/>
  <c r="K37" i="9"/>
  <c r="L37" i="9"/>
  <c r="K38" i="9"/>
  <c r="L38" i="9"/>
  <c r="K39" i="9"/>
  <c r="L39" i="9"/>
  <c r="K40" i="9"/>
  <c r="L40" i="9"/>
  <c r="K41" i="9"/>
  <c r="L41" i="9"/>
  <c r="K42" i="9"/>
  <c r="L42" i="9"/>
  <c r="K43" i="9"/>
  <c r="L43" i="9"/>
  <c r="K44" i="9"/>
  <c r="L44" i="9"/>
  <c r="K45" i="9"/>
  <c r="L45" i="9"/>
  <c r="K46" i="9"/>
  <c r="L46" i="9"/>
  <c r="K47" i="9"/>
  <c r="L47" i="9"/>
  <c r="K48" i="9"/>
  <c r="L48" i="9"/>
  <c r="K49" i="9"/>
  <c r="L49" i="9"/>
  <c r="K50" i="9"/>
  <c r="L50" i="9"/>
  <c r="K51" i="9"/>
  <c r="L51" i="9"/>
  <c r="K52" i="9"/>
  <c r="L52" i="9"/>
  <c r="K53" i="9"/>
  <c r="L53" i="9"/>
  <c r="K54" i="9"/>
  <c r="L54" i="9"/>
  <c r="K55" i="9"/>
  <c r="L55" i="9"/>
  <c r="K56" i="9"/>
  <c r="L56" i="9"/>
  <c r="K57" i="9"/>
  <c r="L57" i="9"/>
  <c r="K58" i="9"/>
  <c r="L58" i="9"/>
  <c r="K60" i="9"/>
  <c r="L60" i="9"/>
  <c r="K61" i="9"/>
  <c r="L61" i="9"/>
  <c r="K62" i="9"/>
  <c r="L62" i="9"/>
  <c r="BX16" i="9"/>
  <c r="BX12" i="9"/>
  <c r="BX9" i="9"/>
  <c r="BX7" i="9"/>
  <c r="BX6" i="9"/>
  <c r="AW16" i="9"/>
  <c r="AW14" i="9"/>
  <c r="AW7" i="9"/>
  <c r="AW8" i="9"/>
  <c r="AW9" i="9"/>
  <c r="AW10" i="9"/>
  <c r="AW11" i="9"/>
  <c r="AW12" i="9"/>
  <c r="AW6" i="9"/>
  <c r="BX14" i="9"/>
  <c r="AD16" i="9"/>
  <c r="AD14" i="9"/>
  <c r="AD7" i="9"/>
  <c r="AD8" i="9"/>
  <c r="AD9" i="9"/>
  <c r="AD10" i="9"/>
  <c r="AD11" i="9"/>
  <c r="AD12" i="9"/>
  <c r="AD6" i="9"/>
  <c r="K16" i="9"/>
  <c r="K14" i="9"/>
  <c r="K7" i="9"/>
  <c r="K8" i="9"/>
  <c r="K9" i="9"/>
  <c r="K10" i="9"/>
  <c r="K11" i="9"/>
  <c r="K12" i="9"/>
  <c r="K6" i="9"/>
  <c r="BX17" i="9" l="1"/>
  <c r="AW17" i="9"/>
  <c r="AD17" i="9"/>
  <c r="BW16" i="9"/>
  <c r="BW14" i="9"/>
  <c r="BW12" i="9"/>
  <c r="BW9" i="9"/>
  <c r="BW7" i="9"/>
  <c r="BW6" i="9"/>
  <c r="BN16" i="9"/>
  <c r="BN14" i="9"/>
  <c r="BN7" i="9"/>
  <c r="BN8" i="9"/>
  <c r="BN9" i="9"/>
  <c r="BN10" i="9"/>
  <c r="BN11" i="9"/>
  <c r="BN12" i="9"/>
  <c r="BN6" i="9"/>
  <c r="BR16" i="9"/>
  <c r="BR14" i="9"/>
  <c r="BR12" i="9"/>
  <c r="BR11" i="9"/>
  <c r="BR9" i="9"/>
  <c r="BR7" i="9"/>
  <c r="BR6" i="9"/>
  <c r="BR5" i="9"/>
  <c r="BJ16" i="9"/>
  <c r="BJ14" i="9"/>
  <c r="BJ12" i="9"/>
  <c r="BJ11" i="9"/>
  <c r="BJ10" i="9"/>
  <c r="BJ9" i="9"/>
  <c r="BJ8" i="9"/>
  <c r="BJ7" i="9"/>
  <c r="BJ6" i="9"/>
  <c r="BJ5" i="9"/>
  <c r="AV16" i="9"/>
  <c r="AV14" i="9"/>
  <c r="AV7" i="9"/>
  <c r="AV8" i="9"/>
  <c r="AV9" i="9"/>
  <c r="AV10" i="9"/>
  <c r="AV11" i="9"/>
  <c r="AV12" i="9"/>
  <c r="AV6" i="9"/>
  <c r="AQ16" i="9"/>
  <c r="AQ14" i="9"/>
  <c r="AQ12" i="9"/>
  <c r="AQ11" i="9"/>
  <c r="AQ10" i="9"/>
  <c r="AQ9" i="9"/>
  <c r="AQ8" i="9"/>
  <c r="AQ7" i="9"/>
  <c r="AQ6" i="9"/>
  <c r="AQ5" i="9"/>
  <c r="AC16" i="9"/>
  <c r="AC14" i="9"/>
  <c r="AC7" i="9"/>
  <c r="AC8" i="9"/>
  <c r="AC9" i="9"/>
  <c r="AC10" i="9"/>
  <c r="AC11" i="9"/>
  <c r="AC12" i="9"/>
  <c r="AC6" i="9"/>
  <c r="X16" i="9"/>
  <c r="X14" i="9"/>
  <c r="X12" i="9"/>
  <c r="X11" i="9"/>
  <c r="X10" i="9"/>
  <c r="X9" i="9"/>
  <c r="X8" i="9"/>
  <c r="X7" i="9"/>
  <c r="X6" i="9"/>
  <c r="X5" i="9"/>
  <c r="J16" i="9"/>
  <c r="J14" i="9"/>
  <c r="J7" i="9"/>
  <c r="J8" i="9"/>
  <c r="J9" i="9"/>
  <c r="J10" i="9"/>
  <c r="J11" i="9"/>
  <c r="J12" i="9"/>
  <c r="J6" i="9"/>
  <c r="K17" i="9" s="1"/>
  <c r="E6" i="9"/>
  <c r="E7" i="9"/>
  <c r="E8" i="9"/>
  <c r="E9" i="9"/>
  <c r="E10" i="9"/>
  <c r="E11" i="9"/>
  <c r="E12" i="9"/>
  <c r="E14" i="9"/>
  <c r="E16" i="9"/>
  <c r="E5" i="9"/>
  <c r="BK11" i="9"/>
  <c r="BK7" i="9"/>
  <c r="BK14" i="9"/>
  <c r="BK9" i="9"/>
  <c r="BK16" i="9"/>
  <c r="BK12" i="9"/>
  <c r="BK8" i="9"/>
  <c r="BK5" i="9"/>
  <c r="BK10" i="9"/>
  <c r="BK6" i="9"/>
  <c r="BT16" i="9" l="1"/>
  <c r="G62" i="9" s="1"/>
  <c r="BT12" i="9"/>
  <c r="G60" i="9" s="1"/>
  <c r="BT6" i="9"/>
  <c r="G56" i="9" s="1"/>
  <c r="BT14" i="9"/>
  <c r="G61" i="9" s="1"/>
  <c r="BL6" i="9"/>
  <c r="BL12" i="9"/>
  <c r="BL16" i="9"/>
  <c r="BL14" i="9"/>
  <c r="AS12" i="9"/>
  <c r="G53" i="9" s="1"/>
  <c r="AS16" i="9"/>
  <c r="G55" i="9" s="1"/>
  <c r="AS6" i="9"/>
  <c r="G47" i="9" s="1"/>
  <c r="AS14" i="9"/>
  <c r="G54" i="9" s="1"/>
  <c r="Z16" i="9"/>
  <c r="G46" i="9" s="1"/>
  <c r="Z12" i="9"/>
  <c r="G44" i="9" s="1"/>
  <c r="Z6" i="9"/>
  <c r="G38" i="9" s="1"/>
  <c r="Z14" i="9"/>
  <c r="G45" i="9" s="1"/>
  <c r="BL15" i="9" l="1"/>
  <c r="BT9" i="9"/>
  <c r="BU6" i="9"/>
  <c r="H56" i="9" s="1"/>
  <c r="BL13" i="9"/>
  <c r="BL9" i="9"/>
  <c r="BL7" i="9" s="1"/>
  <c r="BL8" i="9" s="1"/>
  <c r="BM6" i="9"/>
  <c r="AS9" i="9"/>
  <c r="AT6" i="9"/>
  <c r="H47" i="9" s="1"/>
  <c r="Z9" i="9"/>
  <c r="AA6" i="9"/>
  <c r="H38" i="9" s="1"/>
  <c r="BT7" i="9" l="1"/>
  <c r="G57" i="9" s="1"/>
  <c r="G58" i="9"/>
  <c r="AS7" i="9"/>
  <c r="AT7" i="9" s="1"/>
  <c r="H48" i="9" s="1"/>
  <c r="G50" i="9"/>
  <c r="Z7" i="9"/>
  <c r="AA7" i="9" s="1"/>
  <c r="H39" i="9" s="1"/>
  <c r="G41" i="9"/>
  <c r="AY6" i="9"/>
  <c r="AX6" i="9"/>
  <c r="AF6" i="9"/>
  <c r="AE6" i="9"/>
  <c r="BZ6" i="9"/>
  <c r="BY6" i="9"/>
  <c r="BM7" i="9"/>
  <c r="BM8" i="9" s="1"/>
  <c r="BM9" i="9" s="1"/>
  <c r="BU7" i="9"/>
  <c r="H57" i="9" s="1"/>
  <c r="BT11" i="9"/>
  <c r="BL11" i="9"/>
  <c r="BL10" i="9" s="1"/>
  <c r="AS11" i="9"/>
  <c r="Z11" i="9"/>
  <c r="BU11" i="9" l="1"/>
  <c r="G59" i="9"/>
  <c r="AS10" i="9"/>
  <c r="G51" i="9" s="1"/>
  <c r="G52" i="9"/>
  <c r="AS8" i="9"/>
  <c r="G49" i="9" s="1"/>
  <c r="G48" i="9"/>
  <c r="Z10" i="9"/>
  <c r="G42" i="9" s="1"/>
  <c r="G43" i="9"/>
  <c r="Z8" i="9"/>
  <c r="G40" i="9" s="1"/>
  <c r="G39" i="9"/>
  <c r="AG6" i="9"/>
  <c r="AJ6" i="9"/>
  <c r="AK6" i="9" s="1"/>
  <c r="AZ6" i="9"/>
  <c r="BC6" i="9"/>
  <c r="BD6" i="9" s="1"/>
  <c r="CA6" i="9"/>
  <c r="CD6" i="9"/>
  <c r="CE6" i="9" s="1"/>
  <c r="BU9" i="9"/>
  <c r="H58" i="9" s="1"/>
  <c r="BZ7" i="9"/>
  <c r="BY7" i="9"/>
  <c r="AY7" i="9"/>
  <c r="AX7" i="9"/>
  <c r="AF7" i="9"/>
  <c r="AE7" i="9"/>
  <c r="BM10" i="9"/>
  <c r="BM11" i="9" s="1"/>
  <c r="BM12" i="9" s="1"/>
  <c r="BM14" i="9" s="1"/>
  <c r="BM16" i="9" s="1"/>
  <c r="BU12" i="9" l="1"/>
  <c r="H59" i="9"/>
  <c r="AT8" i="9"/>
  <c r="H49" i="9" s="1"/>
  <c r="AA8" i="9"/>
  <c r="H40" i="9" s="1"/>
  <c r="AG7" i="9"/>
  <c r="AJ7" i="9"/>
  <c r="AK7" i="9" s="1"/>
  <c r="AZ7" i="9"/>
  <c r="BC7" i="9"/>
  <c r="BD7" i="9" s="1"/>
  <c r="CA7" i="9"/>
  <c r="CD7" i="9"/>
  <c r="CE7" i="9" s="1"/>
  <c r="BZ9" i="9"/>
  <c r="BY9" i="9"/>
  <c r="G6" i="9"/>
  <c r="G16" i="9"/>
  <c r="G37" i="9" s="1"/>
  <c r="G12" i="9"/>
  <c r="G35" i="9" s="1"/>
  <c r="G14" i="9"/>
  <c r="G36" i="9" s="1"/>
  <c r="AE8" i="9" l="1"/>
  <c r="AF8" i="9"/>
  <c r="AG8" i="9" s="1"/>
  <c r="AA9" i="9"/>
  <c r="H41" i="9" s="1"/>
  <c r="H60" i="9"/>
  <c r="BY12" i="9"/>
  <c r="BZ12" i="9"/>
  <c r="BU14" i="9"/>
  <c r="AX8" i="9"/>
  <c r="AY8" i="9"/>
  <c r="BC8" i="9" s="1"/>
  <c r="BD8" i="9" s="1"/>
  <c r="AT9" i="9"/>
  <c r="H50" i="9" s="1"/>
  <c r="H6" i="9"/>
  <c r="L6" i="9" s="1"/>
  <c r="G29" i="9"/>
  <c r="CA9" i="9"/>
  <c r="CD9" i="9"/>
  <c r="CE9" i="9" s="1"/>
  <c r="AA10" i="9"/>
  <c r="H42" i="9" s="1"/>
  <c r="G9" i="9"/>
  <c r="AF9" i="9" l="1"/>
  <c r="AG9" i="9" s="1"/>
  <c r="AE9" i="9"/>
  <c r="AJ8" i="9"/>
  <c r="AK8" i="9" s="1"/>
  <c r="AX9" i="9"/>
  <c r="AZ8" i="9"/>
  <c r="CA12" i="9"/>
  <c r="CD12" i="9"/>
  <c r="CE12" i="9" s="1"/>
  <c r="H61" i="9"/>
  <c r="BU16" i="9"/>
  <c r="BY14" i="9"/>
  <c r="BZ14" i="9"/>
  <c r="AT10" i="9"/>
  <c r="H51" i="9" s="1"/>
  <c r="AY9" i="9"/>
  <c r="BC9" i="9" s="1"/>
  <c r="BD9" i="9" s="1"/>
  <c r="M6" i="9"/>
  <c r="N6" i="9" s="1"/>
  <c r="H29" i="9"/>
  <c r="G7" i="9"/>
  <c r="G30" i="9" s="1"/>
  <c r="G32" i="9"/>
  <c r="AA11" i="9"/>
  <c r="H43" i="9" s="1"/>
  <c r="AE10" i="9"/>
  <c r="AF10" i="9"/>
  <c r="G11" i="9"/>
  <c r="AJ9" i="9" l="1"/>
  <c r="AK9" i="9" s="1"/>
  <c r="CA14" i="9"/>
  <c r="CD14" i="9"/>
  <c r="CE14" i="9" s="1"/>
  <c r="AY10" i="9"/>
  <c r="AZ10" i="9" s="1"/>
  <c r="AX10" i="9"/>
  <c r="E25" i="9"/>
  <c r="H62" i="9"/>
  <c r="E26" i="9"/>
  <c r="BZ16" i="9"/>
  <c r="BY16" i="9"/>
  <c r="BY17" i="9" s="1"/>
  <c r="BX18" i="9" s="1"/>
  <c r="AT11" i="9"/>
  <c r="H52" i="9" s="1"/>
  <c r="AZ9" i="9"/>
  <c r="G8" i="9"/>
  <c r="G31" i="9" s="1"/>
  <c r="Q6" i="9"/>
  <c r="R6" i="9" s="1"/>
  <c r="H7" i="9"/>
  <c r="H30" i="9" s="1"/>
  <c r="G10" i="9"/>
  <c r="G33" i="9" s="1"/>
  <c r="G34" i="9"/>
  <c r="AG10" i="9"/>
  <c r="AJ10" i="9"/>
  <c r="AK10" i="9" s="1"/>
  <c r="AA12" i="9"/>
  <c r="H44" i="9" s="1"/>
  <c r="AE11" i="9"/>
  <c r="AF11" i="9"/>
  <c r="BC10" i="9" l="1"/>
  <c r="BD10" i="9" s="1"/>
  <c r="CD16" i="9"/>
  <c r="CE16" i="9" s="1"/>
  <c r="CA16" i="9"/>
  <c r="AY11" i="9"/>
  <c r="BC11" i="9" s="1"/>
  <c r="BD11" i="9" s="1"/>
  <c r="AX11" i="9"/>
  <c r="AT12" i="9"/>
  <c r="H53" i="9" s="1"/>
  <c r="L7" i="9"/>
  <c r="M7" i="9"/>
  <c r="H8" i="9"/>
  <c r="M8" i="9" s="1"/>
  <c r="N8" i="9" s="1"/>
  <c r="AG11" i="9"/>
  <c r="AJ11" i="9"/>
  <c r="AK11" i="9" s="1"/>
  <c r="AA14" i="9"/>
  <c r="H45" i="9" s="1"/>
  <c r="AF12" i="9"/>
  <c r="AE12" i="9"/>
  <c r="AZ11" i="9" l="1"/>
  <c r="L8" i="9"/>
  <c r="H9" i="9"/>
  <c r="H32" i="9" s="1"/>
  <c r="H31" i="9"/>
  <c r="AY12" i="9"/>
  <c r="BC12" i="9" s="1"/>
  <c r="BD12" i="9" s="1"/>
  <c r="AX12" i="9"/>
  <c r="AT14" i="9"/>
  <c r="H54" i="9" s="1"/>
  <c r="Q7" i="9"/>
  <c r="R7" i="9" s="1"/>
  <c r="N7" i="9"/>
  <c r="Q8" i="9"/>
  <c r="R8" i="9" s="1"/>
  <c r="AG12" i="9"/>
  <c r="AJ12" i="9"/>
  <c r="AK12" i="9" s="1"/>
  <c r="AA16" i="9"/>
  <c r="H46" i="9" s="1"/>
  <c r="AE14" i="9"/>
  <c r="AF14" i="9"/>
  <c r="H10" i="9" l="1"/>
  <c r="H33" i="9" s="1"/>
  <c r="AZ12" i="9"/>
  <c r="M9" i="9"/>
  <c r="L9" i="9"/>
  <c r="AX14" i="9"/>
  <c r="AY14" i="9"/>
  <c r="AZ14" i="9" s="1"/>
  <c r="AT16" i="9"/>
  <c r="H55" i="9" s="1"/>
  <c r="C26" i="9"/>
  <c r="C25" i="9"/>
  <c r="AG14" i="9"/>
  <c r="AJ14" i="9"/>
  <c r="AK14" i="9" s="1"/>
  <c r="AF16" i="9"/>
  <c r="AE16" i="9"/>
  <c r="AE17" i="9" s="1"/>
  <c r="AD18" i="9" s="1"/>
  <c r="L10" i="9"/>
  <c r="H11" i="9" l="1"/>
  <c r="H12" i="9" s="1"/>
  <c r="M10" i="9"/>
  <c r="N10" i="9" s="1"/>
  <c r="BC14" i="9"/>
  <c r="BD14" i="9" s="1"/>
  <c r="AX16" i="9"/>
  <c r="AX17" i="9" s="1"/>
  <c r="AW18" i="9" s="1"/>
  <c r="AY16" i="9"/>
  <c r="AZ16" i="9" s="1"/>
  <c r="D26" i="9"/>
  <c r="D25" i="9"/>
  <c r="M11" i="9"/>
  <c r="Q11" i="9" s="1"/>
  <c r="R11" i="9" s="1"/>
  <c r="AG16" i="9"/>
  <c r="AJ16" i="9"/>
  <c r="AK16" i="9" s="1"/>
  <c r="H34" i="9" l="1"/>
  <c r="L11" i="9"/>
  <c r="Q10" i="9"/>
  <c r="R10" i="9" s="1"/>
  <c r="BC16" i="9"/>
  <c r="BD16" i="9" s="1"/>
  <c r="N11" i="9"/>
  <c r="M12" i="9"/>
  <c r="N12" i="9" s="1"/>
  <c r="H35" i="9"/>
  <c r="H14" i="9"/>
  <c r="L12" i="9"/>
  <c r="Q12" i="9" l="1"/>
  <c r="R12" i="9" s="1"/>
  <c r="M14" i="9"/>
  <c r="N14" i="9" s="1"/>
  <c r="H36" i="9"/>
  <c r="H16" i="9"/>
  <c r="L14" i="9"/>
  <c r="Q14" i="9" l="1"/>
  <c r="R14" i="9" s="1"/>
  <c r="H37" i="9"/>
  <c r="M16" i="9"/>
  <c r="B26" i="9"/>
  <c r="B25" i="9"/>
  <c r="L16" i="9"/>
  <c r="L17" i="9" s="1"/>
  <c r="K18" i="9" s="1"/>
  <c r="B22" i="9" s="1"/>
  <c r="Q9" i="9" s="1"/>
  <c r="R9" i="9" s="1"/>
  <c r="N9" i="9" l="1"/>
  <c r="N16" i="9"/>
  <c r="Q16" i="9"/>
  <c r="R16" i="9" s="1"/>
  <c r="B30" i="9" a="1"/>
  <c r="C30" i="9" s="1"/>
  <c r="B30" i="9" l="1"/>
  <c r="D30" i="9"/>
  <c r="B31" i="9" a="1"/>
  <c r="C31" i="9" s="1"/>
  <c r="D31" i="9" l="1"/>
  <c r="B31" i="9"/>
  <c r="B32" i="9" a="1"/>
  <c r="D32" i="9" s="1"/>
  <c r="B33" i="9" a="1"/>
  <c r="D33" i="9" s="1"/>
  <c r="B34" i="9" a="1"/>
  <c r="B34" i="9" s="1"/>
  <c r="C33" i="9" l="1"/>
  <c r="B33" i="9"/>
  <c r="C32" i="9"/>
  <c r="B32" i="9"/>
  <c r="D34" i="9"/>
  <c r="C34" i="9"/>
  <c r="AB16" i="9" s="1"/>
  <c r="AH16" i="9" l="1"/>
  <c r="AU10" i="9"/>
  <c r="I48" i="9"/>
  <c r="J48" i="9" s="1"/>
  <c r="BV9" i="9"/>
  <c r="BV6" i="9"/>
  <c r="CB6" i="9" s="1"/>
  <c r="AB6" i="9"/>
  <c r="BV11" i="9"/>
  <c r="AB7" i="9"/>
  <c r="BV7" i="9"/>
  <c r="I39" i="9"/>
  <c r="J39" i="9" s="1"/>
  <c r="AU16" i="9"/>
  <c r="BV12" i="9"/>
  <c r="I40" i="9"/>
  <c r="J40" i="9" s="1"/>
  <c r="I14" i="9"/>
  <c r="O14" i="9" s="1"/>
  <c r="S14" i="9" s="1"/>
  <c r="M36" i="9" s="1"/>
  <c r="AU7" i="9"/>
  <c r="BV14" i="9"/>
  <c r="AU8" i="9"/>
  <c r="BV16" i="9"/>
  <c r="I11" i="9"/>
  <c r="O11" i="9" s="1"/>
  <c r="S11" i="9" s="1"/>
  <c r="M34" i="9" s="1"/>
  <c r="AU9" i="9"/>
  <c r="I8" i="9"/>
  <c r="O8" i="9" s="1"/>
  <c r="S8" i="9" s="1"/>
  <c r="M31" i="9" s="1"/>
  <c r="AU11" i="9"/>
  <c r="AU12" i="9"/>
  <c r="I50" i="9"/>
  <c r="J50" i="9" s="1"/>
  <c r="I6" i="9"/>
  <c r="O6" i="9" s="1"/>
  <c r="S6" i="9" s="1"/>
  <c r="M29" i="9" s="1"/>
  <c r="AB12" i="9"/>
  <c r="I58" i="9"/>
  <c r="J58" i="9" s="1"/>
  <c r="AB14" i="9"/>
  <c r="AU6" i="9"/>
  <c r="BA6" i="9" s="1"/>
  <c r="AU14" i="9"/>
  <c r="AB9" i="9"/>
  <c r="I12" i="9"/>
  <c r="O12" i="9" s="1"/>
  <c r="S12" i="9" s="1"/>
  <c r="M35" i="9" s="1"/>
  <c r="AB10" i="9"/>
  <c r="I32" i="9"/>
  <c r="J32" i="9" s="1"/>
  <c r="I7" i="9"/>
  <c r="O7" i="9" s="1"/>
  <c r="S7" i="9" s="1"/>
  <c r="M30" i="9" s="1"/>
  <c r="I9" i="9"/>
  <c r="O9" i="9" s="1"/>
  <c r="S9" i="9" s="1"/>
  <c r="M32" i="9" s="1"/>
  <c r="I10" i="9"/>
  <c r="O10" i="9" s="1"/>
  <c r="S10" i="9" s="1"/>
  <c r="M33" i="9" s="1"/>
  <c r="AB8" i="9"/>
  <c r="I45" i="9"/>
  <c r="J45" i="9" s="1"/>
  <c r="I16" i="9"/>
  <c r="O16" i="9" s="1"/>
  <c r="S16" i="9" s="1"/>
  <c r="M37" i="9" s="1"/>
  <c r="AB11" i="9"/>
  <c r="I33" i="9"/>
  <c r="J33" i="9" s="1"/>
  <c r="I54" i="9"/>
  <c r="J54" i="9" s="1"/>
  <c r="I49" i="9"/>
  <c r="J49" i="9" s="1"/>
  <c r="I51" i="9"/>
  <c r="J51" i="9" s="1"/>
  <c r="I41" i="9"/>
  <c r="J41" i="9" s="1"/>
  <c r="I47" i="9"/>
  <c r="J47" i="9" s="1"/>
  <c r="I34" i="9"/>
  <c r="J34" i="9" s="1"/>
  <c r="I43" i="9"/>
  <c r="J43" i="9" s="1"/>
  <c r="I30" i="9"/>
  <c r="J30" i="9" s="1"/>
  <c r="I36" i="9"/>
  <c r="J36" i="9" s="1"/>
  <c r="I46" i="9"/>
  <c r="J46" i="9" s="1"/>
  <c r="I57" i="9"/>
  <c r="J57" i="9" s="1"/>
  <c r="I44" i="9"/>
  <c r="J44" i="9" s="1"/>
  <c r="I38" i="9"/>
  <c r="J38" i="9" s="1"/>
  <c r="I62" i="9"/>
  <c r="J62" i="9" s="1"/>
  <c r="I60" i="9"/>
  <c r="J60" i="9" s="1"/>
  <c r="I52" i="9"/>
  <c r="J52" i="9" s="1"/>
  <c r="I31" i="9"/>
  <c r="J31" i="9" s="1"/>
  <c r="I37" i="9"/>
  <c r="J37" i="9" s="1"/>
  <c r="I35" i="9"/>
  <c r="J35" i="9" s="1"/>
  <c r="I59" i="9"/>
  <c r="J59" i="9" s="1"/>
  <c r="I55" i="9"/>
  <c r="J55" i="9" s="1"/>
  <c r="I56" i="9"/>
  <c r="J56" i="9" s="1"/>
  <c r="I42" i="9"/>
  <c r="J42" i="9" s="1"/>
  <c r="I61" i="9"/>
  <c r="J61" i="9" s="1"/>
  <c r="I53" i="9"/>
  <c r="J53" i="9" s="1"/>
  <c r="I29" i="9"/>
  <c r="J29" i="9" s="1"/>
  <c r="CC6" i="9" l="1"/>
  <c r="CF6" i="9"/>
  <c r="BB6" i="9"/>
  <c r="BE6" i="9"/>
  <c r="AI16" i="9"/>
  <c r="AL16" i="9"/>
  <c r="AH9" i="9"/>
  <c r="BA12" i="9"/>
  <c r="BA7" i="9"/>
  <c r="AH8" i="9"/>
  <c r="BA14" i="9"/>
  <c r="BA11" i="9"/>
  <c r="P14" i="9"/>
  <c r="T14" i="9"/>
  <c r="N36" i="9" s="1"/>
  <c r="AH6" i="9"/>
  <c r="P9" i="9"/>
  <c r="T9" i="9"/>
  <c r="N32" i="9" s="1"/>
  <c r="AH14" i="9"/>
  <c r="BA9" i="9"/>
  <c r="CB12" i="9"/>
  <c r="CB9" i="9"/>
  <c r="P10" i="9"/>
  <c r="T10" i="9"/>
  <c r="N33" i="9" s="1"/>
  <c r="P11" i="9"/>
  <c r="T11" i="9"/>
  <c r="N34" i="9" s="1"/>
  <c r="BA16" i="9"/>
  <c r="P7" i="9"/>
  <c r="T7" i="9"/>
  <c r="N30" i="9" s="1"/>
  <c r="AH12" i="9"/>
  <c r="CB16" i="9"/>
  <c r="BA10" i="9"/>
  <c r="P8" i="9"/>
  <c r="T8" i="9"/>
  <c r="N31" i="9" s="1"/>
  <c r="AH11" i="9"/>
  <c r="AH10" i="9"/>
  <c r="P6" i="9"/>
  <c r="T6" i="9"/>
  <c r="N29" i="9" s="1"/>
  <c r="BA8" i="9"/>
  <c r="CB7" i="9"/>
  <c r="P16" i="9"/>
  <c r="T16" i="9"/>
  <c r="N37" i="9" s="1"/>
  <c r="P12" i="9"/>
  <c r="T12" i="9"/>
  <c r="N35" i="9" s="1"/>
  <c r="CB14" i="9"/>
  <c r="AH7" i="9"/>
  <c r="AM16" i="9" l="1"/>
  <c r="N46" i="9" s="1"/>
  <c r="M46" i="9"/>
  <c r="BF6" i="9"/>
  <c r="N47" i="9" s="1"/>
  <c r="M47" i="9"/>
  <c r="CG6" i="9"/>
  <c r="N56" i="9" s="1"/>
  <c r="M56" i="9"/>
  <c r="CC16" i="9"/>
  <c r="CF16" i="9"/>
  <c r="CC7" i="9"/>
  <c r="CF7" i="9"/>
  <c r="CC9" i="9"/>
  <c r="CF9" i="9"/>
  <c r="CC14" i="9"/>
  <c r="CF14" i="9"/>
  <c r="CC12" i="9"/>
  <c r="CF12" i="9"/>
  <c r="BB10" i="9"/>
  <c r="BE10" i="9"/>
  <c r="BB14" i="9"/>
  <c r="BE14" i="9"/>
  <c r="BB16" i="9"/>
  <c r="BE16" i="9"/>
  <c r="BB12" i="9"/>
  <c r="BE12" i="9"/>
  <c r="BB9" i="9"/>
  <c r="BE9" i="9"/>
  <c r="BB7" i="9"/>
  <c r="BE7" i="9"/>
  <c r="BB8" i="9"/>
  <c r="BE8" i="9"/>
  <c r="BB11" i="9"/>
  <c r="BE11" i="9"/>
  <c r="AI14" i="9"/>
  <c r="AL14" i="9"/>
  <c r="AI8" i="9"/>
  <c r="AL8" i="9"/>
  <c r="AI6" i="9"/>
  <c r="AL6" i="9"/>
  <c r="AI9" i="9"/>
  <c r="AL9" i="9"/>
  <c r="AI10" i="9"/>
  <c r="AL10" i="9"/>
  <c r="AI11" i="9"/>
  <c r="AL11" i="9"/>
  <c r="AI7" i="9"/>
  <c r="AL7" i="9"/>
  <c r="AI12" i="9"/>
  <c r="AL12" i="9"/>
  <c r="AM9" i="9" l="1"/>
  <c r="N41" i="9" s="1"/>
  <c r="M41" i="9"/>
  <c r="BF11" i="9"/>
  <c r="N52" i="9" s="1"/>
  <c r="M52" i="9"/>
  <c r="CG16" i="9"/>
  <c r="N62" i="9" s="1"/>
  <c r="M62" i="9"/>
  <c r="AM6" i="9"/>
  <c r="N38" i="9" s="1"/>
  <c r="M38" i="9"/>
  <c r="AM11" i="9"/>
  <c r="N43" i="9" s="1"/>
  <c r="M43" i="9"/>
  <c r="AM8" i="9"/>
  <c r="N40" i="9" s="1"/>
  <c r="M40" i="9"/>
  <c r="BF7" i="9"/>
  <c r="N48" i="9" s="1"/>
  <c r="M48" i="9"/>
  <c r="BF14" i="9"/>
  <c r="N54" i="9" s="1"/>
  <c r="M54" i="9"/>
  <c r="CG9" i="9"/>
  <c r="N58" i="9" s="1"/>
  <c r="M58" i="9"/>
  <c r="CG12" i="9"/>
  <c r="N60" i="9" s="1"/>
  <c r="M60" i="9"/>
  <c r="BF8" i="9"/>
  <c r="N49" i="9" s="1"/>
  <c r="M49" i="9"/>
  <c r="AM12" i="9"/>
  <c r="N44" i="9" s="1"/>
  <c r="M44" i="9"/>
  <c r="BF12" i="9"/>
  <c r="N53" i="9" s="1"/>
  <c r="M53" i="9"/>
  <c r="AM7" i="9"/>
  <c r="N39" i="9" s="1"/>
  <c r="M39" i="9"/>
  <c r="CG14" i="9"/>
  <c r="N61" i="9" s="1"/>
  <c r="M61" i="9"/>
  <c r="AM10" i="9"/>
  <c r="N42" i="9" s="1"/>
  <c r="M42" i="9"/>
  <c r="AM14" i="9"/>
  <c r="N45" i="9" s="1"/>
  <c r="M45" i="9"/>
  <c r="BF9" i="9"/>
  <c r="N50" i="9" s="1"/>
  <c r="M50" i="9"/>
  <c r="BF10" i="9"/>
  <c r="N51" i="9" s="1"/>
  <c r="M51" i="9"/>
  <c r="CG7" i="9"/>
  <c r="N57" i="9" s="1"/>
  <c r="M57" i="9"/>
  <c r="BF16" i="9"/>
  <c r="N55" i="9" s="1"/>
  <c r="M55" i="9"/>
</calcChain>
</file>

<file path=xl/sharedStrings.xml><?xml version="1.0" encoding="utf-8"?>
<sst xmlns="http://schemas.openxmlformats.org/spreadsheetml/2006/main" count="352" uniqueCount="61">
  <si>
    <t>Location</t>
  </si>
  <si>
    <t>Time</t>
  </si>
  <si>
    <t>N_1Min</t>
  </si>
  <si>
    <t>N_PrePAA</t>
  </si>
  <si>
    <t>N_10Min</t>
  </si>
  <si>
    <t>N_30Min</t>
  </si>
  <si>
    <t>N_20Min</t>
  </si>
  <si>
    <t>-</t>
  </si>
  <si>
    <t>S_PrePAA</t>
  </si>
  <si>
    <t>S_1Min</t>
  </si>
  <si>
    <t>S_30Min</t>
  </si>
  <si>
    <t>PAA (mg/L)</t>
  </si>
  <si>
    <t>ECIDX (CFU/100mL)</t>
  </si>
  <si>
    <t>Tecta (CFU/100mL)</t>
  </si>
  <si>
    <t>N_1st Pass-1</t>
  </si>
  <si>
    <t>N_1st Pass-2</t>
  </si>
  <si>
    <t>N_1st Pass-3</t>
  </si>
  <si>
    <t>N_1st Pass-4</t>
  </si>
  <si>
    <t>N_1st Pass-5</t>
  </si>
  <si>
    <t>Date:</t>
  </si>
  <si>
    <t>neat</t>
  </si>
  <si>
    <t>1+99</t>
  </si>
  <si>
    <t>N_2nd Pass-3</t>
  </si>
  <si>
    <t>N_3rd Pass-3</t>
  </si>
  <si>
    <t>N_1 Min</t>
  </si>
  <si>
    <t>N_10 Min</t>
  </si>
  <si>
    <t>N_20 Min</t>
  </si>
  <si>
    <t>N_30 Min</t>
  </si>
  <si>
    <t>S_1 Min</t>
  </si>
  <si>
    <t>S_30 Min</t>
  </si>
  <si>
    <t>&gt;2420</t>
  </si>
  <si>
    <t>10+90</t>
  </si>
  <si>
    <t>E. coli (CFU/100mL)</t>
  </si>
  <si>
    <t>Datetime</t>
  </si>
  <si>
    <t>Flow</t>
  </si>
  <si>
    <t>HRT</t>
  </si>
  <si>
    <t>CT</t>
  </si>
  <si>
    <t>LOG(N0/N)</t>
  </si>
  <si>
    <t>LHS</t>
  </si>
  <si>
    <t>RHS</t>
  </si>
  <si>
    <t>beta</t>
  </si>
  <si>
    <t>kd</t>
  </si>
  <si>
    <t>kp</t>
  </si>
  <si>
    <t>SUM</t>
  </si>
  <si>
    <t>Difference</t>
  </si>
  <si>
    <t>Total Diff</t>
  </si>
  <si>
    <t>N_p</t>
  </si>
  <si>
    <t>% diff</t>
  </si>
  <si>
    <t>LOG(N0/N_p)</t>
  </si>
  <si>
    <t>Double Exponential</t>
  </si>
  <si>
    <t>CT(HRT)</t>
  </si>
  <si>
    <t>m</t>
  </si>
  <si>
    <t>b</t>
  </si>
  <si>
    <t>a</t>
  </si>
  <si>
    <t>c</t>
  </si>
  <si>
    <t>all</t>
  </si>
  <si>
    <t>Polynomial Regression of actual CT vs HRT</t>
  </si>
  <si>
    <t>CT_a</t>
  </si>
  <si>
    <t>CT_p</t>
  </si>
  <si>
    <t>CT_actual</t>
  </si>
  <si>
    <t>CT_predicted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</si>
</sst>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2" xfId="0" quotePrefix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4" fontId="0" fillId="0" borderId="1" xfId="0" applyNumberFormat="1" applyBorder="1"/>
    <xf numFmtId="20" fontId="0" fillId="0" borderId="2" xfId="0" applyNumberFormat="1" applyBorder="1"/>
    <xf numFmtId="0" fontId="1" fillId="0" borderId="2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 vertical="center"/>
    </xf>
    <xf numFmtId="0" fontId="0" fillId="0" borderId="4" xfId="0" applyBorder="1"/>
    <xf numFmtId="0" fontId="0" fillId="0" borderId="6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20" fontId="0" fillId="0" borderId="2" xfId="0" quotePrefix="1" applyNumberForma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16" xfId="0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0" fontId="0" fillId="0" borderId="11" xfId="0" applyNumberFormat="1" applyBorder="1"/>
    <xf numFmtId="0" fontId="1" fillId="0" borderId="18" xfId="0" quotePrefix="1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20" fontId="0" fillId="0" borderId="13" xfId="0" applyNumberFormat="1" applyBorder="1"/>
    <xf numFmtId="0" fontId="0" fillId="0" borderId="19" xfId="0" applyBorder="1"/>
    <xf numFmtId="20" fontId="0" fillId="0" borderId="11" xfId="0" quotePrefix="1" applyNumberFormat="1" applyBorder="1" applyAlignment="1">
      <alignment horizontal="center"/>
    </xf>
    <xf numFmtId="20" fontId="0" fillId="0" borderId="12" xfId="0" quotePrefix="1" applyNumberFormat="1" applyBorder="1" applyAlignment="1">
      <alignment horizontal="center"/>
    </xf>
    <xf numFmtId="0" fontId="0" fillId="0" borderId="20" xfId="0" applyBorder="1"/>
    <xf numFmtId="20" fontId="0" fillId="0" borderId="21" xfId="0" applyNumberFormat="1" applyBorder="1"/>
    <xf numFmtId="0" fontId="0" fillId="0" borderId="21" xfId="0" applyNumberFormat="1" applyBorder="1"/>
    <xf numFmtId="0" fontId="0" fillId="0" borderId="22" xfId="0" applyNumberFormat="1" applyBorder="1"/>
    <xf numFmtId="0" fontId="3" fillId="0" borderId="21" xfId="0" applyFont="1" applyBorder="1" applyAlignment="1">
      <alignment horizontal="center"/>
    </xf>
    <xf numFmtId="0" fontId="2" fillId="0" borderId="21" xfId="0" applyNumberFormat="1" applyFont="1" applyBorder="1"/>
    <xf numFmtId="0" fontId="2" fillId="0" borderId="12" xfId="0" applyFont="1" applyBorder="1"/>
    <xf numFmtId="0" fontId="2" fillId="0" borderId="12" xfId="0" applyFont="1" applyBorder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2" fontId="0" fillId="0" borderId="21" xfId="0" applyNumberFormat="1" applyBorder="1"/>
    <xf numFmtId="164" fontId="0" fillId="0" borderId="21" xfId="0" applyNumberFormat="1" applyBorder="1"/>
    <xf numFmtId="0" fontId="1" fillId="0" borderId="0" xfId="0" applyFont="1" applyBorder="1" applyAlignment="1">
      <alignment horizontal="center" vertical="center"/>
    </xf>
    <xf numFmtId="20" fontId="0" fillId="0" borderId="0" xfId="0" applyNumberFormat="1" applyBorder="1"/>
    <xf numFmtId="0" fontId="0" fillId="0" borderId="0" xfId="0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/>
    <xf numFmtId="0" fontId="0" fillId="0" borderId="22" xfId="0" applyBorder="1"/>
    <xf numFmtId="0" fontId="3" fillId="0" borderId="0" xfId="0" applyFont="1" applyFill="1" applyBorder="1" applyAlignment="1">
      <alignment horizontal="left" vertical="center"/>
    </xf>
    <xf numFmtId="2" fontId="0" fillId="0" borderId="0" xfId="0" applyNumberFormat="1"/>
    <xf numFmtId="2" fontId="0" fillId="0" borderId="22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&amp; CT vs HRT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69983470465543"/>
          <c:y val="0.17231126596980256"/>
          <c:w val="0.79169793772187103"/>
          <c:h val="0.62140159309354626"/>
        </c:manualLayout>
      </c:layout>
      <c:scatterChart>
        <c:scatterStyle val="lineMarker"/>
        <c:varyColors val="0"/>
        <c:ser>
          <c:idx val="0"/>
          <c:order val="0"/>
          <c:tx>
            <c:v>C - 5/13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data'!$G$6:$G$16</c:f>
              <c:numCache>
                <c:formatCode>General</c:formatCode>
                <c:ptCount val="11"/>
                <c:pt idx="0">
                  <c:v>1.9603354076558346</c:v>
                </c:pt>
                <c:pt idx="1">
                  <c:v>5.1477695187377694</c:v>
                </c:pt>
                <c:pt idx="2">
                  <c:v>6.7414865742787367</c:v>
                </c:pt>
                <c:pt idx="3">
                  <c:v>8.3352036298197039</c:v>
                </c:pt>
                <c:pt idx="4">
                  <c:v>9.9289206853606728</c:v>
                </c:pt>
                <c:pt idx="5">
                  <c:v>11.52263774090164</c:v>
                </c:pt>
                <c:pt idx="6">
                  <c:v>14.710071851983574</c:v>
                </c:pt>
                <c:pt idx="8">
                  <c:v>26.596785564942959</c:v>
                </c:pt>
                <c:pt idx="10">
                  <c:v>38.896101778255826</c:v>
                </c:pt>
              </c:numCache>
            </c:numRef>
          </c:xVal>
          <c:yVal>
            <c:numRef>
              <c:f>'Plot data'!$V$6:$V$16</c:f>
              <c:numCache>
                <c:formatCode>General</c:formatCode>
                <c:ptCount val="11"/>
                <c:pt idx="0">
                  <c:v>0.82</c:v>
                </c:pt>
                <c:pt idx="1">
                  <c:v>0.64</c:v>
                </c:pt>
                <c:pt idx="2">
                  <c:v>0.63</c:v>
                </c:pt>
                <c:pt idx="3">
                  <c:v>0.56999999999999995</c:v>
                </c:pt>
                <c:pt idx="4">
                  <c:v>0.53</c:v>
                </c:pt>
                <c:pt idx="5">
                  <c:v>0.49</c:v>
                </c:pt>
                <c:pt idx="6">
                  <c:v>0.45</c:v>
                </c:pt>
                <c:pt idx="7">
                  <c:v>0.44</c:v>
                </c:pt>
                <c:pt idx="8">
                  <c:v>0.34</c:v>
                </c:pt>
                <c:pt idx="9">
                  <c:v>0.16</c:v>
                </c:pt>
                <c:pt idx="10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51-4A30-AB6E-D8A772562EA8}"/>
            </c:ext>
          </c:extLst>
        </c:ser>
        <c:ser>
          <c:idx val="2"/>
          <c:order val="2"/>
          <c:tx>
            <c:v>C - 5/15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'Plot data'!$Z$6:$Z$16</c:f>
              <c:numCache>
                <c:formatCode>General</c:formatCode>
                <c:ptCount val="11"/>
                <c:pt idx="0">
                  <c:v>2.3508735292497764</c:v>
                </c:pt>
                <c:pt idx="1">
                  <c:v>7.059255490997538</c:v>
                </c:pt>
                <c:pt idx="2">
                  <c:v>9.4134464718714188</c:v>
                </c:pt>
                <c:pt idx="3">
                  <c:v>11.7676374527453</c:v>
                </c:pt>
                <c:pt idx="4">
                  <c:v>14.121828433619182</c:v>
                </c:pt>
                <c:pt idx="5">
                  <c:v>16.476019414493063</c:v>
                </c:pt>
                <c:pt idx="6">
                  <c:v>21.184401376240825</c:v>
                </c:pt>
                <c:pt idx="8">
                  <c:v>39.266322005651048</c:v>
                </c:pt>
                <c:pt idx="10">
                  <c:v>55.626957451205499</c:v>
                </c:pt>
              </c:numCache>
            </c:numRef>
          </c:xVal>
          <c:yVal>
            <c:numRef>
              <c:f>'Plot data'!$V$6:$V$16</c:f>
              <c:numCache>
                <c:formatCode>General</c:formatCode>
                <c:ptCount val="11"/>
                <c:pt idx="0">
                  <c:v>0.82</c:v>
                </c:pt>
                <c:pt idx="1">
                  <c:v>0.64</c:v>
                </c:pt>
                <c:pt idx="2">
                  <c:v>0.63</c:v>
                </c:pt>
                <c:pt idx="3">
                  <c:v>0.56999999999999995</c:v>
                </c:pt>
                <c:pt idx="4">
                  <c:v>0.53</c:v>
                </c:pt>
                <c:pt idx="5">
                  <c:v>0.49</c:v>
                </c:pt>
                <c:pt idx="6">
                  <c:v>0.45</c:v>
                </c:pt>
                <c:pt idx="7">
                  <c:v>0.44</c:v>
                </c:pt>
                <c:pt idx="8">
                  <c:v>0.34</c:v>
                </c:pt>
                <c:pt idx="9">
                  <c:v>0.16</c:v>
                </c:pt>
                <c:pt idx="10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51-4A30-AB6E-D8A772562EA8}"/>
            </c:ext>
          </c:extLst>
        </c:ser>
        <c:ser>
          <c:idx val="4"/>
          <c:order val="4"/>
          <c:tx>
            <c:v>C - 5/22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'Plot data'!$AS$6:$AS$16</c:f>
              <c:numCache>
                <c:formatCode>General</c:formatCode>
                <c:ptCount val="11"/>
                <c:pt idx="0">
                  <c:v>1.6597240711682213</c:v>
                </c:pt>
                <c:pt idx="1">
                  <c:v>4.2147460381320538</c:v>
                </c:pt>
                <c:pt idx="2">
                  <c:v>5.4922570216139697</c:v>
                </c:pt>
                <c:pt idx="3">
                  <c:v>6.7697680050958864</c:v>
                </c:pt>
                <c:pt idx="4">
                  <c:v>8.0472789885778031</c:v>
                </c:pt>
                <c:pt idx="5">
                  <c:v>9.3247899720597189</c:v>
                </c:pt>
                <c:pt idx="6">
                  <c:v>11.879811939023551</c:v>
                </c:pt>
                <c:pt idx="8">
                  <c:v>22.145612376461052</c:v>
                </c:pt>
                <c:pt idx="10">
                  <c:v>31.906729106242359</c:v>
                </c:pt>
              </c:numCache>
            </c:numRef>
          </c:xVal>
          <c:yVal>
            <c:numRef>
              <c:f>'Plot data'!$AO$6:$AO$16</c:f>
              <c:numCache>
                <c:formatCode>General</c:formatCode>
                <c:ptCount val="11"/>
                <c:pt idx="0">
                  <c:v>0.77</c:v>
                </c:pt>
                <c:pt idx="1">
                  <c:v>0.78</c:v>
                </c:pt>
                <c:pt idx="2">
                  <c:v>0.77</c:v>
                </c:pt>
                <c:pt idx="3">
                  <c:v>0.72</c:v>
                </c:pt>
                <c:pt idx="4">
                  <c:v>0.7</c:v>
                </c:pt>
                <c:pt idx="5">
                  <c:v>0.62</c:v>
                </c:pt>
                <c:pt idx="6">
                  <c:v>0.64</c:v>
                </c:pt>
                <c:pt idx="8">
                  <c:v>0.49</c:v>
                </c:pt>
                <c:pt idx="10">
                  <c:v>0.28000000000000003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51-4A30-AB6E-D8A772562EA8}"/>
            </c:ext>
          </c:extLst>
        </c:ser>
        <c:ser>
          <c:idx val="6"/>
          <c:order val="6"/>
          <c:tx>
            <c:v>C - 5/28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'Plot data'!$BL$6:$BL$16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'Plot data'!$BH$6:$BH$16</c:f>
              <c:numCache>
                <c:formatCode>General</c:formatCode>
                <c:ptCount val="11"/>
                <c:pt idx="0">
                  <c:v>0.78</c:v>
                </c:pt>
                <c:pt idx="1">
                  <c:v>0.76</c:v>
                </c:pt>
                <c:pt idx="2">
                  <c:v>0.8</c:v>
                </c:pt>
                <c:pt idx="3">
                  <c:v>0.77</c:v>
                </c:pt>
                <c:pt idx="4">
                  <c:v>0.73</c:v>
                </c:pt>
                <c:pt idx="5">
                  <c:v>0.72</c:v>
                </c:pt>
                <c:pt idx="6">
                  <c:v>0.65</c:v>
                </c:pt>
                <c:pt idx="8">
                  <c:v>0.57999999999999996</c:v>
                </c:pt>
                <c:pt idx="10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51-4A30-AB6E-D8A772562EA8}"/>
            </c:ext>
          </c:extLst>
        </c:ser>
        <c:ser>
          <c:idx val="8"/>
          <c:order val="8"/>
          <c:tx>
            <c:v>C - 5/29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'Plot data'!$BT$6:$BT$16</c:f>
              <c:numCache>
                <c:formatCode>General</c:formatCode>
                <c:ptCount val="11"/>
                <c:pt idx="0">
                  <c:v>1.6710508154902797</c:v>
                </c:pt>
                <c:pt idx="1">
                  <c:v>4.3678468817716922</c:v>
                </c:pt>
                <c:pt idx="3">
                  <c:v>7.0646429480531046</c:v>
                </c:pt>
                <c:pt idx="5">
                  <c:v>9.7614390143345169</c:v>
                </c:pt>
                <c:pt idx="6">
                  <c:v>12.458235080615928</c:v>
                </c:pt>
                <c:pt idx="8">
                  <c:v>22.454565398149221</c:v>
                </c:pt>
                <c:pt idx="10">
                  <c:v>33.124561208133208</c:v>
                </c:pt>
              </c:numCache>
            </c:numRef>
          </c:xVal>
          <c:yVal>
            <c:numRef>
              <c:f>'Plot data'!$BP$6:$BP$16</c:f>
              <c:numCache>
                <c:formatCode>General</c:formatCode>
                <c:ptCount val="11"/>
                <c:pt idx="0">
                  <c:v>0.59</c:v>
                </c:pt>
                <c:pt idx="1">
                  <c:v>0.56999999999999995</c:v>
                </c:pt>
                <c:pt idx="3">
                  <c:v>0.56999999999999995</c:v>
                </c:pt>
                <c:pt idx="5">
                  <c:v>0.5</c:v>
                </c:pt>
                <c:pt idx="6">
                  <c:v>0.47</c:v>
                </c:pt>
                <c:pt idx="8">
                  <c:v>0.37</c:v>
                </c:pt>
                <c:pt idx="10">
                  <c:v>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51-4A30-AB6E-D8A772562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076287"/>
        <c:axId val="332077951"/>
      </c:scatterChart>
      <c:scatterChart>
        <c:scatterStyle val="lineMarker"/>
        <c:varyColors val="0"/>
        <c:ser>
          <c:idx val="1"/>
          <c:order val="1"/>
          <c:tx>
            <c:v>CT - 5/13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'Plot data'!$G$6:$G$16</c:f>
              <c:numCache>
                <c:formatCode>General</c:formatCode>
                <c:ptCount val="11"/>
                <c:pt idx="0">
                  <c:v>1.9603354076558346</c:v>
                </c:pt>
                <c:pt idx="1">
                  <c:v>5.1477695187377694</c:v>
                </c:pt>
                <c:pt idx="2">
                  <c:v>6.7414865742787367</c:v>
                </c:pt>
                <c:pt idx="3">
                  <c:v>8.3352036298197039</c:v>
                </c:pt>
                <c:pt idx="4">
                  <c:v>9.9289206853606728</c:v>
                </c:pt>
                <c:pt idx="5">
                  <c:v>11.52263774090164</c:v>
                </c:pt>
                <c:pt idx="6">
                  <c:v>14.710071851983574</c:v>
                </c:pt>
                <c:pt idx="8">
                  <c:v>26.596785564942959</c:v>
                </c:pt>
                <c:pt idx="10">
                  <c:v>38.896101778255826</c:v>
                </c:pt>
              </c:numCache>
            </c:numRef>
          </c:xVal>
          <c:yVal>
            <c:numRef>
              <c:f>'Plot data'!$H$6:$H$16</c:f>
              <c:numCache>
                <c:formatCode>General</c:formatCode>
                <c:ptCount val="11"/>
                <c:pt idx="0">
                  <c:v>1.8623186372730427</c:v>
                </c:pt>
                <c:pt idx="1">
                  <c:v>4.0616481739195773</c:v>
                </c:pt>
                <c:pt idx="2">
                  <c:v>5.1613129422428443</c:v>
                </c:pt>
                <c:pt idx="3">
                  <c:v>6.2291033694552924</c:v>
                </c:pt>
                <c:pt idx="4">
                  <c:v>7.2331451144461028</c:v>
                </c:pt>
                <c:pt idx="5">
                  <c:v>8.2212496888815032</c:v>
                </c:pt>
                <c:pt idx="6">
                  <c:v>10.069961473309025</c:v>
                </c:pt>
                <c:pt idx="8">
                  <c:v>15.656716918399935</c:v>
                </c:pt>
                <c:pt idx="10">
                  <c:v>19.223518620260666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151-4A30-AB6E-D8A772562EA8}"/>
            </c:ext>
          </c:extLst>
        </c:ser>
        <c:ser>
          <c:idx val="3"/>
          <c:order val="3"/>
          <c:tx>
            <c:v>CT - 5/15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'Plot data'!$Z$6:$Z$16</c:f>
              <c:numCache>
                <c:formatCode>General</c:formatCode>
                <c:ptCount val="11"/>
                <c:pt idx="0">
                  <c:v>2.3508735292497764</c:v>
                </c:pt>
                <c:pt idx="1">
                  <c:v>7.059255490997538</c:v>
                </c:pt>
                <c:pt idx="2">
                  <c:v>9.4134464718714188</c:v>
                </c:pt>
                <c:pt idx="3">
                  <c:v>11.7676374527453</c:v>
                </c:pt>
                <c:pt idx="4">
                  <c:v>14.121828433619182</c:v>
                </c:pt>
                <c:pt idx="5">
                  <c:v>16.476019414493063</c:v>
                </c:pt>
                <c:pt idx="6">
                  <c:v>21.184401376240825</c:v>
                </c:pt>
                <c:pt idx="8">
                  <c:v>39.266322005651048</c:v>
                </c:pt>
                <c:pt idx="10">
                  <c:v>55.626957451205499</c:v>
                </c:pt>
              </c:numCache>
            </c:numRef>
          </c:xVal>
          <c:yVal>
            <c:numRef>
              <c:f>'Plot data'!$AA$6:$AA$16</c:f>
              <c:numCache>
                <c:formatCode>General</c:formatCode>
                <c:ptCount val="11"/>
                <c:pt idx="0">
                  <c:v>1.9277162939848165</c:v>
                </c:pt>
                <c:pt idx="1">
                  <c:v>4.9410807495033842</c:v>
                </c:pt>
                <c:pt idx="2">
                  <c:v>6.4242210674539288</c:v>
                </c:pt>
                <c:pt idx="3">
                  <c:v>7.7661099265520406</c:v>
                </c:pt>
                <c:pt idx="4">
                  <c:v>9.0138311464151979</c:v>
                </c:pt>
                <c:pt idx="5">
                  <c:v>10.1673847270434</c:v>
                </c:pt>
                <c:pt idx="6">
                  <c:v>12.286156609829893</c:v>
                </c:pt>
                <c:pt idx="8">
                  <c:v>18.434009623829368</c:v>
                </c:pt>
                <c:pt idx="10">
                  <c:v>20.724498586206991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151-4A30-AB6E-D8A772562EA8}"/>
            </c:ext>
          </c:extLst>
        </c:ser>
        <c:ser>
          <c:idx val="5"/>
          <c:order val="5"/>
          <c:tx>
            <c:v>CT - 5/22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'Plot data'!$AS$6:$AS$16</c:f>
              <c:numCache>
                <c:formatCode>General</c:formatCode>
                <c:ptCount val="11"/>
                <c:pt idx="0">
                  <c:v>1.6597240711682213</c:v>
                </c:pt>
                <c:pt idx="1">
                  <c:v>4.2147460381320538</c:v>
                </c:pt>
                <c:pt idx="2">
                  <c:v>5.4922570216139697</c:v>
                </c:pt>
                <c:pt idx="3">
                  <c:v>6.7697680050958864</c:v>
                </c:pt>
                <c:pt idx="4">
                  <c:v>8.0472789885778031</c:v>
                </c:pt>
                <c:pt idx="5">
                  <c:v>9.3247899720597189</c:v>
                </c:pt>
                <c:pt idx="6">
                  <c:v>11.879811939023551</c:v>
                </c:pt>
                <c:pt idx="8">
                  <c:v>22.145612376461052</c:v>
                </c:pt>
                <c:pt idx="10">
                  <c:v>31.906729106242359</c:v>
                </c:pt>
              </c:numCache>
            </c:numRef>
          </c:xVal>
          <c:yVal>
            <c:numRef>
              <c:f>'Plot data'!$AT$6:$AT$16</c:f>
              <c:numCache>
                <c:formatCode>General</c:formatCode>
                <c:ptCount val="11"/>
                <c:pt idx="0">
                  <c:v>1.2779875347995304</c:v>
                </c:pt>
                <c:pt idx="1">
                  <c:v>3.2709046690313199</c:v>
                </c:pt>
                <c:pt idx="2">
                  <c:v>4.2545881263123952</c:v>
                </c:pt>
                <c:pt idx="3">
                  <c:v>5.1743960344193756</c:v>
                </c:pt>
                <c:pt idx="4">
                  <c:v>6.068653722856717</c:v>
                </c:pt>
                <c:pt idx="5">
                  <c:v>6.8607105326155047</c:v>
                </c:pt>
                <c:pt idx="6">
                  <c:v>8.495924591472356</c:v>
                </c:pt>
                <c:pt idx="8">
                  <c:v>13.526166805816732</c:v>
                </c:pt>
                <c:pt idx="10">
                  <c:v>16.2592794901555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151-4A30-AB6E-D8A772562EA8}"/>
            </c:ext>
          </c:extLst>
        </c:ser>
        <c:ser>
          <c:idx val="7"/>
          <c:order val="7"/>
          <c:tx>
            <c:v>CT - 5/28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'Plot data'!$BL$6:$BL$16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'Plot data'!$BM$6:$BM$16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151-4A30-AB6E-D8A772562EA8}"/>
            </c:ext>
          </c:extLst>
        </c:ser>
        <c:ser>
          <c:idx val="9"/>
          <c:order val="9"/>
          <c:tx>
            <c:v>CT - 5/29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'Plot data'!$BT$6:$BT$16</c:f>
              <c:numCache>
                <c:formatCode>General</c:formatCode>
                <c:ptCount val="11"/>
                <c:pt idx="0">
                  <c:v>1.6710508154902797</c:v>
                </c:pt>
                <c:pt idx="1">
                  <c:v>4.3678468817716922</c:v>
                </c:pt>
                <c:pt idx="3">
                  <c:v>7.0646429480531046</c:v>
                </c:pt>
                <c:pt idx="5">
                  <c:v>9.7614390143345169</c:v>
                </c:pt>
                <c:pt idx="6">
                  <c:v>12.458235080615928</c:v>
                </c:pt>
                <c:pt idx="8">
                  <c:v>22.454565398149221</c:v>
                </c:pt>
                <c:pt idx="10">
                  <c:v>33.124561208133208</c:v>
                </c:pt>
              </c:numCache>
            </c:numRef>
          </c:xVal>
          <c:yVal>
            <c:numRef>
              <c:f>'Plot data'!$BU$6:$BU$16</c:f>
              <c:numCache>
                <c:formatCode>General</c:formatCode>
                <c:ptCount val="11"/>
                <c:pt idx="0">
                  <c:v>0.98591998113926493</c:v>
                </c:pt>
                <c:pt idx="1">
                  <c:v>2.5230937389196697</c:v>
                </c:pt>
                <c:pt idx="3">
                  <c:v>4.0268464803902688</c:v>
                </c:pt>
                <c:pt idx="5">
                  <c:v>4.8807195071672584</c:v>
                </c:pt>
                <c:pt idx="6">
                  <c:v>6.1482136583195217</c:v>
                </c:pt>
                <c:pt idx="8">
                  <c:v>9.8468558758068401</c:v>
                </c:pt>
                <c:pt idx="10">
                  <c:v>12.194254954003316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151-4A30-AB6E-D8A772562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094591"/>
        <c:axId val="332091679"/>
      </c:scatterChart>
      <c:valAx>
        <c:axId val="332076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77951"/>
        <c:crosses val="autoZero"/>
        <c:crossBetween val="midCat"/>
      </c:valAx>
      <c:valAx>
        <c:axId val="3320779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 (measured)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76287"/>
        <c:crosses val="autoZero"/>
        <c:crossBetween val="midCat"/>
      </c:valAx>
      <c:valAx>
        <c:axId val="3320916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94591"/>
        <c:crosses val="max"/>
        <c:crossBetween val="midCat"/>
      </c:valAx>
      <c:valAx>
        <c:axId val="3320945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209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Inactivation &amp; CT vs HRT (varying</a:t>
            </a:r>
            <a:r>
              <a:rPr lang="en-US" baseline="0"/>
              <a:t> flowrate)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Inactivation 13-May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data'!$G$6:$G$16</c:f>
              <c:numCache>
                <c:formatCode>General</c:formatCode>
                <c:ptCount val="11"/>
                <c:pt idx="0">
                  <c:v>1.9603354076558346</c:v>
                </c:pt>
                <c:pt idx="1">
                  <c:v>5.1477695187377694</c:v>
                </c:pt>
                <c:pt idx="2">
                  <c:v>6.7414865742787367</c:v>
                </c:pt>
                <c:pt idx="3">
                  <c:v>8.3352036298197039</c:v>
                </c:pt>
                <c:pt idx="4">
                  <c:v>9.9289206853606728</c:v>
                </c:pt>
                <c:pt idx="5">
                  <c:v>11.52263774090164</c:v>
                </c:pt>
                <c:pt idx="6">
                  <c:v>14.710071851983574</c:v>
                </c:pt>
                <c:pt idx="8">
                  <c:v>26.596785564942959</c:v>
                </c:pt>
                <c:pt idx="10">
                  <c:v>38.896101778255826</c:v>
                </c:pt>
              </c:numCache>
            </c:numRef>
          </c:xVal>
          <c:yVal>
            <c:numRef>
              <c:f>'Plot data'!$J$6:$J$16</c:f>
              <c:numCache>
                <c:formatCode>General</c:formatCode>
                <c:ptCount val="11"/>
                <c:pt idx="0">
                  <c:v>0.12203075342063345</c:v>
                </c:pt>
                <c:pt idx="1">
                  <c:v>0.32525987528848194</c:v>
                </c:pt>
                <c:pt idx="2">
                  <c:v>0.42574434865483646</c:v>
                </c:pt>
                <c:pt idx="3">
                  <c:v>0.42574434865483646</c:v>
                </c:pt>
                <c:pt idx="4">
                  <c:v>0.51070663822556117</c:v>
                </c:pt>
                <c:pt idx="5">
                  <c:v>0.92306898946278593</c:v>
                </c:pt>
                <c:pt idx="6">
                  <c:v>0.92306898946278593</c:v>
                </c:pt>
                <c:pt idx="8">
                  <c:v>2.2654916702849923</c:v>
                </c:pt>
                <c:pt idx="10">
                  <c:v>2.2780807975930126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3-4CC6-B50D-EE4BEFE10CB1}"/>
            </c:ext>
          </c:extLst>
        </c:ser>
        <c:ser>
          <c:idx val="1"/>
          <c:order val="1"/>
          <c:tx>
            <c:v>Inactivation 15-May</c:v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'Plot data'!$Z$6:$Z$16</c:f>
              <c:numCache>
                <c:formatCode>General</c:formatCode>
                <c:ptCount val="11"/>
                <c:pt idx="0">
                  <c:v>2.3508735292497764</c:v>
                </c:pt>
                <c:pt idx="1">
                  <c:v>7.059255490997538</c:v>
                </c:pt>
                <c:pt idx="2">
                  <c:v>9.4134464718714188</c:v>
                </c:pt>
                <c:pt idx="3">
                  <c:v>11.7676374527453</c:v>
                </c:pt>
                <c:pt idx="4">
                  <c:v>14.121828433619182</c:v>
                </c:pt>
                <c:pt idx="5">
                  <c:v>16.476019414493063</c:v>
                </c:pt>
                <c:pt idx="6">
                  <c:v>21.184401376240825</c:v>
                </c:pt>
                <c:pt idx="8">
                  <c:v>39.266322005651048</c:v>
                </c:pt>
                <c:pt idx="10">
                  <c:v>55.626957451205499</c:v>
                </c:pt>
              </c:numCache>
            </c:numRef>
          </c:xVal>
          <c:yVal>
            <c:numRef>
              <c:f>'Plot data'!$AC$6:$AC$16</c:f>
              <c:numCache>
                <c:formatCode>General</c:formatCode>
                <c:ptCount val="11"/>
                <c:pt idx="0">
                  <c:v>0.11250039802949996</c:v>
                </c:pt>
                <c:pt idx="1">
                  <c:v>0.24493491066581519</c:v>
                </c:pt>
                <c:pt idx="2">
                  <c:v>0.15559076977629577</c:v>
                </c:pt>
                <c:pt idx="3">
                  <c:v>0.38505601127331629</c:v>
                </c:pt>
                <c:pt idx="4">
                  <c:v>0.86251146722678762</c:v>
                </c:pt>
                <c:pt idx="5">
                  <c:v>1.0125688847257193</c:v>
                </c:pt>
                <c:pt idx="6">
                  <c:v>1.8757500731822527</c:v>
                </c:pt>
                <c:pt idx="8">
                  <c:v>1.9739545565433079</c:v>
                </c:pt>
                <c:pt idx="10">
                  <c:v>2.1565766827579469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73-4CC6-B50D-EE4BEFE10CB1}"/>
            </c:ext>
          </c:extLst>
        </c:ser>
        <c:ser>
          <c:idx val="2"/>
          <c:order val="2"/>
          <c:tx>
            <c:v>Inactivation 22-May</c:v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'Plot data'!$AS$6:$AS$16</c:f>
              <c:numCache>
                <c:formatCode>General</c:formatCode>
                <c:ptCount val="11"/>
                <c:pt idx="0">
                  <c:v>1.6597240711682213</c:v>
                </c:pt>
                <c:pt idx="1">
                  <c:v>4.2147460381320538</c:v>
                </c:pt>
                <c:pt idx="2">
                  <c:v>5.4922570216139697</c:v>
                </c:pt>
                <c:pt idx="3">
                  <c:v>6.7697680050958864</c:v>
                </c:pt>
                <c:pt idx="4">
                  <c:v>8.0472789885778031</c:v>
                </c:pt>
                <c:pt idx="5">
                  <c:v>9.3247899720597189</c:v>
                </c:pt>
                <c:pt idx="6">
                  <c:v>11.879811939023551</c:v>
                </c:pt>
                <c:pt idx="8">
                  <c:v>22.145612376461052</c:v>
                </c:pt>
                <c:pt idx="10">
                  <c:v>31.906729106242359</c:v>
                </c:pt>
              </c:numCache>
            </c:numRef>
          </c:xVal>
          <c:yVal>
            <c:numRef>
              <c:f>'Plot data'!$AV$6:$AV$16</c:f>
              <c:numCache>
                <c:formatCode>General</c:formatCode>
                <c:ptCount val="11"/>
                <c:pt idx="0">
                  <c:v>0.15463625518583501</c:v>
                </c:pt>
                <c:pt idx="1">
                  <c:v>0.35271441588991687</c:v>
                </c:pt>
                <c:pt idx="2">
                  <c:v>0.12986889172100249</c:v>
                </c:pt>
                <c:pt idx="3">
                  <c:v>0.30262764730719544</c:v>
                </c:pt>
                <c:pt idx="4">
                  <c:v>0.53640608527058031</c:v>
                </c:pt>
                <c:pt idx="5">
                  <c:v>0.75260473986612331</c:v>
                </c:pt>
                <c:pt idx="6">
                  <c:v>1.0538854105626936</c:v>
                </c:pt>
                <c:pt idx="8">
                  <c:v>2.0229203540261054</c:v>
                </c:pt>
                <c:pt idx="10">
                  <c:v>2.310162065204453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73-4CC6-B50D-EE4BEFE10CB1}"/>
            </c:ext>
          </c:extLst>
        </c:ser>
        <c:ser>
          <c:idx val="3"/>
          <c:order val="3"/>
          <c:tx>
            <c:v>Inactivation 29-May</c:v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'Plot data'!$BT$6:$BT$16</c:f>
              <c:numCache>
                <c:formatCode>General</c:formatCode>
                <c:ptCount val="11"/>
                <c:pt idx="0">
                  <c:v>1.6710508154902797</c:v>
                </c:pt>
                <c:pt idx="1">
                  <c:v>4.3678468817716922</c:v>
                </c:pt>
                <c:pt idx="3">
                  <c:v>7.0646429480531046</c:v>
                </c:pt>
                <c:pt idx="5">
                  <c:v>9.7614390143345169</c:v>
                </c:pt>
                <c:pt idx="6">
                  <c:v>12.458235080615928</c:v>
                </c:pt>
                <c:pt idx="8">
                  <c:v>22.454565398149221</c:v>
                </c:pt>
                <c:pt idx="10">
                  <c:v>33.124561208133208</c:v>
                </c:pt>
              </c:numCache>
            </c:numRef>
          </c:xVal>
          <c:yVal>
            <c:numRef>
              <c:f>'Plot data'!$BW$6:$BW$16</c:f>
              <c:numCache>
                <c:formatCode>General</c:formatCode>
                <c:ptCount val="11"/>
                <c:pt idx="0">
                  <c:v>0.1096661445411317</c:v>
                </c:pt>
                <c:pt idx="1">
                  <c:v>0.31120475080441962</c:v>
                </c:pt>
                <c:pt idx="3">
                  <c:v>0.46928505563679895</c:v>
                </c:pt>
                <c:pt idx="6">
                  <c:v>0.94700410051540551</c:v>
                </c:pt>
                <c:pt idx="8">
                  <c:v>2.0927733633670416</c:v>
                </c:pt>
                <c:pt idx="10">
                  <c:v>2.6232492903979003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73-4CC6-B50D-EE4BEFE10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55887"/>
        <c:axId val="98260463"/>
      </c:scatterChart>
      <c:scatterChart>
        <c:scatterStyle val="lineMarker"/>
        <c:varyColors val="0"/>
        <c:ser>
          <c:idx val="4"/>
          <c:order val="4"/>
          <c:tx>
            <c:v>CT 29-May</c:v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'Plot data'!$BT$6:$BT$16</c:f>
              <c:numCache>
                <c:formatCode>General</c:formatCode>
                <c:ptCount val="11"/>
                <c:pt idx="0">
                  <c:v>1.6710508154902797</c:v>
                </c:pt>
                <c:pt idx="1">
                  <c:v>4.3678468817716922</c:v>
                </c:pt>
                <c:pt idx="3">
                  <c:v>7.0646429480531046</c:v>
                </c:pt>
                <c:pt idx="5">
                  <c:v>9.7614390143345169</c:v>
                </c:pt>
                <c:pt idx="6">
                  <c:v>12.458235080615928</c:v>
                </c:pt>
                <c:pt idx="8">
                  <c:v>22.454565398149221</c:v>
                </c:pt>
                <c:pt idx="10">
                  <c:v>33.124561208133208</c:v>
                </c:pt>
              </c:numCache>
            </c:numRef>
          </c:xVal>
          <c:yVal>
            <c:numRef>
              <c:f>'Plot data'!$BU$6:$BU$16</c:f>
              <c:numCache>
                <c:formatCode>General</c:formatCode>
                <c:ptCount val="11"/>
                <c:pt idx="0">
                  <c:v>0.98591998113926493</c:v>
                </c:pt>
                <c:pt idx="1">
                  <c:v>2.5230937389196697</c:v>
                </c:pt>
                <c:pt idx="3">
                  <c:v>4.0268464803902688</c:v>
                </c:pt>
                <c:pt idx="5">
                  <c:v>4.8807195071672584</c:v>
                </c:pt>
                <c:pt idx="6">
                  <c:v>6.1482136583195217</c:v>
                </c:pt>
                <c:pt idx="8">
                  <c:v>9.8468558758068401</c:v>
                </c:pt>
                <c:pt idx="10">
                  <c:v>12.194254954003316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73-4CC6-B50D-EE4BEFE10CB1}"/>
            </c:ext>
          </c:extLst>
        </c:ser>
        <c:ser>
          <c:idx val="5"/>
          <c:order val="5"/>
          <c:tx>
            <c:v>CT 22-May</c:v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'Plot data'!$AS$6:$AS$16</c:f>
              <c:numCache>
                <c:formatCode>General</c:formatCode>
                <c:ptCount val="11"/>
                <c:pt idx="0">
                  <c:v>1.6597240711682213</c:v>
                </c:pt>
                <c:pt idx="1">
                  <c:v>4.2147460381320538</c:v>
                </c:pt>
                <c:pt idx="2">
                  <c:v>5.4922570216139697</c:v>
                </c:pt>
                <c:pt idx="3">
                  <c:v>6.7697680050958864</c:v>
                </c:pt>
                <c:pt idx="4">
                  <c:v>8.0472789885778031</c:v>
                </c:pt>
                <c:pt idx="5">
                  <c:v>9.3247899720597189</c:v>
                </c:pt>
                <c:pt idx="6">
                  <c:v>11.879811939023551</c:v>
                </c:pt>
                <c:pt idx="8">
                  <c:v>22.145612376461052</c:v>
                </c:pt>
                <c:pt idx="10">
                  <c:v>31.906729106242359</c:v>
                </c:pt>
              </c:numCache>
            </c:numRef>
          </c:xVal>
          <c:yVal>
            <c:numRef>
              <c:f>'Plot data'!$AT$6:$AT$16</c:f>
              <c:numCache>
                <c:formatCode>General</c:formatCode>
                <c:ptCount val="11"/>
                <c:pt idx="0">
                  <c:v>1.2779875347995304</c:v>
                </c:pt>
                <c:pt idx="1">
                  <c:v>3.2709046690313199</c:v>
                </c:pt>
                <c:pt idx="2">
                  <c:v>4.2545881263123952</c:v>
                </c:pt>
                <c:pt idx="3">
                  <c:v>5.1743960344193756</c:v>
                </c:pt>
                <c:pt idx="4">
                  <c:v>6.068653722856717</c:v>
                </c:pt>
                <c:pt idx="5">
                  <c:v>6.8607105326155047</c:v>
                </c:pt>
                <c:pt idx="6">
                  <c:v>8.495924591472356</c:v>
                </c:pt>
                <c:pt idx="8">
                  <c:v>13.526166805816732</c:v>
                </c:pt>
                <c:pt idx="10">
                  <c:v>16.2592794901555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73-4CC6-B50D-EE4BEFE10CB1}"/>
            </c:ext>
          </c:extLst>
        </c:ser>
        <c:ser>
          <c:idx val="6"/>
          <c:order val="6"/>
          <c:tx>
            <c:v>CT 15-May</c:v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'Plot data'!$Z$6:$Z$16</c:f>
              <c:numCache>
                <c:formatCode>General</c:formatCode>
                <c:ptCount val="11"/>
                <c:pt idx="0">
                  <c:v>2.3508735292497764</c:v>
                </c:pt>
                <c:pt idx="1">
                  <c:v>7.059255490997538</c:v>
                </c:pt>
                <c:pt idx="2">
                  <c:v>9.4134464718714188</c:v>
                </c:pt>
                <c:pt idx="3">
                  <c:v>11.7676374527453</c:v>
                </c:pt>
                <c:pt idx="4">
                  <c:v>14.121828433619182</c:v>
                </c:pt>
                <c:pt idx="5">
                  <c:v>16.476019414493063</c:v>
                </c:pt>
                <c:pt idx="6">
                  <c:v>21.184401376240825</c:v>
                </c:pt>
                <c:pt idx="8">
                  <c:v>39.266322005651048</c:v>
                </c:pt>
                <c:pt idx="10">
                  <c:v>55.626957451205499</c:v>
                </c:pt>
              </c:numCache>
            </c:numRef>
          </c:xVal>
          <c:yVal>
            <c:numRef>
              <c:f>'Plot data'!$AA$6:$AA$16</c:f>
              <c:numCache>
                <c:formatCode>General</c:formatCode>
                <c:ptCount val="11"/>
                <c:pt idx="0">
                  <c:v>1.9277162939848165</c:v>
                </c:pt>
                <c:pt idx="1">
                  <c:v>4.9410807495033842</c:v>
                </c:pt>
                <c:pt idx="2">
                  <c:v>6.4242210674539288</c:v>
                </c:pt>
                <c:pt idx="3">
                  <c:v>7.7661099265520406</c:v>
                </c:pt>
                <c:pt idx="4">
                  <c:v>9.0138311464151979</c:v>
                </c:pt>
                <c:pt idx="5">
                  <c:v>10.1673847270434</c:v>
                </c:pt>
                <c:pt idx="6">
                  <c:v>12.286156609829893</c:v>
                </c:pt>
                <c:pt idx="8">
                  <c:v>18.434009623829368</c:v>
                </c:pt>
                <c:pt idx="10">
                  <c:v>20.724498586206991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E73-4CC6-B50D-EE4BEFE10CB1}"/>
            </c:ext>
          </c:extLst>
        </c:ser>
        <c:ser>
          <c:idx val="7"/>
          <c:order val="7"/>
          <c:tx>
            <c:v>CT 13-May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data'!$G$6:$G$16</c:f>
              <c:numCache>
                <c:formatCode>General</c:formatCode>
                <c:ptCount val="11"/>
                <c:pt idx="0">
                  <c:v>1.9603354076558346</c:v>
                </c:pt>
                <c:pt idx="1">
                  <c:v>5.1477695187377694</c:v>
                </c:pt>
                <c:pt idx="2">
                  <c:v>6.7414865742787367</c:v>
                </c:pt>
                <c:pt idx="3">
                  <c:v>8.3352036298197039</c:v>
                </c:pt>
                <c:pt idx="4">
                  <c:v>9.9289206853606728</c:v>
                </c:pt>
                <c:pt idx="5">
                  <c:v>11.52263774090164</c:v>
                </c:pt>
                <c:pt idx="6">
                  <c:v>14.710071851983574</c:v>
                </c:pt>
                <c:pt idx="8">
                  <c:v>26.596785564942959</c:v>
                </c:pt>
                <c:pt idx="10">
                  <c:v>38.896101778255826</c:v>
                </c:pt>
              </c:numCache>
            </c:numRef>
          </c:xVal>
          <c:yVal>
            <c:numRef>
              <c:f>'Plot data'!$H$6:$H$16</c:f>
              <c:numCache>
                <c:formatCode>General</c:formatCode>
                <c:ptCount val="11"/>
                <c:pt idx="0">
                  <c:v>1.8623186372730427</c:v>
                </c:pt>
                <c:pt idx="1">
                  <c:v>4.0616481739195773</c:v>
                </c:pt>
                <c:pt idx="2">
                  <c:v>5.1613129422428443</c:v>
                </c:pt>
                <c:pt idx="3">
                  <c:v>6.2291033694552924</c:v>
                </c:pt>
                <c:pt idx="4">
                  <c:v>7.2331451144461028</c:v>
                </c:pt>
                <c:pt idx="5">
                  <c:v>8.2212496888815032</c:v>
                </c:pt>
                <c:pt idx="6">
                  <c:v>10.069961473309025</c:v>
                </c:pt>
                <c:pt idx="8">
                  <c:v>15.656716918399935</c:v>
                </c:pt>
                <c:pt idx="10">
                  <c:v>19.223518620260666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E73-4CC6-B50D-EE4BEFE10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820287"/>
        <c:axId val="1585813631"/>
      </c:scatterChart>
      <c:valAx>
        <c:axId val="9825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60463"/>
        <c:crosses val="autoZero"/>
        <c:crossBetween val="midCat"/>
      </c:valAx>
      <c:valAx>
        <c:axId val="98260463"/>
        <c:scaling>
          <c:orientation val="minMax"/>
          <c:max val="2.7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Inactivation (log N0/N)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55887"/>
        <c:crosses val="autoZero"/>
        <c:crossBetween val="midCat"/>
      </c:valAx>
      <c:valAx>
        <c:axId val="1585813631"/>
        <c:scaling>
          <c:orientation val="minMax"/>
          <c:max val="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CT (mg/L*min)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820287"/>
        <c:crosses val="max"/>
        <c:crossBetween val="midCat"/>
      </c:valAx>
      <c:valAx>
        <c:axId val="1585820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5813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PAA dose = 1.2 mg/L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'Plot data'!$G$29:$G$62</c:f>
              <c:numCache>
                <c:formatCode>General</c:formatCode>
                <c:ptCount val="34"/>
                <c:pt idx="0">
                  <c:v>1.9603354076558346</c:v>
                </c:pt>
                <c:pt idx="1">
                  <c:v>5.1477695187377694</c:v>
                </c:pt>
                <c:pt idx="2">
                  <c:v>6.7414865742787367</c:v>
                </c:pt>
                <c:pt idx="3">
                  <c:v>8.3352036298197039</c:v>
                </c:pt>
                <c:pt idx="4">
                  <c:v>9.9289206853606728</c:v>
                </c:pt>
                <c:pt idx="5">
                  <c:v>11.52263774090164</c:v>
                </c:pt>
                <c:pt idx="6">
                  <c:v>14.710071851983574</c:v>
                </c:pt>
                <c:pt idx="7">
                  <c:v>26.596785564942959</c:v>
                </c:pt>
                <c:pt idx="8">
                  <c:v>38.896101778255826</c:v>
                </c:pt>
                <c:pt idx="9">
                  <c:v>2.3508735292497764</c:v>
                </c:pt>
                <c:pt idx="10">
                  <c:v>7.059255490997538</c:v>
                </c:pt>
                <c:pt idx="11">
                  <c:v>9.4134464718714188</c:v>
                </c:pt>
                <c:pt idx="12">
                  <c:v>11.7676374527453</c:v>
                </c:pt>
                <c:pt idx="13">
                  <c:v>14.121828433619182</c:v>
                </c:pt>
                <c:pt idx="14">
                  <c:v>16.476019414493063</c:v>
                </c:pt>
                <c:pt idx="15">
                  <c:v>21.184401376240825</c:v>
                </c:pt>
                <c:pt idx="16">
                  <c:v>39.266322005651048</c:v>
                </c:pt>
                <c:pt idx="17">
                  <c:v>55.626957451205499</c:v>
                </c:pt>
                <c:pt idx="18">
                  <c:v>1.6597240711682213</c:v>
                </c:pt>
                <c:pt idx="19">
                  <c:v>4.2147460381320538</c:v>
                </c:pt>
                <c:pt idx="20">
                  <c:v>5.4922570216139697</c:v>
                </c:pt>
                <c:pt idx="21">
                  <c:v>6.7697680050958864</c:v>
                </c:pt>
                <c:pt idx="22">
                  <c:v>8.0472789885778031</c:v>
                </c:pt>
                <c:pt idx="23">
                  <c:v>9.3247899720597189</c:v>
                </c:pt>
                <c:pt idx="24">
                  <c:v>11.879811939023551</c:v>
                </c:pt>
                <c:pt idx="25">
                  <c:v>22.145612376461052</c:v>
                </c:pt>
                <c:pt idx="26">
                  <c:v>31.906729106242359</c:v>
                </c:pt>
                <c:pt idx="27">
                  <c:v>1.6710508154902797</c:v>
                </c:pt>
                <c:pt idx="28">
                  <c:v>4.3678468817716922</c:v>
                </c:pt>
                <c:pt idx="29">
                  <c:v>7.0646429480531046</c:v>
                </c:pt>
                <c:pt idx="30">
                  <c:v>9.7614390143345169</c:v>
                </c:pt>
                <c:pt idx="31">
                  <c:v>12.458235080615928</c:v>
                </c:pt>
                <c:pt idx="32">
                  <c:v>22.454565398149221</c:v>
                </c:pt>
                <c:pt idx="33">
                  <c:v>33.124561208133208</c:v>
                </c:pt>
              </c:numCache>
            </c:numRef>
          </c:xVal>
          <c:yVal>
            <c:numRef>
              <c:f>'Plot data'!$M$29:$M$62</c:f>
              <c:numCache>
                <c:formatCode>General</c:formatCode>
                <c:ptCount val="34"/>
                <c:pt idx="0">
                  <c:v>0.15503566407410407</c:v>
                </c:pt>
                <c:pt idx="1">
                  <c:v>0.31482828418534492</c:v>
                </c:pt>
                <c:pt idx="2">
                  <c:v>0.39136794030460548</c:v>
                </c:pt>
                <c:pt idx="3">
                  <c:v>0.4656757819919381</c:v>
                </c:pt>
                <c:pt idx="4">
                  <c:v>0.53775643335103351</c:v>
                </c:pt>
                <c:pt idx="5">
                  <c:v>0.60761462575689051</c:v>
                </c:pt>
                <c:pt idx="6">
                  <c:v>0.74068299565764961</c:v>
                </c:pt>
                <c:pt idx="7">
                  <c:v>1.1593728229449609</c:v>
                </c:pt>
                <c:pt idx="8">
                  <c:v>1.4654739122736118</c:v>
                </c:pt>
                <c:pt idx="9">
                  <c:v>0.1750961727063805</c:v>
                </c:pt>
                <c:pt idx="10">
                  <c:v>0.40636206181467871</c:v>
                </c:pt>
                <c:pt idx="11">
                  <c:v>0.51468595780664816</c:v>
                </c:pt>
                <c:pt idx="12">
                  <c:v>0.61815703720631454</c:v>
                </c:pt>
                <c:pt idx="13">
                  <c:v>0.71679081186919003</c:v>
                </c:pt>
                <c:pt idx="14">
                  <c:v>0.81060313153066887</c:v>
                </c:pt>
                <c:pt idx="15">
                  <c:v>0.98382775742242912</c:v>
                </c:pt>
                <c:pt idx="16">
                  <c:v>1.4727047211229953</c:v>
                </c:pt>
                <c:pt idx="17">
                  <c:v>1.6776512766165748</c:v>
                </c:pt>
                <c:pt idx="18">
                  <c:v>0.13950255048983115</c:v>
                </c:pt>
                <c:pt idx="19">
                  <c:v>0.26898145005596785</c:v>
                </c:pt>
                <c:pt idx="20">
                  <c:v>0.33156189613687032</c:v>
                </c:pt>
                <c:pt idx="21">
                  <c:v>0.39270601344145512</c:v>
                </c:pt>
                <c:pt idx="22">
                  <c:v>0.45241612836717521</c:v>
                </c:pt>
                <c:pt idx="23">
                  <c:v>0.51069461811772432</c:v>
                </c:pt>
                <c:pt idx="24">
                  <c:v>0.62296645305021392</c:v>
                </c:pt>
                <c:pt idx="25">
                  <c:v>1.0168404663989041</c:v>
                </c:pt>
                <c:pt idx="26">
                  <c:v>1.3072628046721297</c:v>
                </c:pt>
                <c:pt idx="27">
                  <c:v>0.1400892715307831</c:v>
                </c:pt>
                <c:pt idx="28">
                  <c:v>0.27655711118367138</c:v>
                </c:pt>
                <c:pt idx="29">
                  <c:v>0.40661550759588033</c:v>
                </c:pt>
                <c:pt idx="31">
                  <c:v>0.64759174674583775</c:v>
                </c:pt>
                <c:pt idx="32">
                  <c:v>1.0272826292821418</c:v>
                </c:pt>
                <c:pt idx="33">
                  <c:v>1.3378020037710296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4A-41F4-A84B-02ACDAB6A698}"/>
            </c:ext>
          </c:extLst>
        </c:ser>
        <c:ser>
          <c:idx val="1"/>
          <c:order val="1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'Plot data'!$G$29:$G$62</c:f>
              <c:numCache>
                <c:formatCode>General</c:formatCode>
                <c:ptCount val="34"/>
                <c:pt idx="0">
                  <c:v>1.9603354076558346</c:v>
                </c:pt>
                <c:pt idx="1">
                  <c:v>5.1477695187377694</c:v>
                </c:pt>
                <c:pt idx="2">
                  <c:v>6.7414865742787367</c:v>
                </c:pt>
                <c:pt idx="3">
                  <c:v>8.3352036298197039</c:v>
                </c:pt>
                <c:pt idx="4">
                  <c:v>9.9289206853606728</c:v>
                </c:pt>
                <c:pt idx="5">
                  <c:v>11.52263774090164</c:v>
                </c:pt>
                <c:pt idx="6">
                  <c:v>14.710071851983574</c:v>
                </c:pt>
                <c:pt idx="7">
                  <c:v>26.596785564942959</c:v>
                </c:pt>
                <c:pt idx="8">
                  <c:v>38.896101778255826</c:v>
                </c:pt>
                <c:pt idx="9">
                  <c:v>2.3508735292497764</c:v>
                </c:pt>
                <c:pt idx="10">
                  <c:v>7.059255490997538</c:v>
                </c:pt>
                <c:pt idx="11">
                  <c:v>9.4134464718714188</c:v>
                </c:pt>
                <c:pt idx="12">
                  <c:v>11.7676374527453</c:v>
                </c:pt>
                <c:pt idx="13">
                  <c:v>14.121828433619182</c:v>
                </c:pt>
                <c:pt idx="14">
                  <c:v>16.476019414493063</c:v>
                </c:pt>
                <c:pt idx="15">
                  <c:v>21.184401376240825</c:v>
                </c:pt>
                <c:pt idx="16">
                  <c:v>39.266322005651048</c:v>
                </c:pt>
                <c:pt idx="17">
                  <c:v>55.626957451205499</c:v>
                </c:pt>
                <c:pt idx="18">
                  <c:v>1.6597240711682213</c:v>
                </c:pt>
                <c:pt idx="19">
                  <c:v>4.2147460381320538</c:v>
                </c:pt>
                <c:pt idx="20">
                  <c:v>5.4922570216139697</c:v>
                </c:pt>
                <c:pt idx="21">
                  <c:v>6.7697680050958864</c:v>
                </c:pt>
                <c:pt idx="22">
                  <c:v>8.0472789885778031</c:v>
                </c:pt>
                <c:pt idx="23">
                  <c:v>9.3247899720597189</c:v>
                </c:pt>
                <c:pt idx="24">
                  <c:v>11.879811939023551</c:v>
                </c:pt>
                <c:pt idx="25">
                  <c:v>22.145612376461052</c:v>
                </c:pt>
                <c:pt idx="26">
                  <c:v>31.906729106242359</c:v>
                </c:pt>
                <c:pt idx="27">
                  <c:v>1.6710508154902797</c:v>
                </c:pt>
                <c:pt idx="28">
                  <c:v>4.3678468817716922</c:v>
                </c:pt>
                <c:pt idx="29">
                  <c:v>7.0646429480531046</c:v>
                </c:pt>
                <c:pt idx="30">
                  <c:v>9.7614390143345169</c:v>
                </c:pt>
                <c:pt idx="31">
                  <c:v>12.458235080615928</c:v>
                </c:pt>
                <c:pt idx="32">
                  <c:v>22.454565398149221</c:v>
                </c:pt>
                <c:pt idx="33">
                  <c:v>33.124561208133208</c:v>
                </c:pt>
              </c:numCache>
            </c:numRef>
          </c:xVal>
          <c:yVal>
            <c:numRef>
              <c:f>'Plot data'!$K$29:$K$62</c:f>
              <c:numCache>
                <c:formatCode>General</c:formatCode>
                <c:ptCount val="34"/>
                <c:pt idx="0">
                  <c:v>0.15390202611361059</c:v>
                </c:pt>
                <c:pt idx="1">
                  <c:v>0.33528164092351936</c:v>
                </c:pt>
                <c:pt idx="2">
                  <c:v>0.42581232485505704</c:v>
                </c:pt>
                <c:pt idx="3">
                  <c:v>0.51361319763327395</c:v>
                </c:pt>
                <c:pt idx="4">
                  <c:v>0.59607439103751392</c:v>
                </c:pt>
                <c:pt idx="5">
                  <c:v>0.67713150831504609</c:v>
                </c:pt>
                <c:pt idx="6">
                  <c:v>0.82852444451101981</c:v>
                </c:pt>
                <c:pt idx="7">
                  <c:v>1.2837970342912111</c:v>
                </c:pt>
                <c:pt idx="8">
                  <c:v>1.5725451330396243</c:v>
                </c:pt>
                <c:pt idx="9">
                  <c:v>0.15930133345973621</c:v>
                </c:pt>
                <c:pt idx="10">
                  <c:v>0.40769029608821511</c:v>
                </c:pt>
                <c:pt idx="11">
                  <c:v>0.52964557597511985</c:v>
                </c:pt>
                <c:pt idx="12">
                  <c:v>0.63980694723419373</c:v>
                </c:pt>
                <c:pt idx="13">
                  <c:v>0.74207935130741021</c:v>
                </c:pt>
                <c:pt idx="14">
                  <c:v>0.83649280895975964</c:v>
                </c:pt>
                <c:pt idx="15">
                  <c:v>1.0095403330131907</c:v>
                </c:pt>
                <c:pt idx="16">
                  <c:v>1.5087678215708522</c:v>
                </c:pt>
                <c:pt idx="17">
                  <c:v>1.6935734291581672</c:v>
                </c:pt>
                <c:pt idx="18">
                  <c:v>0.10564324460863503</c:v>
                </c:pt>
                <c:pt idx="19">
                  <c:v>0.27011668278166362</c:v>
                </c:pt>
                <c:pt idx="20">
                  <c:v>0.35117340667170693</c:v>
                </c:pt>
                <c:pt idx="21">
                  <c:v>0.42688874110653247</c:v>
                </c:pt>
                <c:pt idx="22">
                  <c:v>0.50042672884758055</c:v>
                </c:pt>
                <c:pt idx="23">
                  <c:v>0.56549785351985693</c:v>
                </c:pt>
                <c:pt idx="24">
                  <c:v>0.69964678637471689</c:v>
                </c:pt>
                <c:pt idx="25">
                  <c:v>1.1105887081596615</c:v>
                </c:pt>
                <c:pt idx="26">
                  <c:v>1.3326868524647539</c:v>
                </c:pt>
                <c:pt idx="27">
                  <c:v>8.1511445683916883E-2</c:v>
                </c:pt>
                <c:pt idx="28">
                  <c:v>0.20843990832205428</c:v>
                </c:pt>
                <c:pt idx="29">
                  <c:v>0.33241479960302339</c:v>
                </c:pt>
                <c:pt idx="31">
                  <c:v>0.50696562196907313</c:v>
                </c:pt>
                <c:pt idx="32">
                  <c:v>0.81027265063622844</c:v>
                </c:pt>
                <c:pt idx="33">
                  <c:v>1.0020444711256713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4A-41F4-A84B-02ACDAB6A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091327"/>
        <c:axId val="1622378895"/>
      </c:scatterChart>
      <c:valAx>
        <c:axId val="1645091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378895"/>
        <c:crosses val="autoZero"/>
        <c:crossBetween val="midCat"/>
      </c:valAx>
      <c:valAx>
        <c:axId val="16223788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Inactivation (LOG N0/N)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09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 &amp; CT vs HRT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 - 5/13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data'!$G$6:$G$16</c:f>
              <c:numCache>
                <c:formatCode>General</c:formatCode>
                <c:ptCount val="11"/>
                <c:pt idx="0">
                  <c:v>1.9603354076558346</c:v>
                </c:pt>
                <c:pt idx="1">
                  <c:v>5.1477695187377694</c:v>
                </c:pt>
                <c:pt idx="2">
                  <c:v>6.7414865742787367</c:v>
                </c:pt>
                <c:pt idx="3">
                  <c:v>8.3352036298197039</c:v>
                </c:pt>
                <c:pt idx="4">
                  <c:v>9.9289206853606728</c:v>
                </c:pt>
                <c:pt idx="5">
                  <c:v>11.52263774090164</c:v>
                </c:pt>
                <c:pt idx="6">
                  <c:v>14.710071851983574</c:v>
                </c:pt>
                <c:pt idx="8">
                  <c:v>26.596785564942959</c:v>
                </c:pt>
                <c:pt idx="10">
                  <c:v>38.896101778255826</c:v>
                </c:pt>
              </c:numCache>
            </c:numRef>
          </c:xVal>
          <c:yVal>
            <c:numRef>
              <c:f>'Plot data'!$V$6:$V$16</c:f>
              <c:numCache>
                <c:formatCode>General</c:formatCode>
                <c:ptCount val="11"/>
                <c:pt idx="0">
                  <c:v>0.82</c:v>
                </c:pt>
                <c:pt idx="1">
                  <c:v>0.64</c:v>
                </c:pt>
                <c:pt idx="2">
                  <c:v>0.63</c:v>
                </c:pt>
                <c:pt idx="3">
                  <c:v>0.56999999999999995</c:v>
                </c:pt>
                <c:pt idx="4">
                  <c:v>0.53</c:v>
                </c:pt>
                <c:pt idx="5">
                  <c:v>0.49</c:v>
                </c:pt>
                <c:pt idx="6">
                  <c:v>0.45</c:v>
                </c:pt>
                <c:pt idx="7">
                  <c:v>0.44</c:v>
                </c:pt>
                <c:pt idx="8">
                  <c:v>0.34</c:v>
                </c:pt>
                <c:pt idx="9">
                  <c:v>0.16</c:v>
                </c:pt>
                <c:pt idx="10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50-4FDE-A735-FB8E970D6F91}"/>
            </c:ext>
          </c:extLst>
        </c:ser>
        <c:ser>
          <c:idx val="2"/>
          <c:order val="2"/>
          <c:tx>
            <c:v>C - 5/15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'Plot data'!$Z$6:$Z$16</c:f>
              <c:numCache>
                <c:formatCode>General</c:formatCode>
                <c:ptCount val="11"/>
                <c:pt idx="0">
                  <c:v>2.3508735292497764</c:v>
                </c:pt>
                <c:pt idx="1">
                  <c:v>7.059255490997538</c:v>
                </c:pt>
                <c:pt idx="2">
                  <c:v>9.4134464718714188</c:v>
                </c:pt>
                <c:pt idx="3">
                  <c:v>11.7676374527453</c:v>
                </c:pt>
                <c:pt idx="4">
                  <c:v>14.121828433619182</c:v>
                </c:pt>
                <c:pt idx="5">
                  <c:v>16.476019414493063</c:v>
                </c:pt>
                <c:pt idx="6">
                  <c:v>21.184401376240825</c:v>
                </c:pt>
                <c:pt idx="8">
                  <c:v>39.266322005651048</c:v>
                </c:pt>
                <c:pt idx="10">
                  <c:v>55.626957451205499</c:v>
                </c:pt>
              </c:numCache>
            </c:numRef>
          </c:xVal>
          <c:yVal>
            <c:numRef>
              <c:f>'Plot data'!$V$6:$V$16</c:f>
              <c:numCache>
                <c:formatCode>General</c:formatCode>
                <c:ptCount val="11"/>
                <c:pt idx="0">
                  <c:v>0.82</c:v>
                </c:pt>
                <c:pt idx="1">
                  <c:v>0.64</c:v>
                </c:pt>
                <c:pt idx="2">
                  <c:v>0.63</c:v>
                </c:pt>
                <c:pt idx="3">
                  <c:v>0.56999999999999995</c:v>
                </c:pt>
                <c:pt idx="4">
                  <c:v>0.53</c:v>
                </c:pt>
                <c:pt idx="5">
                  <c:v>0.49</c:v>
                </c:pt>
                <c:pt idx="6">
                  <c:v>0.45</c:v>
                </c:pt>
                <c:pt idx="7">
                  <c:v>0.44</c:v>
                </c:pt>
                <c:pt idx="8">
                  <c:v>0.34</c:v>
                </c:pt>
                <c:pt idx="9">
                  <c:v>0.16</c:v>
                </c:pt>
                <c:pt idx="10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750-4FDE-A735-FB8E970D6F91}"/>
            </c:ext>
          </c:extLst>
        </c:ser>
        <c:ser>
          <c:idx val="4"/>
          <c:order val="4"/>
          <c:tx>
            <c:v>C - 5/22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'Plot data'!$AS$6:$AS$16</c:f>
              <c:numCache>
                <c:formatCode>General</c:formatCode>
                <c:ptCount val="11"/>
                <c:pt idx="0">
                  <c:v>1.6597240711682213</c:v>
                </c:pt>
                <c:pt idx="1">
                  <c:v>4.2147460381320538</c:v>
                </c:pt>
                <c:pt idx="2">
                  <c:v>5.4922570216139697</c:v>
                </c:pt>
                <c:pt idx="3">
                  <c:v>6.7697680050958864</c:v>
                </c:pt>
                <c:pt idx="4">
                  <c:v>8.0472789885778031</c:v>
                </c:pt>
                <c:pt idx="5">
                  <c:v>9.3247899720597189</c:v>
                </c:pt>
                <c:pt idx="6">
                  <c:v>11.879811939023551</c:v>
                </c:pt>
                <c:pt idx="8">
                  <c:v>22.145612376461052</c:v>
                </c:pt>
                <c:pt idx="10">
                  <c:v>31.906729106242359</c:v>
                </c:pt>
              </c:numCache>
            </c:numRef>
          </c:xVal>
          <c:yVal>
            <c:numRef>
              <c:f>'Plot data'!$AO$6:$AO$16</c:f>
              <c:numCache>
                <c:formatCode>General</c:formatCode>
                <c:ptCount val="11"/>
                <c:pt idx="0">
                  <c:v>0.77</c:v>
                </c:pt>
                <c:pt idx="1">
                  <c:v>0.78</c:v>
                </c:pt>
                <c:pt idx="2">
                  <c:v>0.77</c:v>
                </c:pt>
                <c:pt idx="3">
                  <c:v>0.72</c:v>
                </c:pt>
                <c:pt idx="4">
                  <c:v>0.7</c:v>
                </c:pt>
                <c:pt idx="5">
                  <c:v>0.62</c:v>
                </c:pt>
                <c:pt idx="6">
                  <c:v>0.64</c:v>
                </c:pt>
                <c:pt idx="8">
                  <c:v>0.49</c:v>
                </c:pt>
                <c:pt idx="10">
                  <c:v>0.28000000000000003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750-4FDE-A735-FB8E970D6F91}"/>
            </c:ext>
          </c:extLst>
        </c:ser>
        <c:ser>
          <c:idx val="6"/>
          <c:order val="6"/>
          <c:tx>
            <c:v>C - 5/28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'Plot data'!$BL$6:$BL$16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'Plot data'!$BH$6:$BH$16</c:f>
              <c:numCache>
                <c:formatCode>General</c:formatCode>
                <c:ptCount val="11"/>
                <c:pt idx="0">
                  <c:v>0.78</c:v>
                </c:pt>
                <c:pt idx="1">
                  <c:v>0.76</c:v>
                </c:pt>
                <c:pt idx="2">
                  <c:v>0.8</c:v>
                </c:pt>
                <c:pt idx="3">
                  <c:v>0.77</c:v>
                </c:pt>
                <c:pt idx="4">
                  <c:v>0.73</c:v>
                </c:pt>
                <c:pt idx="5">
                  <c:v>0.72</c:v>
                </c:pt>
                <c:pt idx="6">
                  <c:v>0.65</c:v>
                </c:pt>
                <c:pt idx="8">
                  <c:v>0.57999999999999996</c:v>
                </c:pt>
                <c:pt idx="10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750-4FDE-A735-FB8E970D6F91}"/>
            </c:ext>
          </c:extLst>
        </c:ser>
        <c:ser>
          <c:idx val="8"/>
          <c:order val="8"/>
          <c:tx>
            <c:v>C - 5/29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'Plot data'!$BT$6:$BT$16</c:f>
              <c:numCache>
                <c:formatCode>General</c:formatCode>
                <c:ptCount val="11"/>
                <c:pt idx="0">
                  <c:v>1.6710508154902797</c:v>
                </c:pt>
                <c:pt idx="1">
                  <c:v>4.3678468817716922</c:v>
                </c:pt>
                <c:pt idx="3">
                  <c:v>7.0646429480531046</c:v>
                </c:pt>
                <c:pt idx="5">
                  <c:v>9.7614390143345169</c:v>
                </c:pt>
                <c:pt idx="6">
                  <c:v>12.458235080615928</c:v>
                </c:pt>
                <c:pt idx="8">
                  <c:v>22.454565398149221</c:v>
                </c:pt>
                <c:pt idx="10">
                  <c:v>33.124561208133208</c:v>
                </c:pt>
              </c:numCache>
            </c:numRef>
          </c:xVal>
          <c:yVal>
            <c:numRef>
              <c:f>'Plot data'!$BP$6:$BP$16</c:f>
              <c:numCache>
                <c:formatCode>General</c:formatCode>
                <c:ptCount val="11"/>
                <c:pt idx="0">
                  <c:v>0.59</c:v>
                </c:pt>
                <c:pt idx="1">
                  <c:v>0.56999999999999995</c:v>
                </c:pt>
                <c:pt idx="3">
                  <c:v>0.56999999999999995</c:v>
                </c:pt>
                <c:pt idx="5">
                  <c:v>0.5</c:v>
                </c:pt>
                <c:pt idx="6">
                  <c:v>0.47</c:v>
                </c:pt>
                <c:pt idx="8">
                  <c:v>0.37</c:v>
                </c:pt>
                <c:pt idx="10">
                  <c:v>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750-4FDE-A735-FB8E970D6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076287"/>
        <c:axId val="332077951"/>
      </c:scatterChart>
      <c:scatterChart>
        <c:scatterStyle val="lineMarker"/>
        <c:varyColors val="0"/>
        <c:ser>
          <c:idx val="1"/>
          <c:order val="1"/>
          <c:tx>
            <c:v>CT - 5/13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'Plot data'!$G$6:$G$16</c:f>
              <c:numCache>
                <c:formatCode>General</c:formatCode>
                <c:ptCount val="11"/>
                <c:pt idx="0">
                  <c:v>1.9603354076558346</c:v>
                </c:pt>
                <c:pt idx="1">
                  <c:v>5.1477695187377694</c:v>
                </c:pt>
                <c:pt idx="2">
                  <c:v>6.7414865742787367</c:v>
                </c:pt>
                <c:pt idx="3">
                  <c:v>8.3352036298197039</c:v>
                </c:pt>
                <c:pt idx="4">
                  <c:v>9.9289206853606728</c:v>
                </c:pt>
                <c:pt idx="5">
                  <c:v>11.52263774090164</c:v>
                </c:pt>
                <c:pt idx="6">
                  <c:v>14.710071851983574</c:v>
                </c:pt>
                <c:pt idx="8">
                  <c:v>26.596785564942959</c:v>
                </c:pt>
                <c:pt idx="10">
                  <c:v>38.896101778255826</c:v>
                </c:pt>
              </c:numCache>
            </c:numRef>
          </c:xVal>
          <c:yVal>
            <c:numRef>
              <c:f>'Plot data'!$H$6:$H$16</c:f>
              <c:numCache>
                <c:formatCode>General</c:formatCode>
                <c:ptCount val="11"/>
                <c:pt idx="0">
                  <c:v>1.8623186372730427</c:v>
                </c:pt>
                <c:pt idx="1">
                  <c:v>4.0616481739195773</c:v>
                </c:pt>
                <c:pt idx="2">
                  <c:v>5.1613129422428443</c:v>
                </c:pt>
                <c:pt idx="3">
                  <c:v>6.2291033694552924</c:v>
                </c:pt>
                <c:pt idx="4">
                  <c:v>7.2331451144461028</c:v>
                </c:pt>
                <c:pt idx="5">
                  <c:v>8.2212496888815032</c:v>
                </c:pt>
                <c:pt idx="6">
                  <c:v>10.069961473309025</c:v>
                </c:pt>
                <c:pt idx="8">
                  <c:v>15.656716918399935</c:v>
                </c:pt>
                <c:pt idx="10">
                  <c:v>19.223518620260666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50-4FDE-A735-FB8E970D6F91}"/>
            </c:ext>
          </c:extLst>
        </c:ser>
        <c:ser>
          <c:idx val="3"/>
          <c:order val="3"/>
          <c:tx>
            <c:v>CT - 5/15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'Plot data'!$Z$6:$Z$16</c:f>
              <c:numCache>
                <c:formatCode>General</c:formatCode>
                <c:ptCount val="11"/>
                <c:pt idx="0">
                  <c:v>2.3508735292497764</c:v>
                </c:pt>
                <c:pt idx="1">
                  <c:v>7.059255490997538</c:v>
                </c:pt>
                <c:pt idx="2">
                  <c:v>9.4134464718714188</c:v>
                </c:pt>
                <c:pt idx="3">
                  <c:v>11.7676374527453</c:v>
                </c:pt>
                <c:pt idx="4">
                  <c:v>14.121828433619182</c:v>
                </c:pt>
                <c:pt idx="5">
                  <c:v>16.476019414493063</c:v>
                </c:pt>
                <c:pt idx="6">
                  <c:v>21.184401376240825</c:v>
                </c:pt>
                <c:pt idx="8">
                  <c:v>39.266322005651048</c:v>
                </c:pt>
                <c:pt idx="10">
                  <c:v>55.626957451205499</c:v>
                </c:pt>
              </c:numCache>
            </c:numRef>
          </c:xVal>
          <c:yVal>
            <c:numRef>
              <c:f>'Plot data'!$AA$6:$AA$16</c:f>
              <c:numCache>
                <c:formatCode>General</c:formatCode>
                <c:ptCount val="11"/>
                <c:pt idx="0">
                  <c:v>1.9277162939848165</c:v>
                </c:pt>
                <c:pt idx="1">
                  <c:v>4.9410807495033842</c:v>
                </c:pt>
                <c:pt idx="2">
                  <c:v>6.4242210674539288</c:v>
                </c:pt>
                <c:pt idx="3">
                  <c:v>7.7661099265520406</c:v>
                </c:pt>
                <c:pt idx="4">
                  <c:v>9.0138311464151979</c:v>
                </c:pt>
                <c:pt idx="5">
                  <c:v>10.1673847270434</c:v>
                </c:pt>
                <c:pt idx="6">
                  <c:v>12.286156609829893</c:v>
                </c:pt>
                <c:pt idx="8">
                  <c:v>18.434009623829368</c:v>
                </c:pt>
                <c:pt idx="10">
                  <c:v>20.724498586206991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750-4FDE-A735-FB8E970D6F91}"/>
            </c:ext>
          </c:extLst>
        </c:ser>
        <c:ser>
          <c:idx val="5"/>
          <c:order val="5"/>
          <c:tx>
            <c:v>CT - 5/22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'Plot data'!$AS$6:$AS$16</c:f>
              <c:numCache>
                <c:formatCode>General</c:formatCode>
                <c:ptCount val="11"/>
                <c:pt idx="0">
                  <c:v>1.6597240711682213</c:v>
                </c:pt>
                <c:pt idx="1">
                  <c:v>4.2147460381320538</c:v>
                </c:pt>
                <c:pt idx="2">
                  <c:v>5.4922570216139697</c:v>
                </c:pt>
                <c:pt idx="3">
                  <c:v>6.7697680050958864</c:v>
                </c:pt>
                <c:pt idx="4">
                  <c:v>8.0472789885778031</c:v>
                </c:pt>
                <c:pt idx="5">
                  <c:v>9.3247899720597189</c:v>
                </c:pt>
                <c:pt idx="6">
                  <c:v>11.879811939023551</c:v>
                </c:pt>
                <c:pt idx="8">
                  <c:v>22.145612376461052</c:v>
                </c:pt>
                <c:pt idx="10">
                  <c:v>31.906729106242359</c:v>
                </c:pt>
              </c:numCache>
            </c:numRef>
          </c:xVal>
          <c:yVal>
            <c:numRef>
              <c:f>'Plot data'!$AT$6:$AT$16</c:f>
              <c:numCache>
                <c:formatCode>General</c:formatCode>
                <c:ptCount val="11"/>
                <c:pt idx="0">
                  <c:v>1.2779875347995304</c:v>
                </c:pt>
                <c:pt idx="1">
                  <c:v>3.2709046690313199</c:v>
                </c:pt>
                <c:pt idx="2">
                  <c:v>4.2545881263123952</c:v>
                </c:pt>
                <c:pt idx="3">
                  <c:v>5.1743960344193756</c:v>
                </c:pt>
                <c:pt idx="4">
                  <c:v>6.068653722856717</c:v>
                </c:pt>
                <c:pt idx="5">
                  <c:v>6.8607105326155047</c:v>
                </c:pt>
                <c:pt idx="6">
                  <c:v>8.495924591472356</c:v>
                </c:pt>
                <c:pt idx="8">
                  <c:v>13.526166805816732</c:v>
                </c:pt>
                <c:pt idx="10">
                  <c:v>16.2592794901555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750-4FDE-A735-FB8E970D6F91}"/>
            </c:ext>
          </c:extLst>
        </c:ser>
        <c:ser>
          <c:idx val="7"/>
          <c:order val="7"/>
          <c:tx>
            <c:v>CT - 5/28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'Plot data'!$BL$6:$BL$16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'Plot data'!$BM$6:$BM$16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750-4FDE-A735-FB8E970D6F91}"/>
            </c:ext>
          </c:extLst>
        </c:ser>
        <c:ser>
          <c:idx val="9"/>
          <c:order val="9"/>
          <c:tx>
            <c:v>CT - 5/29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'Plot data'!$BT$6:$BT$16</c:f>
              <c:numCache>
                <c:formatCode>General</c:formatCode>
                <c:ptCount val="11"/>
                <c:pt idx="0">
                  <c:v>1.6710508154902797</c:v>
                </c:pt>
                <c:pt idx="1">
                  <c:v>4.3678468817716922</c:v>
                </c:pt>
                <c:pt idx="3">
                  <c:v>7.0646429480531046</c:v>
                </c:pt>
                <c:pt idx="5">
                  <c:v>9.7614390143345169</c:v>
                </c:pt>
                <c:pt idx="6">
                  <c:v>12.458235080615928</c:v>
                </c:pt>
                <c:pt idx="8">
                  <c:v>22.454565398149221</c:v>
                </c:pt>
                <c:pt idx="10">
                  <c:v>33.124561208133208</c:v>
                </c:pt>
              </c:numCache>
            </c:numRef>
          </c:xVal>
          <c:yVal>
            <c:numRef>
              <c:f>'Plot data'!$BU$6:$BU$16</c:f>
              <c:numCache>
                <c:formatCode>General</c:formatCode>
                <c:ptCount val="11"/>
                <c:pt idx="0">
                  <c:v>0.98591998113926493</c:v>
                </c:pt>
                <c:pt idx="1">
                  <c:v>2.5230937389196697</c:v>
                </c:pt>
                <c:pt idx="3">
                  <c:v>4.0268464803902688</c:v>
                </c:pt>
                <c:pt idx="5">
                  <c:v>4.8807195071672584</c:v>
                </c:pt>
                <c:pt idx="6">
                  <c:v>6.1482136583195217</c:v>
                </c:pt>
                <c:pt idx="8">
                  <c:v>9.8468558758068401</c:v>
                </c:pt>
                <c:pt idx="10">
                  <c:v>12.194254954003316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750-4FDE-A735-FB8E970D6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094591"/>
        <c:axId val="332091679"/>
      </c:scatterChart>
      <c:valAx>
        <c:axId val="332076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77951"/>
        <c:crosses val="autoZero"/>
        <c:crossBetween val="midCat"/>
      </c:valAx>
      <c:valAx>
        <c:axId val="3320779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 (measured)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76287"/>
        <c:crosses val="autoZero"/>
        <c:crossBetween val="midCat"/>
      </c:valAx>
      <c:valAx>
        <c:axId val="33209167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094591"/>
        <c:crosses val="max"/>
        <c:crossBetween val="midCat"/>
      </c:valAx>
      <c:valAx>
        <c:axId val="3320945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3209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Inactivation &amp; CT vs HRT (varying</a:t>
            </a:r>
            <a:r>
              <a:rPr lang="en-US" baseline="0"/>
              <a:t> flowrate)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Inactivation 13-May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data'!$G$6:$G$16</c:f>
              <c:numCache>
                <c:formatCode>General</c:formatCode>
                <c:ptCount val="11"/>
                <c:pt idx="0">
                  <c:v>1.9603354076558346</c:v>
                </c:pt>
                <c:pt idx="1">
                  <c:v>5.1477695187377694</c:v>
                </c:pt>
                <c:pt idx="2">
                  <c:v>6.7414865742787367</c:v>
                </c:pt>
                <c:pt idx="3">
                  <c:v>8.3352036298197039</c:v>
                </c:pt>
                <c:pt idx="4">
                  <c:v>9.9289206853606728</c:v>
                </c:pt>
                <c:pt idx="5">
                  <c:v>11.52263774090164</c:v>
                </c:pt>
                <c:pt idx="6">
                  <c:v>14.710071851983574</c:v>
                </c:pt>
                <c:pt idx="8">
                  <c:v>26.596785564942959</c:v>
                </c:pt>
                <c:pt idx="10">
                  <c:v>38.896101778255826</c:v>
                </c:pt>
              </c:numCache>
            </c:numRef>
          </c:xVal>
          <c:yVal>
            <c:numRef>
              <c:f>'Plot data'!$J$6:$J$16</c:f>
              <c:numCache>
                <c:formatCode>General</c:formatCode>
                <c:ptCount val="11"/>
                <c:pt idx="0">
                  <c:v>0.12203075342063345</c:v>
                </c:pt>
                <c:pt idx="1">
                  <c:v>0.32525987528848194</c:v>
                </c:pt>
                <c:pt idx="2">
                  <c:v>0.42574434865483646</c:v>
                </c:pt>
                <c:pt idx="3">
                  <c:v>0.42574434865483646</c:v>
                </c:pt>
                <c:pt idx="4">
                  <c:v>0.51070663822556117</c:v>
                </c:pt>
                <c:pt idx="5">
                  <c:v>0.92306898946278593</c:v>
                </c:pt>
                <c:pt idx="6">
                  <c:v>0.92306898946278593</c:v>
                </c:pt>
                <c:pt idx="8">
                  <c:v>2.2654916702849923</c:v>
                </c:pt>
                <c:pt idx="10">
                  <c:v>2.2780807975930126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17-421A-8162-6A4470FED344}"/>
            </c:ext>
          </c:extLst>
        </c:ser>
        <c:ser>
          <c:idx val="1"/>
          <c:order val="1"/>
          <c:tx>
            <c:v>Inactivation 15-May</c:v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'Plot data'!$Z$6:$Z$16</c:f>
              <c:numCache>
                <c:formatCode>General</c:formatCode>
                <c:ptCount val="11"/>
                <c:pt idx="0">
                  <c:v>2.3508735292497764</c:v>
                </c:pt>
                <c:pt idx="1">
                  <c:v>7.059255490997538</c:v>
                </c:pt>
                <c:pt idx="2">
                  <c:v>9.4134464718714188</c:v>
                </c:pt>
                <c:pt idx="3">
                  <c:v>11.7676374527453</c:v>
                </c:pt>
                <c:pt idx="4">
                  <c:v>14.121828433619182</c:v>
                </c:pt>
                <c:pt idx="5">
                  <c:v>16.476019414493063</c:v>
                </c:pt>
                <c:pt idx="6">
                  <c:v>21.184401376240825</c:v>
                </c:pt>
                <c:pt idx="8">
                  <c:v>39.266322005651048</c:v>
                </c:pt>
                <c:pt idx="10">
                  <c:v>55.626957451205499</c:v>
                </c:pt>
              </c:numCache>
            </c:numRef>
          </c:xVal>
          <c:yVal>
            <c:numRef>
              <c:f>'Plot data'!$AC$6:$AC$16</c:f>
              <c:numCache>
                <c:formatCode>General</c:formatCode>
                <c:ptCount val="11"/>
                <c:pt idx="0">
                  <c:v>0.11250039802949996</c:v>
                </c:pt>
                <c:pt idx="1">
                  <c:v>0.24493491066581519</c:v>
                </c:pt>
                <c:pt idx="2">
                  <c:v>0.15559076977629577</c:v>
                </c:pt>
                <c:pt idx="3">
                  <c:v>0.38505601127331629</c:v>
                </c:pt>
                <c:pt idx="4">
                  <c:v>0.86251146722678762</c:v>
                </c:pt>
                <c:pt idx="5">
                  <c:v>1.0125688847257193</c:v>
                </c:pt>
                <c:pt idx="6">
                  <c:v>1.8757500731822527</c:v>
                </c:pt>
                <c:pt idx="8">
                  <c:v>1.9739545565433079</c:v>
                </c:pt>
                <c:pt idx="10">
                  <c:v>2.1565766827579469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17-421A-8162-6A4470FED344}"/>
            </c:ext>
          </c:extLst>
        </c:ser>
        <c:ser>
          <c:idx val="2"/>
          <c:order val="2"/>
          <c:tx>
            <c:v>Inactivation 22-May</c:v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'Plot data'!$AS$6:$AS$16</c:f>
              <c:numCache>
                <c:formatCode>General</c:formatCode>
                <c:ptCount val="11"/>
                <c:pt idx="0">
                  <c:v>1.6597240711682213</c:v>
                </c:pt>
                <c:pt idx="1">
                  <c:v>4.2147460381320538</c:v>
                </c:pt>
                <c:pt idx="2">
                  <c:v>5.4922570216139697</c:v>
                </c:pt>
                <c:pt idx="3">
                  <c:v>6.7697680050958864</c:v>
                </c:pt>
                <c:pt idx="4">
                  <c:v>8.0472789885778031</c:v>
                </c:pt>
                <c:pt idx="5">
                  <c:v>9.3247899720597189</c:v>
                </c:pt>
                <c:pt idx="6">
                  <c:v>11.879811939023551</c:v>
                </c:pt>
                <c:pt idx="8">
                  <c:v>22.145612376461052</c:v>
                </c:pt>
                <c:pt idx="10">
                  <c:v>31.906729106242359</c:v>
                </c:pt>
              </c:numCache>
            </c:numRef>
          </c:xVal>
          <c:yVal>
            <c:numRef>
              <c:f>'Plot data'!$AV$6:$AV$16</c:f>
              <c:numCache>
                <c:formatCode>General</c:formatCode>
                <c:ptCount val="11"/>
                <c:pt idx="0">
                  <c:v>0.15463625518583501</c:v>
                </c:pt>
                <c:pt idx="1">
                  <c:v>0.35271441588991687</c:v>
                </c:pt>
                <c:pt idx="2">
                  <c:v>0.12986889172100249</c:v>
                </c:pt>
                <c:pt idx="3">
                  <c:v>0.30262764730719544</c:v>
                </c:pt>
                <c:pt idx="4">
                  <c:v>0.53640608527058031</c:v>
                </c:pt>
                <c:pt idx="5">
                  <c:v>0.75260473986612331</c:v>
                </c:pt>
                <c:pt idx="6">
                  <c:v>1.0538854105626936</c:v>
                </c:pt>
                <c:pt idx="8">
                  <c:v>2.0229203540261054</c:v>
                </c:pt>
                <c:pt idx="10">
                  <c:v>2.310162065204453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17-421A-8162-6A4470FED344}"/>
            </c:ext>
          </c:extLst>
        </c:ser>
        <c:ser>
          <c:idx val="3"/>
          <c:order val="3"/>
          <c:tx>
            <c:v>Inactivation 29-May</c:v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'Plot data'!$BT$6:$BT$16</c:f>
              <c:numCache>
                <c:formatCode>General</c:formatCode>
                <c:ptCount val="11"/>
                <c:pt idx="0">
                  <c:v>1.6710508154902797</c:v>
                </c:pt>
                <c:pt idx="1">
                  <c:v>4.3678468817716922</c:v>
                </c:pt>
                <c:pt idx="3">
                  <c:v>7.0646429480531046</c:v>
                </c:pt>
                <c:pt idx="5">
                  <c:v>9.7614390143345169</c:v>
                </c:pt>
                <c:pt idx="6">
                  <c:v>12.458235080615928</c:v>
                </c:pt>
                <c:pt idx="8">
                  <c:v>22.454565398149221</c:v>
                </c:pt>
                <c:pt idx="10">
                  <c:v>33.124561208133208</c:v>
                </c:pt>
              </c:numCache>
            </c:numRef>
          </c:xVal>
          <c:yVal>
            <c:numRef>
              <c:f>'Plot data'!$BW$6:$BW$16</c:f>
              <c:numCache>
                <c:formatCode>General</c:formatCode>
                <c:ptCount val="11"/>
                <c:pt idx="0">
                  <c:v>0.1096661445411317</c:v>
                </c:pt>
                <c:pt idx="1">
                  <c:v>0.31120475080441962</c:v>
                </c:pt>
                <c:pt idx="3">
                  <c:v>0.46928505563679895</c:v>
                </c:pt>
                <c:pt idx="6">
                  <c:v>0.94700410051540551</c:v>
                </c:pt>
                <c:pt idx="8">
                  <c:v>2.0927733633670416</c:v>
                </c:pt>
                <c:pt idx="10">
                  <c:v>2.6232492903979003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17-421A-8162-6A4470FED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55887"/>
        <c:axId val="98260463"/>
      </c:scatterChart>
      <c:scatterChart>
        <c:scatterStyle val="lineMarker"/>
        <c:varyColors val="0"/>
        <c:ser>
          <c:idx val="4"/>
          <c:order val="4"/>
          <c:tx>
            <c:v>CT 29-May</c:v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'Plot data'!$BT$6:$BT$16</c:f>
              <c:numCache>
                <c:formatCode>General</c:formatCode>
                <c:ptCount val="11"/>
                <c:pt idx="0">
                  <c:v>1.6710508154902797</c:v>
                </c:pt>
                <c:pt idx="1">
                  <c:v>4.3678468817716922</c:v>
                </c:pt>
                <c:pt idx="3">
                  <c:v>7.0646429480531046</c:v>
                </c:pt>
                <c:pt idx="5">
                  <c:v>9.7614390143345169</c:v>
                </c:pt>
                <c:pt idx="6">
                  <c:v>12.458235080615928</c:v>
                </c:pt>
                <c:pt idx="8">
                  <c:v>22.454565398149221</c:v>
                </c:pt>
                <c:pt idx="10">
                  <c:v>33.124561208133208</c:v>
                </c:pt>
              </c:numCache>
            </c:numRef>
          </c:xVal>
          <c:yVal>
            <c:numRef>
              <c:f>'Plot data'!$BU$6:$BU$16</c:f>
              <c:numCache>
                <c:formatCode>General</c:formatCode>
                <c:ptCount val="11"/>
                <c:pt idx="0">
                  <c:v>0.98591998113926493</c:v>
                </c:pt>
                <c:pt idx="1">
                  <c:v>2.5230937389196697</c:v>
                </c:pt>
                <c:pt idx="3">
                  <c:v>4.0268464803902688</c:v>
                </c:pt>
                <c:pt idx="5">
                  <c:v>4.8807195071672584</c:v>
                </c:pt>
                <c:pt idx="6">
                  <c:v>6.1482136583195217</c:v>
                </c:pt>
                <c:pt idx="8">
                  <c:v>9.8468558758068401</c:v>
                </c:pt>
                <c:pt idx="10">
                  <c:v>12.194254954003316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17-421A-8162-6A4470FED344}"/>
            </c:ext>
          </c:extLst>
        </c:ser>
        <c:ser>
          <c:idx val="5"/>
          <c:order val="5"/>
          <c:tx>
            <c:v>CT 22-May</c:v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'Plot data'!$AS$6:$AS$16</c:f>
              <c:numCache>
                <c:formatCode>General</c:formatCode>
                <c:ptCount val="11"/>
                <c:pt idx="0">
                  <c:v>1.6597240711682213</c:v>
                </c:pt>
                <c:pt idx="1">
                  <c:v>4.2147460381320538</c:v>
                </c:pt>
                <c:pt idx="2">
                  <c:v>5.4922570216139697</c:v>
                </c:pt>
                <c:pt idx="3">
                  <c:v>6.7697680050958864</c:v>
                </c:pt>
                <c:pt idx="4">
                  <c:v>8.0472789885778031</c:v>
                </c:pt>
                <c:pt idx="5">
                  <c:v>9.3247899720597189</c:v>
                </c:pt>
                <c:pt idx="6">
                  <c:v>11.879811939023551</c:v>
                </c:pt>
                <c:pt idx="8">
                  <c:v>22.145612376461052</c:v>
                </c:pt>
                <c:pt idx="10">
                  <c:v>31.906729106242359</c:v>
                </c:pt>
              </c:numCache>
            </c:numRef>
          </c:xVal>
          <c:yVal>
            <c:numRef>
              <c:f>'Plot data'!$AT$6:$AT$16</c:f>
              <c:numCache>
                <c:formatCode>General</c:formatCode>
                <c:ptCount val="11"/>
                <c:pt idx="0">
                  <c:v>1.2779875347995304</c:v>
                </c:pt>
                <c:pt idx="1">
                  <c:v>3.2709046690313199</c:v>
                </c:pt>
                <c:pt idx="2">
                  <c:v>4.2545881263123952</c:v>
                </c:pt>
                <c:pt idx="3">
                  <c:v>5.1743960344193756</c:v>
                </c:pt>
                <c:pt idx="4">
                  <c:v>6.068653722856717</c:v>
                </c:pt>
                <c:pt idx="5">
                  <c:v>6.8607105326155047</c:v>
                </c:pt>
                <c:pt idx="6">
                  <c:v>8.495924591472356</c:v>
                </c:pt>
                <c:pt idx="8">
                  <c:v>13.526166805816732</c:v>
                </c:pt>
                <c:pt idx="10">
                  <c:v>16.2592794901555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17-421A-8162-6A4470FED344}"/>
            </c:ext>
          </c:extLst>
        </c:ser>
        <c:ser>
          <c:idx val="6"/>
          <c:order val="6"/>
          <c:tx>
            <c:v>CT 15-May</c:v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'Plot data'!$Z$6:$Z$16</c:f>
              <c:numCache>
                <c:formatCode>General</c:formatCode>
                <c:ptCount val="11"/>
                <c:pt idx="0">
                  <c:v>2.3508735292497764</c:v>
                </c:pt>
                <c:pt idx="1">
                  <c:v>7.059255490997538</c:v>
                </c:pt>
                <c:pt idx="2">
                  <c:v>9.4134464718714188</c:v>
                </c:pt>
                <c:pt idx="3">
                  <c:v>11.7676374527453</c:v>
                </c:pt>
                <c:pt idx="4">
                  <c:v>14.121828433619182</c:v>
                </c:pt>
                <c:pt idx="5">
                  <c:v>16.476019414493063</c:v>
                </c:pt>
                <c:pt idx="6">
                  <c:v>21.184401376240825</c:v>
                </c:pt>
                <c:pt idx="8">
                  <c:v>39.266322005651048</c:v>
                </c:pt>
                <c:pt idx="10">
                  <c:v>55.626957451205499</c:v>
                </c:pt>
              </c:numCache>
            </c:numRef>
          </c:xVal>
          <c:yVal>
            <c:numRef>
              <c:f>'Plot data'!$AA$6:$AA$16</c:f>
              <c:numCache>
                <c:formatCode>General</c:formatCode>
                <c:ptCount val="11"/>
                <c:pt idx="0">
                  <c:v>1.9277162939848165</c:v>
                </c:pt>
                <c:pt idx="1">
                  <c:v>4.9410807495033842</c:v>
                </c:pt>
                <c:pt idx="2">
                  <c:v>6.4242210674539288</c:v>
                </c:pt>
                <c:pt idx="3">
                  <c:v>7.7661099265520406</c:v>
                </c:pt>
                <c:pt idx="4">
                  <c:v>9.0138311464151979</c:v>
                </c:pt>
                <c:pt idx="5">
                  <c:v>10.1673847270434</c:v>
                </c:pt>
                <c:pt idx="6">
                  <c:v>12.286156609829893</c:v>
                </c:pt>
                <c:pt idx="8">
                  <c:v>18.434009623829368</c:v>
                </c:pt>
                <c:pt idx="10">
                  <c:v>20.724498586206991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17-421A-8162-6A4470FED344}"/>
            </c:ext>
          </c:extLst>
        </c:ser>
        <c:ser>
          <c:idx val="7"/>
          <c:order val="7"/>
          <c:tx>
            <c:v>CT 13-May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'Plot data'!$G$6:$G$16</c:f>
              <c:numCache>
                <c:formatCode>General</c:formatCode>
                <c:ptCount val="11"/>
                <c:pt idx="0">
                  <c:v>1.9603354076558346</c:v>
                </c:pt>
                <c:pt idx="1">
                  <c:v>5.1477695187377694</c:v>
                </c:pt>
                <c:pt idx="2">
                  <c:v>6.7414865742787367</c:v>
                </c:pt>
                <c:pt idx="3">
                  <c:v>8.3352036298197039</c:v>
                </c:pt>
                <c:pt idx="4">
                  <c:v>9.9289206853606728</c:v>
                </c:pt>
                <c:pt idx="5">
                  <c:v>11.52263774090164</c:v>
                </c:pt>
                <c:pt idx="6">
                  <c:v>14.710071851983574</c:v>
                </c:pt>
                <c:pt idx="8">
                  <c:v>26.596785564942959</c:v>
                </c:pt>
                <c:pt idx="10">
                  <c:v>38.896101778255826</c:v>
                </c:pt>
              </c:numCache>
            </c:numRef>
          </c:xVal>
          <c:yVal>
            <c:numRef>
              <c:f>'Plot data'!$H$6:$H$16</c:f>
              <c:numCache>
                <c:formatCode>General</c:formatCode>
                <c:ptCount val="11"/>
                <c:pt idx="0">
                  <c:v>1.8623186372730427</c:v>
                </c:pt>
                <c:pt idx="1">
                  <c:v>4.0616481739195773</c:v>
                </c:pt>
                <c:pt idx="2">
                  <c:v>5.1613129422428443</c:v>
                </c:pt>
                <c:pt idx="3">
                  <c:v>6.2291033694552924</c:v>
                </c:pt>
                <c:pt idx="4">
                  <c:v>7.2331451144461028</c:v>
                </c:pt>
                <c:pt idx="5">
                  <c:v>8.2212496888815032</c:v>
                </c:pt>
                <c:pt idx="6">
                  <c:v>10.069961473309025</c:v>
                </c:pt>
                <c:pt idx="8">
                  <c:v>15.656716918399935</c:v>
                </c:pt>
                <c:pt idx="10">
                  <c:v>19.223518620260666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517-421A-8162-6A4470FED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820287"/>
        <c:axId val="1585813631"/>
      </c:scatterChart>
      <c:valAx>
        <c:axId val="98255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60463"/>
        <c:crosses val="autoZero"/>
        <c:crossBetween val="midCat"/>
      </c:valAx>
      <c:valAx>
        <c:axId val="98260463"/>
        <c:scaling>
          <c:orientation val="minMax"/>
          <c:max val="2.7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Inactivation (log N0/N)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55887"/>
        <c:crosses val="autoZero"/>
        <c:crossBetween val="midCat"/>
      </c:valAx>
      <c:valAx>
        <c:axId val="1585813631"/>
        <c:scaling>
          <c:orientation val="minMax"/>
          <c:max val="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CT (mg/L*min)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820287"/>
        <c:crosses val="max"/>
        <c:crossBetween val="midCat"/>
      </c:valAx>
      <c:valAx>
        <c:axId val="1585820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5813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PAA dose = 1.2 mg/L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'Plot data'!$G$29:$G$62</c:f>
              <c:numCache>
                <c:formatCode>General</c:formatCode>
                <c:ptCount val="34"/>
                <c:pt idx="0">
                  <c:v>1.9603354076558346</c:v>
                </c:pt>
                <c:pt idx="1">
                  <c:v>5.1477695187377694</c:v>
                </c:pt>
                <c:pt idx="2">
                  <c:v>6.7414865742787367</c:v>
                </c:pt>
                <c:pt idx="3">
                  <c:v>8.3352036298197039</c:v>
                </c:pt>
                <c:pt idx="4">
                  <c:v>9.9289206853606728</c:v>
                </c:pt>
                <c:pt idx="5">
                  <c:v>11.52263774090164</c:v>
                </c:pt>
                <c:pt idx="6">
                  <c:v>14.710071851983574</c:v>
                </c:pt>
                <c:pt idx="7">
                  <c:v>26.596785564942959</c:v>
                </c:pt>
                <c:pt idx="8">
                  <c:v>38.896101778255826</c:v>
                </c:pt>
                <c:pt idx="9">
                  <c:v>2.3508735292497764</c:v>
                </c:pt>
                <c:pt idx="10">
                  <c:v>7.059255490997538</c:v>
                </c:pt>
                <c:pt idx="11">
                  <c:v>9.4134464718714188</c:v>
                </c:pt>
                <c:pt idx="12">
                  <c:v>11.7676374527453</c:v>
                </c:pt>
                <c:pt idx="13">
                  <c:v>14.121828433619182</c:v>
                </c:pt>
                <c:pt idx="14">
                  <c:v>16.476019414493063</c:v>
                </c:pt>
                <c:pt idx="15">
                  <c:v>21.184401376240825</c:v>
                </c:pt>
                <c:pt idx="16">
                  <c:v>39.266322005651048</c:v>
                </c:pt>
                <c:pt idx="17">
                  <c:v>55.626957451205499</c:v>
                </c:pt>
                <c:pt idx="18">
                  <c:v>1.6597240711682213</c:v>
                </c:pt>
                <c:pt idx="19">
                  <c:v>4.2147460381320538</c:v>
                </c:pt>
                <c:pt idx="20">
                  <c:v>5.4922570216139697</c:v>
                </c:pt>
                <c:pt idx="21">
                  <c:v>6.7697680050958864</c:v>
                </c:pt>
                <c:pt idx="22">
                  <c:v>8.0472789885778031</c:v>
                </c:pt>
                <c:pt idx="23">
                  <c:v>9.3247899720597189</c:v>
                </c:pt>
                <c:pt idx="24">
                  <c:v>11.879811939023551</c:v>
                </c:pt>
                <c:pt idx="25">
                  <c:v>22.145612376461052</c:v>
                </c:pt>
                <c:pt idx="26">
                  <c:v>31.906729106242359</c:v>
                </c:pt>
                <c:pt idx="27">
                  <c:v>1.6710508154902797</c:v>
                </c:pt>
                <c:pt idx="28">
                  <c:v>4.3678468817716922</c:v>
                </c:pt>
                <c:pt idx="29">
                  <c:v>7.0646429480531046</c:v>
                </c:pt>
                <c:pt idx="30">
                  <c:v>9.7614390143345169</c:v>
                </c:pt>
                <c:pt idx="31">
                  <c:v>12.458235080615928</c:v>
                </c:pt>
                <c:pt idx="32">
                  <c:v>22.454565398149221</c:v>
                </c:pt>
                <c:pt idx="33">
                  <c:v>33.124561208133208</c:v>
                </c:pt>
              </c:numCache>
            </c:numRef>
          </c:xVal>
          <c:yVal>
            <c:numRef>
              <c:f>'Plot data'!$M$29:$M$62</c:f>
              <c:numCache>
                <c:formatCode>General</c:formatCode>
                <c:ptCount val="34"/>
                <c:pt idx="0">
                  <c:v>0.15503566407410407</c:v>
                </c:pt>
                <c:pt idx="1">
                  <c:v>0.31482828418534492</c:v>
                </c:pt>
                <c:pt idx="2">
                  <c:v>0.39136794030460548</c:v>
                </c:pt>
                <c:pt idx="3">
                  <c:v>0.4656757819919381</c:v>
                </c:pt>
                <c:pt idx="4">
                  <c:v>0.53775643335103351</c:v>
                </c:pt>
                <c:pt idx="5">
                  <c:v>0.60761462575689051</c:v>
                </c:pt>
                <c:pt idx="6">
                  <c:v>0.74068299565764961</c:v>
                </c:pt>
                <c:pt idx="7">
                  <c:v>1.1593728229449609</c:v>
                </c:pt>
                <c:pt idx="8">
                  <c:v>1.4654739122736118</c:v>
                </c:pt>
                <c:pt idx="9">
                  <c:v>0.1750961727063805</c:v>
                </c:pt>
                <c:pt idx="10">
                  <c:v>0.40636206181467871</c:v>
                </c:pt>
                <c:pt idx="11">
                  <c:v>0.51468595780664816</c:v>
                </c:pt>
                <c:pt idx="12">
                  <c:v>0.61815703720631454</c:v>
                </c:pt>
                <c:pt idx="13">
                  <c:v>0.71679081186919003</c:v>
                </c:pt>
                <c:pt idx="14">
                  <c:v>0.81060313153066887</c:v>
                </c:pt>
                <c:pt idx="15">
                  <c:v>0.98382775742242912</c:v>
                </c:pt>
                <c:pt idx="16">
                  <c:v>1.4727047211229953</c:v>
                </c:pt>
                <c:pt idx="17">
                  <c:v>1.6776512766165748</c:v>
                </c:pt>
                <c:pt idx="18">
                  <c:v>0.13950255048983115</c:v>
                </c:pt>
                <c:pt idx="19">
                  <c:v>0.26898145005596785</c:v>
                </c:pt>
                <c:pt idx="20">
                  <c:v>0.33156189613687032</c:v>
                </c:pt>
                <c:pt idx="21">
                  <c:v>0.39270601344145512</c:v>
                </c:pt>
                <c:pt idx="22">
                  <c:v>0.45241612836717521</c:v>
                </c:pt>
                <c:pt idx="23">
                  <c:v>0.51069461811772432</c:v>
                </c:pt>
                <c:pt idx="24">
                  <c:v>0.62296645305021392</c:v>
                </c:pt>
                <c:pt idx="25">
                  <c:v>1.0168404663989041</c:v>
                </c:pt>
                <c:pt idx="26">
                  <c:v>1.3072628046721297</c:v>
                </c:pt>
                <c:pt idx="27">
                  <c:v>0.1400892715307831</c:v>
                </c:pt>
                <c:pt idx="28">
                  <c:v>0.27655711118367138</c:v>
                </c:pt>
                <c:pt idx="29">
                  <c:v>0.40661550759588033</c:v>
                </c:pt>
                <c:pt idx="31">
                  <c:v>0.64759174674583775</c:v>
                </c:pt>
                <c:pt idx="32">
                  <c:v>1.0272826292821418</c:v>
                </c:pt>
                <c:pt idx="33">
                  <c:v>1.3378020037710296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B9-4E49-AE34-31F68F4E782B}"/>
            </c:ext>
          </c:extLst>
        </c:ser>
        <c:ser>
          <c:idx val="1"/>
          <c:order val="1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'Plot data'!$G$29:$G$62</c:f>
              <c:numCache>
                <c:formatCode>General</c:formatCode>
                <c:ptCount val="34"/>
                <c:pt idx="0">
                  <c:v>1.9603354076558346</c:v>
                </c:pt>
                <c:pt idx="1">
                  <c:v>5.1477695187377694</c:v>
                </c:pt>
                <c:pt idx="2">
                  <c:v>6.7414865742787367</c:v>
                </c:pt>
                <c:pt idx="3">
                  <c:v>8.3352036298197039</c:v>
                </c:pt>
                <c:pt idx="4">
                  <c:v>9.9289206853606728</c:v>
                </c:pt>
                <c:pt idx="5">
                  <c:v>11.52263774090164</c:v>
                </c:pt>
                <c:pt idx="6">
                  <c:v>14.710071851983574</c:v>
                </c:pt>
                <c:pt idx="7">
                  <c:v>26.596785564942959</c:v>
                </c:pt>
                <c:pt idx="8">
                  <c:v>38.896101778255826</c:v>
                </c:pt>
                <c:pt idx="9">
                  <c:v>2.3508735292497764</c:v>
                </c:pt>
                <c:pt idx="10">
                  <c:v>7.059255490997538</c:v>
                </c:pt>
                <c:pt idx="11">
                  <c:v>9.4134464718714188</c:v>
                </c:pt>
                <c:pt idx="12">
                  <c:v>11.7676374527453</c:v>
                </c:pt>
                <c:pt idx="13">
                  <c:v>14.121828433619182</c:v>
                </c:pt>
                <c:pt idx="14">
                  <c:v>16.476019414493063</c:v>
                </c:pt>
                <c:pt idx="15">
                  <c:v>21.184401376240825</c:v>
                </c:pt>
                <c:pt idx="16">
                  <c:v>39.266322005651048</c:v>
                </c:pt>
                <c:pt idx="17">
                  <c:v>55.626957451205499</c:v>
                </c:pt>
                <c:pt idx="18">
                  <c:v>1.6597240711682213</c:v>
                </c:pt>
                <c:pt idx="19">
                  <c:v>4.2147460381320538</c:v>
                </c:pt>
                <c:pt idx="20">
                  <c:v>5.4922570216139697</c:v>
                </c:pt>
                <c:pt idx="21">
                  <c:v>6.7697680050958864</c:v>
                </c:pt>
                <c:pt idx="22">
                  <c:v>8.0472789885778031</c:v>
                </c:pt>
                <c:pt idx="23">
                  <c:v>9.3247899720597189</c:v>
                </c:pt>
                <c:pt idx="24">
                  <c:v>11.879811939023551</c:v>
                </c:pt>
                <c:pt idx="25">
                  <c:v>22.145612376461052</c:v>
                </c:pt>
                <c:pt idx="26">
                  <c:v>31.906729106242359</c:v>
                </c:pt>
                <c:pt idx="27">
                  <c:v>1.6710508154902797</c:v>
                </c:pt>
                <c:pt idx="28">
                  <c:v>4.3678468817716922</c:v>
                </c:pt>
                <c:pt idx="29">
                  <c:v>7.0646429480531046</c:v>
                </c:pt>
                <c:pt idx="30">
                  <c:v>9.7614390143345169</c:v>
                </c:pt>
                <c:pt idx="31">
                  <c:v>12.458235080615928</c:v>
                </c:pt>
                <c:pt idx="32">
                  <c:v>22.454565398149221</c:v>
                </c:pt>
                <c:pt idx="33">
                  <c:v>33.124561208133208</c:v>
                </c:pt>
              </c:numCache>
            </c:numRef>
          </c:xVal>
          <c:yVal>
            <c:numRef>
              <c:f>'Plot data'!$K$29:$K$62</c:f>
              <c:numCache>
                <c:formatCode>General</c:formatCode>
                <c:ptCount val="34"/>
                <c:pt idx="0">
                  <c:v>0.15390202611361059</c:v>
                </c:pt>
                <c:pt idx="1">
                  <c:v>0.33528164092351936</c:v>
                </c:pt>
                <c:pt idx="2">
                  <c:v>0.42581232485505704</c:v>
                </c:pt>
                <c:pt idx="3">
                  <c:v>0.51361319763327395</c:v>
                </c:pt>
                <c:pt idx="4">
                  <c:v>0.59607439103751392</c:v>
                </c:pt>
                <c:pt idx="5">
                  <c:v>0.67713150831504609</c:v>
                </c:pt>
                <c:pt idx="6">
                  <c:v>0.82852444451101981</c:v>
                </c:pt>
                <c:pt idx="7">
                  <c:v>1.2837970342912111</c:v>
                </c:pt>
                <c:pt idx="8">
                  <c:v>1.5725451330396243</c:v>
                </c:pt>
                <c:pt idx="9">
                  <c:v>0.15930133345973621</c:v>
                </c:pt>
                <c:pt idx="10">
                  <c:v>0.40769029608821511</c:v>
                </c:pt>
                <c:pt idx="11">
                  <c:v>0.52964557597511985</c:v>
                </c:pt>
                <c:pt idx="12">
                  <c:v>0.63980694723419373</c:v>
                </c:pt>
                <c:pt idx="13">
                  <c:v>0.74207935130741021</c:v>
                </c:pt>
                <c:pt idx="14">
                  <c:v>0.83649280895975964</c:v>
                </c:pt>
                <c:pt idx="15">
                  <c:v>1.0095403330131907</c:v>
                </c:pt>
                <c:pt idx="16">
                  <c:v>1.5087678215708522</c:v>
                </c:pt>
                <c:pt idx="17">
                  <c:v>1.6935734291581672</c:v>
                </c:pt>
                <c:pt idx="18">
                  <c:v>0.10564324460863503</c:v>
                </c:pt>
                <c:pt idx="19">
                  <c:v>0.27011668278166362</c:v>
                </c:pt>
                <c:pt idx="20">
                  <c:v>0.35117340667170693</c:v>
                </c:pt>
                <c:pt idx="21">
                  <c:v>0.42688874110653247</c:v>
                </c:pt>
                <c:pt idx="22">
                  <c:v>0.50042672884758055</c:v>
                </c:pt>
                <c:pt idx="23">
                  <c:v>0.56549785351985693</c:v>
                </c:pt>
                <c:pt idx="24">
                  <c:v>0.69964678637471689</c:v>
                </c:pt>
                <c:pt idx="25">
                  <c:v>1.1105887081596615</c:v>
                </c:pt>
                <c:pt idx="26">
                  <c:v>1.3326868524647539</c:v>
                </c:pt>
                <c:pt idx="27">
                  <c:v>8.1511445683916883E-2</c:v>
                </c:pt>
                <c:pt idx="28">
                  <c:v>0.20843990832205428</c:v>
                </c:pt>
                <c:pt idx="29">
                  <c:v>0.33241479960302339</c:v>
                </c:pt>
                <c:pt idx="31">
                  <c:v>0.50696562196907313</c:v>
                </c:pt>
                <c:pt idx="32">
                  <c:v>0.81027265063622844</c:v>
                </c:pt>
                <c:pt idx="33">
                  <c:v>1.0020444711256713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B9-4E49-AE34-31F68F4E7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091327"/>
        <c:axId val="1622378895"/>
      </c:scatterChart>
      <c:valAx>
        <c:axId val="1645091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378895"/>
        <c:crosses val="autoZero"/>
        <c:crossBetween val="midCat"/>
      </c:valAx>
      <c:valAx>
        <c:axId val="16223788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Inactivation (LOG N0/N)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09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20</xdr:row>
      <xdr:rowOff>171450</xdr:rowOff>
    </xdr:from>
    <xdr:to>
      <xdr:col>9</xdr:col>
      <xdr:colOff>198563</xdr:colOff>
      <xdr:row>35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0</xdr:row>
      <xdr:rowOff>19050</xdr:rowOff>
    </xdr:from>
    <xdr:to>
      <xdr:col>11</xdr:col>
      <xdr:colOff>357555</xdr:colOff>
      <xdr:row>20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35</xdr:row>
      <xdr:rowOff>53340</xdr:rowOff>
    </xdr:from>
    <xdr:to>
      <xdr:col>7</xdr:col>
      <xdr:colOff>129540</xdr:colOff>
      <xdr:row>50</xdr:row>
      <xdr:rowOff>53340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81AB9E-3B8C-4AB4-9878-DE025127C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19</xdr:row>
      <xdr:rowOff>133350</xdr:rowOff>
    </xdr:from>
    <xdr:to>
      <xdr:col>10</xdr:col>
      <xdr:colOff>561975</xdr:colOff>
      <xdr:row>31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438650"/>
          <a:ext cx="7934325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38100</xdr:rowOff>
    </xdr:from>
    <xdr:to>
      <xdr:col>11</xdr:col>
      <xdr:colOff>95250</xdr:colOff>
      <xdr:row>32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1275"/>
          <a:ext cx="7943850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19</xdr:row>
      <xdr:rowOff>133350</xdr:rowOff>
    </xdr:from>
    <xdr:to>
      <xdr:col>10</xdr:col>
      <xdr:colOff>561975</xdr:colOff>
      <xdr:row>31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53100"/>
          <a:ext cx="7934325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19</xdr:row>
      <xdr:rowOff>133350</xdr:rowOff>
    </xdr:from>
    <xdr:to>
      <xdr:col>10</xdr:col>
      <xdr:colOff>561975</xdr:colOff>
      <xdr:row>31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53100"/>
          <a:ext cx="7934325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17</xdr:row>
      <xdr:rowOff>133350</xdr:rowOff>
    </xdr:from>
    <xdr:to>
      <xdr:col>10</xdr:col>
      <xdr:colOff>561975</xdr:colOff>
      <xdr:row>29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53100"/>
          <a:ext cx="7934325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9</xdr:col>
      <xdr:colOff>1209675</xdr:colOff>
      <xdr:row>32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"/>
          <a:ext cx="7943850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638175</xdr:colOff>
      <xdr:row>16</xdr:row>
      <xdr:rowOff>161925</xdr:rowOff>
    </xdr:from>
    <xdr:to>
      <xdr:col>74</xdr:col>
      <xdr:colOff>314325</xdr:colOff>
      <xdr:row>31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628648</xdr:colOff>
      <xdr:row>31</xdr:row>
      <xdr:rowOff>47625</xdr:rowOff>
    </xdr:from>
    <xdr:to>
      <xdr:col>67</xdr:col>
      <xdr:colOff>390524</xdr:colOff>
      <xdr:row>45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543278</xdr:colOff>
      <xdr:row>24</xdr:row>
      <xdr:rowOff>25400</xdr:rowOff>
    </xdr:from>
    <xdr:to>
      <xdr:col>22</xdr:col>
      <xdr:colOff>529167</xdr:colOff>
      <xdr:row>39</xdr:row>
      <xdr:rowOff>16934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1B091F-D185-4418-A7D5-8E202F57E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5" workbookViewId="0">
      <selection activeCell="J46" activeCellId="1" sqref="J44 J46"/>
    </sheetView>
  </sheetViews>
  <sheetFormatPr defaultRowHeight="14.4" x14ac:dyDescent="0.55000000000000004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opLeftCell="A10" workbookViewId="0">
      <selection activeCell="D5" sqref="D5:E14"/>
    </sheetView>
  </sheetViews>
  <sheetFormatPr defaultRowHeight="14.4" x14ac:dyDescent="0.55000000000000004"/>
  <cols>
    <col min="1" max="1" width="10.68359375" bestFit="1" customWidth="1"/>
    <col min="2" max="2" width="9" customWidth="1"/>
    <col min="3" max="3" width="9.578125" bestFit="1" customWidth="1"/>
    <col min="4" max="7" width="10.578125" customWidth="1"/>
  </cols>
  <sheetData>
    <row r="1" spans="1:8" ht="14.7" thickBot="1" x14ac:dyDescent="0.6">
      <c r="F1" s="5" t="s">
        <v>19</v>
      </c>
      <c r="G1" s="6">
        <v>43598</v>
      </c>
    </row>
    <row r="2" spans="1:8" ht="14.7" thickBot="1" x14ac:dyDescent="0.6">
      <c r="F2" s="5"/>
      <c r="G2" s="12"/>
    </row>
    <row r="3" spans="1:8" x14ac:dyDescent="0.55000000000000004">
      <c r="D3" s="55" t="s">
        <v>12</v>
      </c>
      <c r="E3" s="56"/>
      <c r="F3" s="57" t="s">
        <v>13</v>
      </c>
      <c r="G3" s="58"/>
    </row>
    <row r="4" spans="1:8" x14ac:dyDescent="0.55000000000000004">
      <c r="A4" s="2" t="s">
        <v>0</v>
      </c>
      <c r="B4" s="2" t="s">
        <v>1</v>
      </c>
      <c r="C4" s="16" t="s">
        <v>11</v>
      </c>
      <c r="D4" s="22" t="s">
        <v>20</v>
      </c>
      <c r="E4" s="23" t="s">
        <v>21</v>
      </c>
      <c r="F4" s="19" t="s">
        <v>20</v>
      </c>
      <c r="G4" s="9" t="s">
        <v>21</v>
      </c>
    </row>
    <row r="5" spans="1:8" ht="27" customHeight="1" x14ac:dyDescent="0.55000000000000004">
      <c r="A5" s="2" t="s">
        <v>3</v>
      </c>
      <c r="B5" s="7">
        <v>0.50694444444444442</v>
      </c>
      <c r="C5" s="17" t="s">
        <v>7</v>
      </c>
      <c r="D5" s="24"/>
      <c r="E5" s="25">
        <v>6450</v>
      </c>
      <c r="F5" s="20"/>
      <c r="G5" s="10">
        <v>81900</v>
      </c>
      <c r="H5" s="11"/>
    </row>
    <row r="6" spans="1:8" ht="27" customHeight="1" x14ac:dyDescent="0.55000000000000004">
      <c r="A6" s="2" t="s">
        <v>2</v>
      </c>
      <c r="B6" s="7">
        <v>0.50486111111111109</v>
      </c>
      <c r="C6" s="18">
        <v>0.95</v>
      </c>
      <c r="D6" s="26"/>
      <c r="E6" s="27">
        <v>4870</v>
      </c>
      <c r="F6" s="21"/>
      <c r="G6" s="3">
        <v>107700</v>
      </c>
    </row>
    <row r="7" spans="1:8" ht="27" customHeight="1" x14ac:dyDescent="0.55000000000000004">
      <c r="A7" s="2" t="s">
        <v>14</v>
      </c>
      <c r="B7" s="7">
        <v>0.50208333333333333</v>
      </c>
      <c r="C7" s="18">
        <v>0.69</v>
      </c>
      <c r="D7" s="26"/>
      <c r="E7" s="27">
        <v>3050</v>
      </c>
      <c r="F7" s="21"/>
      <c r="G7" s="21">
        <v>53101</v>
      </c>
    </row>
    <row r="8" spans="1:8" ht="27" customHeight="1" x14ac:dyDescent="0.55000000000000004">
      <c r="A8" s="2" t="s">
        <v>15</v>
      </c>
      <c r="B8" s="7">
        <v>0.4993055555555555</v>
      </c>
      <c r="C8" s="18">
        <v>0.69</v>
      </c>
      <c r="D8" s="26">
        <v>2420</v>
      </c>
      <c r="E8" s="27"/>
      <c r="F8" s="21">
        <v>19571</v>
      </c>
      <c r="G8" s="3"/>
    </row>
    <row r="9" spans="1:8" ht="27" customHeight="1" x14ac:dyDescent="0.55000000000000004">
      <c r="A9" s="2" t="s">
        <v>16</v>
      </c>
      <c r="B9" s="7">
        <v>0.49652777777777773</v>
      </c>
      <c r="C9" s="18">
        <v>0.67</v>
      </c>
      <c r="D9" s="26">
        <v>2420</v>
      </c>
      <c r="E9" s="27"/>
      <c r="F9" s="21">
        <v>25383</v>
      </c>
      <c r="G9" s="3"/>
    </row>
    <row r="10" spans="1:8" ht="27" customHeight="1" x14ac:dyDescent="0.55000000000000004">
      <c r="A10" s="2" t="s">
        <v>17</v>
      </c>
      <c r="B10" s="7">
        <v>0.49444444444444446</v>
      </c>
      <c r="C10" s="18">
        <v>0.63</v>
      </c>
      <c r="D10" s="26">
        <v>1990</v>
      </c>
      <c r="E10" s="27"/>
      <c r="F10" s="21">
        <v>994</v>
      </c>
      <c r="G10" s="3"/>
    </row>
    <row r="11" spans="1:8" ht="27" customHeight="1" x14ac:dyDescent="0.55000000000000004">
      <c r="A11" s="2" t="s">
        <v>18</v>
      </c>
      <c r="B11" s="7">
        <v>0.49305555555555558</v>
      </c>
      <c r="C11" s="18">
        <v>0.62</v>
      </c>
      <c r="D11" s="26">
        <v>770</v>
      </c>
      <c r="E11" s="27"/>
      <c r="F11" s="21">
        <v>198</v>
      </c>
      <c r="G11" s="3"/>
    </row>
    <row r="12" spans="1:8" ht="27" customHeight="1" x14ac:dyDescent="0.55000000000000004">
      <c r="A12" s="2" t="s">
        <v>4</v>
      </c>
      <c r="B12" s="7">
        <v>0.4909722222222222</v>
      </c>
      <c r="C12" s="18">
        <v>0.57999999999999996</v>
      </c>
      <c r="D12" s="26">
        <v>770</v>
      </c>
      <c r="E12" s="27"/>
      <c r="F12" s="21">
        <v>137</v>
      </c>
      <c r="G12" s="3"/>
    </row>
    <row r="13" spans="1:8" ht="27" customHeight="1" x14ac:dyDescent="0.55000000000000004">
      <c r="A13" s="2" t="s">
        <v>6</v>
      </c>
      <c r="B13" s="7">
        <v>0.48819444444444443</v>
      </c>
      <c r="C13" s="18">
        <v>0.47</v>
      </c>
      <c r="D13" s="26">
        <v>35</v>
      </c>
      <c r="E13" s="27"/>
      <c r="F13" s="21">
        <v>1</v>
      </c>
      <c r="G13" s="3"/>
    </row>
    <row r="14" spans="1:8" ht="27" customHeight="1" thickBot="1" x14ac:dyDescent="0.6">
      <c r="A14" s="2" t="s">
        <v>5</v>
      </c>
      <c r="B14" s="7">
        <v>0.48333333333333334</v>
      </c>
      <c r="C14" s="18">
        <v>0.28999999999999998</v>
      </c>
      <c r="D14" s="29">
        <v>34</v>
      </c>
      <c r="E14" s="30"/>
      <c r="F14" s="21">
        <v>4</v>
      </c>
      <c r="G14" s="3"/>
    </row>
    <row r="15" spans="1:8" x14ac:dyDescent="0.55000000000000004">
      <c r="A15" s="1"/>
    </row>
    <row r="16" spans="1:8" ht="27" customHeight="1" x14ac:dyDescent="0.55000000000000004">
      <c r="A16" s="2" t="s">
        <v>8</v>
      </c>
      <c r="B16" s="3"/>
      <c r="C16" s="4" t="s">
        <v>7</v>
      </c>
      <c r="D16" s="3"/>
      <c r="E16" s="3"/>
      <c r="F16" s="3"/>
      <c r="G16" s="3"/>
    </row>
    <row r="17" spans="1:7" ht="27" customHeight="1" x14ac:dyDescent="0.55000000000000004">
      <c r="A17" s="2" t="s">
        <v>9</v>
      </c>
      <c r="B17" s="3"/>
      <c r="C17" s="3"/>
      <c r="D17" s="3"/>
      <c r="E17" s="3"/>
      <c r="F17" s="3"/>
      <c r="G17" s="3"/>
    </row>
    <row r="18" spans="1:7" ht="27" customHeight="1" x14ac:dyDescent="0.55000000000000004">
      <c r="A18" s="2" t="s">
        <v>10</v>
      </c>
      <c r="B18" s="3"/>
      <c r="C18" s="3"/>
      <c r="D18" s="3"/>
      <c r="E18" s="3"/>
      <c r="F18" s="3"/>
      <c r="G18" s="3"/>
    </row>
  </sheetData>
  <mergeCells count="2">
    <mergeCell ref="D3:E3"/>
    <mergeCell ref="F3:G3"/>
  </mergeCells>
  <printOptions horizontalCentere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opLeftCell="A10" workbookViewId="0">
      <selection sqref="A1:G20"/>
    </sheetView>
  </sheetViews>
  <sheetFormatPr defaultRowHeight="14.4" x14ac:dyDescent="0.55000000000000004"/>
  <cols>
    <col min="1" max="1" width="11.41796875" customWidth="1"/>
    <col min="3" max="3" width="10.15625" customWidth="1"/>
    <col min="7" max="7" width="9.41796875" bestFit="1" customWidth="1"/>
  </cols>
  <sheetData>
    <row r="1" spans="1:7" ht="14.7" thickBot="1" x14ac:dyDescent="0.6">
      <c r="F1" s="5" t="s">
        <v>19</v>
      </c>
      <c r="G1" s="6">
        <v>43600</v>
      </c>
    </row>
    <row r="2" spans="1:7" ht="14.7" thickBot="1" x14ac:dyDescent="0.6">
      <c r="F2" s="5"/>
      <c r="G2" s="12"/>
    </row>
    <row r="3" spans="1:7" x14ac:dyDescent="0.55000000000000004">
      <c r="D3" s="55" t="s">
        <v>12</v>
      </c>
      <c r="E3" s="56"/>
      <c r="F3" s="57" t="s">
        <v>13</v>
      </c>
      <c r="G3" s="58"/>
    </row>
    <row r="4" spans="1:7" ht="19.5" customHeight="1" x14ac:dyDescent="0.55000000000000004">
      <c r="A4" s="8" t="s">
        <v>0</v>
      </c>
      <c r="B4" s="8" t="s">
        <v>1</v>
      </c>
      <c r="C4" s="16" t="s">
        <v>11</v>
      </c>
      <c r="D4" s="22" t="s">
        <v>20</v>
      </c>
      <c r="E4" s="23" t="s">
        <v>21</v>
      </c>
      <c r="F4" s="19" t="s">
        <v>20</v>
      </c>
      <c r="G4" s="9" t="s">
        <v>21</v>
      </c>
    </row>
    <row r="5" spans="1:7" ht="27" customHeight="1" x14ac:dyDescent="0.55000000000000004">
      <c r="A5" s="13" t="s">
        <v>3</v>
      </c>
      <c r="B5" s="7">
        <v>0.39097222222222222</v>
      </c>
      <c r="C5" s="17" t="s">
        <v>7</v>
      </c>
      <c r="D5" s="24"/>
      <c r="E5" s="25">
        <v>6310</v>
      </c>
      <c r="F5" s="20">
        <v>49394045</v>
      </c>
      <c r="G5" s="10">
        <v>220700</v>
      </c>
    </row>
    <row r="6" spans="1:7" ht="27" customHeight="1" x14ac:dyDescent="0.55000000000000004">
      <c r="A6" s="13" t="s">
        <v>24</v>
      </c>
      <c r="B6" s="7">
        <v>0.38750000000000001</v>
      </c>
      <c r="C6" s="18">
        <v>0.82</v>
      </c>
      <c r="D6" s="26"/>
      <c r="E6" s="27">
        <v>4870</v>
      </c>
      <c r="F6" s="21">
        <v>8511890</v>
      </c>
      <c r="G6" s="3">
        <v>36000</v>
      </c>
    </row>
    <row r="7" spans="1:7" ht="27" customHeight="1" x14ac:dyDescent="0.55000000000000004">
      <c r="A7" s="13" t="s">
        <v>14</v>
      </c>
      <c r="B7" s="7">
        <v>0.38541666666666669</v>
      </c>
      <c r="C7" s="18">
        <v>0.64</v>
      </c>
      <c r="D7" s="26">
        <v>1990</v>
      </c>
      <c r="E7" s="27">
        <v>3590</v>
      </c>
      <c r="F7" s="21">
        <v>225792</v>
      </c>
      <c r="G7" s="3">
        <v>2600</v>
      </c>
    </row>
    <row r="8" spans="1:7" ht="27" customHeight="1" x14ac:dyDescent="0.55000000000000004">
      <c r="A8" s="13" t="s">
        <v>15</v>
      </c>
      <c r="B8" s="7">
        <v>0.3833333333333333</v>
      </c>
      <c r="C8" s="18">
        <v>0.63</v>
      </c>
      <c r="D8" s="28" t="s">
        <v>30</v>
      </c>
      <c r="E8" s="27">
        <v>4410</v>
      </c>
      <c r="F8" s="21">
        <v>257857</v>
      </c>
      <c r="G8" s="3">
        <v>100</v>
      </c>
    </row>
    <row r="9" spans="1:7" ht="27" customHeight="1" x14ac:dyDescent="0.55000000000000004">
      <c r="A9" s="13" t="s">
        <v>16</v>
      </c>
      <c r="B9" s="7">
        <v>0.38055555555555554</v>
      </c>
      <c r="C9" s="18">
        <v>0.56999999999999995</v>
      </c>
      <c r="D9" s="26">
        <v>1120</v>
      </c>
      <c r="E9" s="27">
        <v>2600</v>
      </c>
      <c r="F9" s="21"/>
      <c r="G9" s="3">
        <v>1876</v>
      </c>
    </row>
    <row r="10" spans="1:7" ht="27" customHeight="1" x14ac:dyDescent="0.55000000000000004">
      <c r="A10" s="13" t="s">
        <v>17</v>
      </c>
      <c r="B10" s="7">
        <v>0.37916666666666665</v>
      </c>
      <c r="C10" s="18">
        <v>0.53</v>
      </c>
      <c r="D10" s="26">
        <v>866</v>
      </c>
      <c r="E10" s="27"/>
      <c r="F10" s="21"/>
      <c r="G10" s="3">
        <v>1373</v>
      </c>
    </row>
    <row r="11" spans="1:7" ht="27" customHeight="1" x14ac:dyDescent="0.55000000000000004">
      <c r="A11" s="13" t="s">
        <v>18</v>
      </c>
      <c r="B11" s="7">
        <v>0.37708333333333338</v>
      </c>
      <c r="C11" s="18">
        <v>0.49</v>
      </c>
      <c r="D11" s="26">
        <v>613</v>
      </c>
      <c r="E11" s="27"/>
      <c r="F11" s="21"/>
      <c r="G11" s="3">
        <v>400</v>
      </c>
    </row>
    <row r="12" spans="1:7" ht="27" customHeight="1" x14ac:dyDescent="0.55000000000000004">
      <c r="A12" s="13" t="s">
        <v>25</v>
      </c>
      <c r="B12" s="7">
        <v>0.3756944444444445</v>
      </c>
      <c r="C12" s="18">
        <v>0.45</v>
      </c>
      <c r="D12" s="26">
        <v>84</v>
      </c>
      <c r="E12" s="27"/>
      <c r="F12" s="21"/>
      <c r="G12" s="3">
        <v>10</v>
      </c>
    </row>
    <row r="13" spans="1:7" ht="27" customHeight="1" x14ac:dyDescent="0.55000000000000004">
      <c r="A13" s="13" t="s">
        <v>22</v>
      </c>
      <c r="B13" s="7">
        <v>0.37222222222222223</v>
      </c>
      <c r="C13" s="18">
        <v>0.44</v>
      </c>
      <c r="D13" s="26">
        <v>45</v>
      </c>
      <c r="E13" s="27"/>
      <c r="F13" s="21"/>
      <c r="G13" s="3">
        <v>19</v>
      </c>
    </row>
    <row r="14" spans="1:7" ht="27" customHeight="1" x14ac:dyDescent="0.55000000000000004">
      <c r="A14" s="13" t="s">
        <v>26</v>
      </c>
      <c r="B14" s="7">
        <v>0.37013888888888885</v>
      </c>
      <c r="C14" s="18">
        <v>0.34</v>
      </c>
      <c r="D14" s="26">
        <v>67</v>
      </c>
      <c r="E14" s="27"/>
      <c r="F14" s="21"/>
      <c r="G14" s="3">
        <v>27</v>
      </c>
    </row>
    <row r="15" spans="1:7" ht="27" customHeight="1" x14ac:dyDescent="0.55000000000000004">
      <c r="A15" s="13" t="s">
        <v>23</v>
      </c>
      <c r="B15" s="7">
        <v>0.36736111111111108</v>
      </c>
      <c r="C15" s="18">
        <v>0.16</v>
      </c>
      <c r="D15" s="26">
        <v>33</v>
      </c>
      <c r="E15" s="27"/>
      <c r="F15" s="21"/>
      <c r="G15" s="3">
        <v>780</v>
      </c>
    </row>
    <row r="16" spans="1:7" ht="27" customHeight="1" thickBot="1" x14ac:dyDescent="0.6">
      <c r="A16" s="13" t="s">
        <v>27</v>
      </c>
      <c r="B16" s="7">
        <v>0.36249999999999999</v>
      </c>
      <c r="C16" s="18">
        <v>0.14000000000000001</v>
      </c>
      <c r="D16" s="29">
        <v>44</v>
      </c>
      <c r="E16" s="30"/>
      <c r="F16" s="21"/>
      <c r="G16" s="3">
        <v>17</v>
      </c>
    </row>
    <row r="17" spans="1:7" x14ac:dyDescent="0.55000000000000004">
      <c r="A17" s="14"/>
    </row>
    <row r="18" spans="1:7" ht="27" customHeight="1" x14ac:dyDescent="0.55000000000000004">
      <c r="A18" s="13" t="s">
        <v>8</v>
      </c>
      <c r="B18" s="3"/>
      <c r="C18" s="4" t="s">
        <v>7</v>
      </c>
      <c r="D18" s="3"/>
      <c r="E18" s="3"/>
      <c r="F18" s="3"/>
      <c r="G18" s="3"/>
    </row>
    <row r="19" spans="1:7" ht="27" customHeight="1" x14ac:dyDescent="0.55000000000000004">
      <c r="A19" s="13" t="s">
        <v>28</v>
      </c>
      <c r="B19" s="3"/>
      <c r="C19" s="3"/>
      <c r="D19" s="3"/>
      <c r="E19" s="3"/>
      <c r="F19" s="3"/>
      <c r="G19" s="3"/>
    </row>
    <row r="20" spans="1:7" ht="27" customHeight="1" x14ac:dyDescent="0.55000000000000004">
      <c r="A20" s="13" t="s">
        <v>29</v>
      </c>
      <c r="B20" s="3"/>
      <c r="C20" s="3"/>
      <c r="D20" s="3"/>
      <c r="E20" s="3"/>
      <c r="F20" s="3"/>
      <c r="G20" s="3"/>
    </row>
  </sheetData>
  <mergeCells count="2">
    <mergeCell ref="D3:E3"/>
    <mergeCell ref="F3:G3"/>
  </mergeCells>
  <printOptions horizontalCentered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topLeftCell="A4" workbookViewId="0">
      <selection activeCell="D5" sqref="D5:E14"/>
    </sheetView>
  </sheetViews>
  <sheetFormatPr defaultRowHeight="14.4" x14ac:dyDescent="0.55000000000000004"/>
  <cols>
    <col min="1" max="1" width="10.68359375" bestFit="1" customWidth="1"/>
    <col min="2" max="2" width="9" customWidth="1"/>
    <col min="3" max="3" width="9.578125" bestFit="1" customWidth="1"/>
    <col min="4" max="7" width="10.578125" customWidth="1"/>
  </cols>
  <sheetData>
    <row r="1" spans="1:8" ht="14.7" thickBot="1" x14ac:dyDescent="0.6">
      <c r="F1" s="5" t="s">
        <v>19</v>
      </c>
      <c r="G1" s="6">
        <v>43607</v>
      </c>
    </row>
    <row r="2" spans="1:8" ht="14.7" thickBot="1" x14ac:dyDescent="0.6">
      <c r="F2" s="5"/>
      <c r="G2" s="12"/>
    </row>
    <row r="3" spans="1:8" x14ac:dyDescent="0.55000000000000004">
      <c r="D3" s="55" t="s">
        <v>12</v>
      </c>
      <c r="E3" s="56"/>
      <c r="F3" s="57" t="s">
        <v>13</v>
      </c>
      <c r="G3" s="58"/>
    </row>
    <row r="4" spans="1:8" x14ac:dyDescent="0.55000000000000004">
      <c r="A4" s="15" t="s">
        <v>0</v>
      </c>
      <c r="B4" s="15" t="s">
        <v>1</v>
      </c>
      <c r="C4" s="16" t="s">
        <v>11</v>
      </c>
      <c r="D4" s="22" t="s">
        <v>20</v>
      </c>
      <c r="E4" s="23" t="s">
        <v>21</v>
      </c>
      <c r="F4" s="19" t="s">
        <v>20</v>
      </c>
      <c r="G4" s="9" t="s">
        <v>21</v>
      </c>
    </row>
    <row r="5" spans="1:8" ht="27" customHeight="1" x14ac:dyDescent="0.55000000000000004">
      <c r="A5" s="15" t="s">
        <v>3</v>
      </c>
      <c r="B5" s="7">
        <v>0.47013888888888888</v>
      </c>
      <c r="C5" s="17" t="s">
        <v>7</v>
      </c>
      <c r="D5" s="24"/>
      <c r="E5" s="25">
        <v>9804</v>
      </c>
      <c r="F5" s="20"/>
      <c r="G5" s="10">
        <v>3472610</v>
      </c>
      <c r="H5" s="11"/>
    </row>
    <row r="6" spans="1:8" ht="27" customHeight="1" x14ac:dyDescent="0.55000000000000004">
      <c r="A6" s="15" t="s">
        <v>2</v>
      </c>
      <c r="B6" s="7">
        <v>0.46736111111111112</v>
      </c>
      <c r="C6" s="18">
        <v>0.77</v>
      </c>
      <c r="D6" s="26"/>
      <c r="E6" s="27">
        <v>6867</v>
      </c>
      <c r="F6" s="21"/>
      <c r="G6" s="3">
        <v>161790</v>
      </c>
    </row>
    <row r="7" spans="1:8" ht="27" customHeight="1" x14ac:dyDescent="0.55000000000000004">
      <c r="A7" s="15" t="s">
        <v>14</v>
      </c>
      <c r="B7" s="7">
        <v>0.46458333333333335</v>
      </c>
      <c r="C7" s="18">
        <v>0.78</v>
      </c>
      <c r="D7" s="26"/>
      <c r="E7" s="27">
        <v>4352</v>
      </c>
      <c r="F7" s="21"/>
      <c r="G7" s="3">
        <v>7030</v>
      </c>
    </row>
    <row r="8" spans="1:8" ht="27" customHeight="1" x14ac:dyDescent="0.55000000000000004">
      <c r="A8" s="15" t="s">
        <v>15</v>
      </c>
      <c r="B8" s="7">
        <v>0.46249999999999997</v>
      </c>
      <c r="C8" s="18">
        <v>0.77</v>
      </c>
      <c r="D8" s="26"/>
      <c r="E8" s="27">
        <v>7270</v>
      </c>
      <c r="F8" s="21"/>
      <c r="G8" s="3">
        <v>5230</v>
      </c>
    </row>
    <row r="9" spans="1:8" ht="27" customHeight="1" x14ac:dyDescent="0.55000000000000004">
      <c r="A9" s="15" t="s">
        <v>16</v>
      </c>
      <c r="B9" s="7">
        <v>0.46111111111111108</v>
      </c>
      <c r="C9" s="18">
        <v>0.72</v>
      </c>
      <c r="D9" s="26"/>
      <c r="E9" s="27">
        <v>4884</v>
      </c>
      <c r="F9" s="21"/>
      <c r="G9" s="3">
        <v>10310</v>
      </c>
    </row>
    <row r="10" spans="1:8" ht="27" customHeight="1" x14ac:dyDescent="0.55000000000000004">
      <c r="A10" s="15" t="s">
        <v>17</v>
      </c>
      <c r="B10" s="7">
        <v>0.45902777777777781</v>
      </c>
      <c r="C10" s="18">
        <v>0.7</v>
      </c>
      <c r="D10" s="26">
        <v>2420</v>
      </c>
      <c r="E10" s="27">
        <v>2851</v>
      </c>
      <c r="F10" s="21">
        <v>13553</v>
      </c>
      <c r="G10" s="3">
        <v>2360</v>
      </c>
    </row>
    <row r="11" spans="1:8" ht="27" customHeight="1" x14ac:dyDescent="0.55000000000000004">
      <c r="A11" s="15" t="s">
        <v>18</v>
      </c>
      <c r="B11" s="7">
        <v>0.45555555555555555</v>
      </c>
      <c r="C11" s="18">
        <v>0.62</v>
      </c>
      <c r="D11" s="26">
        <v>1733</v>
      </c>
      <c r="E11" s="27"/>
      <c r="F11" s="21">
        <v>6302</v>
      </c>
      <c r="G11" s="3"/>
    </row>
    <row r="12" spans="1:8" ht="27" customHeight="1" x14ac:dyDescent="0.55000000000000004">
      <c r="A12" s="15" t="s">
        <v>4</v>
      </c>
      <c r="B12" s="7">
        <v>0.45416666666666666</v>
      </c>
      <c r="C12" s="18">
        <v>0.64</v>
      </c>
      <c r="D12" s="26">
        <v>866</v>
      </c>
      <c r="E12" s="27"/>
      <c r="F12" s="21">
        <v>337</v>
      </c>
      <c r="G12" s="3"/>
    </row>
    <row r="13" spans="1:8" ht="27" customHeight="1" x14ac:dyDescent="0.55000000000000004">
      <c r="A13" s="15" t="s">
        <v>6</v>
      </c>
      <c r="B13" s="7">
        <v>0.4513888888888889</v>
      </c>
      <c r="C13" s="18">
        <v>0.49</v>
      </c>
      <c r="D13" s="26">
        <v>93</v>
      </c>
      <c r="E13" s="27"/>
      <c r="F13" s="21">
        <v>1</v>
      </c>
      <c r="G13" s="3"/>
    </row>
    <row r="14" spans="1:8" ht="27" customHeight="1" thickBot="1" x14ac:dyDescent="0.6">
      <c r="A14" s="15" t="s">
        <v>5</v>
      </c>
      <c r="B14" s="7">
        <v>0.44722222222222219</v>
      </c>
      <c r="C14" s="18">
        <v>0.28000000000000003</v>
      </c>
      <c r="D14" s="29">
        <v>48</v>
      </c>
      <c r="E14" s="30"/>
      <c r="F14" s="21">
        <v>10</v>
      </c>
      <c r="G14" s="3"/>
    </row>
    <row r="15" spans="1:8" x14ac:dyDescent="0.55000000000000004">
      <c r="A15" s="1"/>
    </row>
    <row r="16" spans="1:8" ht="27" customHeight="1" x14ac:dyDescent="0.55000000000000004">
      <c r="A16" s="15" t="s">
        <v>8</v>
      </c>
      <c r="B16" s="3"/>
      <c r="C16" s="4" t="s">
        <v>7</v>
      </c>
      <c r="D16" s="3"/>
      <c r="E16" s="3"/>
      <c r="F16" s="3"/>
      <c r="G16" s="3"/>
    </row>
    <row r="17" spans="1:7" ht="27" customHeight="1" x14ac:dyDescent="0.55000000000000004">
      <c r="A17" s="15" t="s">
        <v>9</v>
      </c>
      <c r="B17" s="3"/>
      <c r="C17" s="3"/>
      <c r="D17" s="3"/>
      <c r="E17" s="3"/>
      <c r="F17" s="3"/>
      <c r="G17" s="3"/>
    </row>
    <row r="18" spans="1:7" ht="27" customHeight="1" x14ac:dyDescent="0.55000000000000004">
      <c r="A18" s="15" t="s">
        <v>10</v>
      </c>
      <c r="B18" s="3"/>
      <c r="C18" s="3"/>
      <c r="D18" s="3"/>
      <c r="E18" s="3"/>
      <c r="F18" s="3"/>
      <c r="G18" s="3"/>
    </row>
  </sheetData>
  <mergeCells count="2">
    <mergeCell ref="D3:E3"/>
    <mergeCell ref="F3:G3"/>
  </mergeCells>
  <printOptions horizontalCentered="1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>
      <selection activeCell="D5" sqref="D5:E14"/>
    </sheetView>
  </sheetViews>
  <sheetFormatPr defaultRowHeight="14.4" x14ac:dyDescent="0.55000000000000004"/>
  <cols>
    <col min="1" max="1" width="10.68359375" bestFit="1" customWidth="1"/>
    <col min="2" max="2" width="9" customWidth="1"/>
    <col min="3" max="3" width="9.578125" bestFit="1" customWidth="1"/>
    <col min="4" max="7" width="10.578125" customWidth="1"/>
  </cols>
  <sheetData>
    <row r="1" spans="1:8" ht="14.7" thickBot="1" x14ac:dyDescent="0.6">
      <c r="F1" s="5" t="s">
        <v>19</v>
      </c>
      <c r="G1" s="6">
        <v>43613</v>
      </c>
    </row>
    <row r="2" spans="1:8" ht="14.7" thickBot="1" x14ac:dyDescent="0.6">
      <c r="F2" s="5"/>
      <c r="G2" s="12"/>
    </row>
    <row r="3" spans="1:8" x14ac:dyDescent="0.55000000000000004">
      <c r="D3" s="55" t="s">
        <v>12</v>
      </c>
      <c r="E3" s="56"/>
      <c r="F3" s="57" t="s">
        <v>13</v>
      </c>
      <c r="G3" s="58"/>
    </row>
    <row r="4" spans="1:8" x14ac:dyDescent="0.55000000000000004">
      <c r="A4" s="31" t="s">
        <v>0</v>
      </c>
      <c r="B4" s="31" t="s">
        <v>1</v>
      </c>
      <c r="C4" s="16" t="s">
        <v>11</v>
      </c>
      <c r="D4" s="22" t="s">
        <v>20</v>
      </c>
      <c r="E4" s="23" t="s">
        <v>31</v>
      </c>
      <c r="F4" s="19" t="s">
        <v>20</v>
      </c>
      <c r="G4" s="23" t="s">
        <v>31</v>
      </c>
    </row>
    <row r="5" spans="1:8" ht="27" customHeight="1" x14ac:dyDescent="0.55000000000000004">
      <c r="A5" s="31" t="s">
        <v>3</v>
      </c>
      <c r="B5" s="7">
        <v>0.62708333333333333</v>
      </c>
      <c r="C5" s="17" t="s">
        <v>7</v>
      </c>
      <c r="D5" s="24"/>
      <c r="E5" s="25">
        <v>10810</v>
      </c>
      <c r="F5" s="20"/>
      <c r="G5" s="10">
        <v>1089900</v>
      </c>
      <c r="H5" s="33" t="s">
        <v>21</v>
      </c>
    </row>
    <row r="6" spans="1:8" ht="27" customHeight="1" x14ac:dyDescent="0.55000000000000004">
      <c r="A6" s="31" t="s">
        <v>2</v>
      </c>
      <c r="B6" s="7">
        <v>0.62430555555555556</v>
      </c>
      <c r="C6" s="18">
        <v>0.78</v>
      </c>
      <c r="D6" s="26"/>
      <c r="E6" s="27">
        <v>15150</v>
      </c>
      <c r="F6" s="21"/>
      <c r="G6" s="3">
        <v>72500</v>
      </c>
      <c r="H6" t="s">
        <v>21</v>
      </c>
    </row>
    <row r="7" spans="1:8" ht="27" customHeight="1" x14ac:dyDescent="0.55000000000000004">
      <c r="A7" s="31" t="s">
        <v>14</v>
      </c>
      <c r="B7" s="7">
        <v>0.62152777777777779</v>
      </c>
      <c r="C7" s="18">
        <v>0.76</v>
      </c>
      <c r="D7" s="26"/>
      <c r="E7" s="27">
        <v>10462</v>
      </c>
      <c r="F7" s="21"/>
      <c r="G7" s="3">
        <v>113670</v>
      </c>
    </row>
    <row r="8" spans="1:8" ht="27" customHeight="1" x14ac:dyDescent="0.55000000000000004">
      <c r="A8" s="31" t="s">
        <v>15</v>
      </c>
      <c r="B8" s="7">
        <v>0.62013888888888891</v>
      </c>
      <c r="C8" s="18">
        <v>0.8</v>
      </c>
      <c r="D8" s="26"/>
      <c r="E8" s="27">
        <v>8664</v>
      </c>
      <c r="F8" s="21"/>
      <c r="G8" s="3">
        <v>150230</v>
      </c>
    </row>
    <row r="9" spans="1:8" ht="27" customHeight="1" x14ac:dyDescent="0.55000000000000004">
      <c r="A9" s="31" t="s">
        <v>16</v>
      </c>
      <c r="B9" s="7">
        <v>0.61805555555555558</v>
      </c>
      <c r="C9" s="18">
        <v>0.77</v>
      </c>
      <c r="D9" s="26"/>
      <c r="E9" s="27">
        <v>7270</v>
      </c>
      <c r="F9" s="21"/>
      <c r="G9" s="3">
        <v>31730</v>
      </c>
    </row>
    <row r="10" spans="1:8" ht="27" customHeight="1" x14ac:dyDescent="0.55000000000000004">
      <c r="A10" s="31" t="s">
        <v>17</v>
      </c>
      <c r="B10" s="7">
        <v>0.61527777777777781</v>
      </c>
      <c r="C10" s="18">
        <v>0.73</v>
      </c>
      <c r="D10" s="26" t="s">
        <v>30</v>
      </c>
      <c r="E10" s="27">
        <v>6131</v>
      </c>
      <c r="F10" s="21">
        <v>216974</v>
      </c>
      <c r="G10" s="3">
        <v>20420</v>
      </c>
    </row>
    <row r="11" spans="1:8" ht="27" customHeight="1" x14ac:dyDescent="0.55000000000000004">
      <c r="A11" s="31" t="s">
        <v>18</v>
      </c>
      <c r="B11" s="7">
        <v>0.61388888888888882</v>
      </c>
      <c r="C11" s="18">
        <v>0.72</v>
      </c>
      <c r="D11" s="26" t="s">
        <v>30</v>
      </c>
      <c r="E11" s="27"/>
      <c r="F11" s="21">
        <v>13038</v>
      </c>
      <c r="G11" s="3"/>
    </row>
    <row r="12" spans="1:8" ht="27" customHeight="1" x14ac:dyDescent="0.55000000000000004">
      <c r="A12" s="31" t="s">
        <v>4</v>
      </c>
      <c r="B12" s="7">
        <v>0.61111111111111105</v>
      </c>
      <c r="C12" s="18">
        <v>0.65</v>
      </c>
      <c r="D12" s="26">
        <v>2420</v>
      </c>
      <c r="E12" s="27"/>
      <c r="F12" s="21">
        <v>43894</v>
      </c>
      <c r="G12" s="3"/>
    </row>
    <row r="13" spans="1:8" ht="27" customHeight="1" x14ac:dyDescent="0.55000000000000004">
      <c r="A13" s="31" t="s">
        <v>6</v>
      </c>
      <c r="B13" s="7">
        <v>0.60833333333333328</v>
      </c>
      <c r="C13" s="18">
        <v>0.57999999999999996</v>
      </c>
      <c r="D13" s="26">
        <v>67</v>
      </c>
      <c r="E13" s="27"/>
      <c r="F13" s="21">
        <v>42</v>
      </c>
      <c r="G13" s="3"/>
    </row>
    <row r="14" spans="1:8" ht="27" customHeight="1" thickBot="1" x14ac:dyDescent="0.6">
      <c r="A14" s="31" t="s">
        <v>5</v>
      </c>
      <c r="B14" s="7">
        <v>0.60416666666666663</v>
      </c>
      <c r="C14" s="18">
        <v>0.42</v>
      </c>
      <c r="D14" s="29">
        <v>44.6</v>
      </c>
      <c r="E14" s="30"/>
      <c r="F14" s="21">
        <v>13</v>
      </c>
      <c r="G14" s="3"/>
    </row>
    <row r="15" spans="1:8" x14ac:dyDescent="0.55000000000000004">
      <c r="A15" s="1"/>
    </row>
    <row r="16" spans="1:8" ht="27" customHeight="1" x14ac:dyDescent="0.55000000000000004">
      <c r="A16" s="31" t="s">
        <v>8</v>
      </c>
      <c r="B16" s="3"/>
      <c r="C16" s="4" t="s">
        <v>7</v>
      </c>
      <c r="D16" s="3"/>
      <c r="E16" s="3"/>
      <c r="F16" s="3"/>
      <c r="G16" s="3"/>
    </row>
    <row r="17" spans="1:7" ht="27" customHeight="1" x14ac:dyDescent="0.55000000000000004">
      <c r="A17" s="31" t="s">
        <v>9</v>
      </c>
      <c r="B17" s="3"/>
      <c r="C17" s="3"/>
      <c r="D17" s="3"/>
      <c r="E17" s="3"/>
      <c r="F17" s="3"/>
      <c r="G17" s="3"/>
    </row>
    <row r="18" spans="1:7" ht="27" customHeight="1" x14ac:dyDescent="0.55000000000000004">
      <c r="A18" s="31" t="s">
        <v>10</v>
      </c>
      <c r="B18" s="3"/>
      <c r="C18" s="3"/>
      <c r="D18" s="3"/>
      <c r="E18" s="3"/>
      <c r="F18" s="3"/>
      <c r="G18" s="3"/>
    </row>
  </sheetData>
  <mergeCells count="2">
    <mergeCell ref="D3:E3"/>
    <mergeCell ref="F3:G3"/>
  </mergeCells>
  <printOptions horizontalCentered="1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topLeftCell="A4" workbookViewId="0">
      <selection activeCell="F11" sqref="F11"/>
    </sheetView>
  </sheetViews>
  <sheetFormatPr defaultRowHeight="14.4" x14ac:dyDescent="0.55000000000000004"/>
  <cols>
    <col min="1" max="1" width="10.68359375" bestFit="1" customWidth="1"/>
    <col min="2" max="2" width="9" customWidth="1"/>
    <col min="3" max="3" width="9.578125" bestFit="1" customWidth="1"/>
    <col min="4" max="7" width="10.578125" customWidth="1"/>
  </cols>
  <sheetData>
    <row r="1" spans="1:7" ht="14.7" thickBot="1" x14ac:dyDescent="0.6">
      <c r="F1" s="5" t="s">
        <v>19</v>
      </c>
      <c r="G1" s="6">
        <v>43614</v>
      </c>
    </row>
    <row r="2" spans="1:7" ht="14.7" thickBot="1" x14ac:dyDescent="0.6">
      <c r="F2" s="5"/>
      <c r="G2" s="12"/>
    </row>
    <row r="3" spans="1:7" x14ac:dyDescent="0.55000000000000004">
      <c r="D3" s="55" t="s">
        <v>12</v>
      </c>
      <c r="E3" s="56"/>
    </row>
    <row r="4" spans="1:7" x14ac:dyDescent="0.55000000000000004">
      <c r="A4" s="32" t="s">
        <v>0</v>
      </c>
      <c r="B4" s="32" t="s">
        <v>1</v>
      </c>
      <c r="C4" s="16" t="s">
        <v>11</v>
      </c>
      <c r="D4" s="22" t="s">
        <v>20</v>
      </c>
      <c r="E4" s="23" t="s">
        <v>31</v>
      </c>
    </row>
    <row r="5" spans="1:7" ht="27" customHeight="1" x14ac:dyDescent="0.55000000000000004">
      <c r="A5" s="32" t="s">
        <v>3</v>
      </c>
      <c r="B5" s="7">
        <v>0.6479166666666667</v>
      </c>
      <c r="C5" s="17" t="s">
        <v>7</v>
      </c>
      <c r="D5" s="24"/>
      <c r="E5" s="25">
        <v>21420</v>
      </c>
      <c r="F5" s="11"/>
    </row>
    <row r="6" spans="1:7" ht="27" customHeight="1" x14ac:dyDescent="0.55000000000000004">
      <c r="A6" s="32" t="s">
        <v>2</v>
      </c>
      <c r="B6" s="7">
        <v>0.64583333333333337</v>
      </c>
      <c r="C6" s="18">
        <v>0.59</v>
      </c>
      <c r="D6" s="26"/>
      <c r="E6" s="27">
        <v>16640</v>
      </c>
    </row>
    <row r="7" spans="1:7" ht="27" customHeight="1" x14ac:dyDescent="0.55000000000000004">
      <c r="A7" s="32" t="s">
        <v>14</v>
      </c>
      <c r="B7" s="7">
        <v>0.64236111111111105</v>
      </c>
      <c r="C7" s="18">
        <v>0.56999999999999995</v>
      </c>
      <c r="D7" s="26"/>
      <c r="E7" s="27">
        <v>10462</v>
      </c>
    </row>
    <row r="8" spans="1:7" ht="27" customHeight="1" x14ac:dyDescent="0.55000000000000004">
      <c r="A8" s="32" t="s">
        <v>16</v>
      </c>
      <c r="B8" s="7">
        <v>0.63888888888888895</v>
      </c>
      <c r="C8" s="18">
        <v>0.56999999999999995</v>
      </c>
      <c r="D8" s="26"/>
      <c r="E8" s="27">
        <v>7270</v>
      </c>
    </row>
    <row r="9" spans="1:7" ht="27" customHeight="1" x14ac:dyDescent="0.55000000000000004">
      <c r="A9" s="32" t="s">
        <v>18</v>
      </c>
      <c r="B9" s="7">
        <v>0.63750000000000007</v>
      </c>
      <c r="C9" s="18">
        <v>0.5</v>
      </c>
      <c r="D9" s="26" t="s">
        <v>30</v>
      </c>
      <c r="E9" s="27"/>
    </row>
    <row r="10" spans="1:7" ht="27" customHeight="1" x14ac:dyDescent="0.55000000000000004">
      <c r="A10" s="32" t="s">
        <v>4</v>
      </c>
      <c r="B10" s="7">
        <v>0.63611111111111118</v>
      </c>
      <c r="C10" s="18">
        <v>0.47</v>
      </c>
      <c r="D10" s="26">
        <v>2420</v>
      </c>
      <c r="E10" s="27"/>
    </row>
    <row r="11" spans="1:7" ht="27" customHeight="1" x14ac:dyDescent="0.55000000000000004">
      <c r="A11" s="32" t="s">
        <v>6</v>
      </c>
      <c r="B11" s="7">
        <v>0.63194444444444442</v>
      </c>
      <c r="C11" s="18">
        <v>0.37</v>
      </c>
      <c r="D11" s="26">
        <v>173</v>
      </c>
      <c r="E11" s="27"/>
    </row>
    <row r="12" spans="1:7" ht="27" customHeight="1" thickBot="1" x14ac:dyDescent="0.6">
      <c r="A12" s="32" t="s">
        <v>5</v>
      </c>
      <c r="B12" s="7">
        <v>0.62708333333333333</v>
      </c>
      <c r="C12" s="18">
        <v>0.22</v>
      </c>
      <c r="D12" s="29">
        <v>51.2</v>
      </c>
      <c r="E12" s="30"/>
    </row>
    <row r="13" spans="1:7" x14ac:dyDescent="0.55000000000000004">
      <c r="A13" s="1"/>
    </row>
    <row r="14" spans="1:7" ht="27" customHeight="1" x14ac:dyDescent="0.55000000000000004">
      <c r="A14" s="32" t="s">
        <v>8</v>
      </c>
      <c r="B14" s="3"/>
      <c r="C14" s="4" t="s">
        <v>7</v>
      </c>
      <c r="D14" s="3"/>
      <c r="E14" s="3"/>
      <c r="F14" s="3"/>
      <c r="G14" s="3"/>
    </row>
    <row r="15" spans="1:7" ht="27" customHeight="1" x14ac:dyDescent="0.55000000000000004">
      <c r="A15" s="32" t="s">
        <v>9</v>
      </c>
      <c r="B15" s="3"/>
      <c r="C15" s="3"/>
      <c r="D15" s="3"/>
      <c r="E15" s="3"/>
      <c r="F15" s="3"/>
      <c r="G15" s="3"/>
    </row>
    <row r="16" spans="1:7" ht="27" customHeight="1" x14ac:dyDescent="0.55000000000000004">
      <c r="A16" s="32" t="s">
        <v>10</v>
      </c>
      <c r="B16" s="3"/>
      <c r="C16" s="3"/>
      <c r="D16" s="3"/>
      <c r="E16" s="3"/>
      <c r="F16" s="3"/>
      <c r="G16" s="3"/>
    </row>
  </sheetData>
  <mergeCells count="1">
    <mergeCell ref="D3:E3"/>
  </mergeCells>
  <printOptions horizontalCentered="1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P17"/>
  <sheetViews>
    <sheetView workbookViewId="0">
      <selection activeCell="P16" sqref="A1:P16"/>
    </sheetView>
  </sheetViews>
  <sheetFormatPr defaultRowHeight="14.4" x14ac:dyDescent="0.55000000000000004"/>
  <cols>
    <col min="1" max="1" width="11.41796875" bestFit="1" customWidth="1"/>
    <col min="2" max="2" width="5.41796875" bestFit="1" customWidth="1"/>
    <col min="3" max="3" width="9.578125" bestFit="1" customWidth="1"/>
    <col min="4" max="4" width="16.26171875" bestFit="1" customWidth="1"/>
    <col min="5" max="5" width="4.83984375" bestFit="1" customWidth="1"/>
    <col min="6" max="6" width="9.578125" bestFit="1" customWidth="1"/>
    <col min="7" max="7" width="16.26171875" bestFit="1" customWidth="1"/>
    <col min="8" max="8" width="5.41796875" bestFit="1" customWidth="1"/>
    <col min="9" max="9" width="9.578125" bestFit="1" customWidth="1"/>
    <col min="10" max="10" width="16.26171875" bestFit="1" customWidth="1"/>
    <col min="11" max="11" width="5.41796875" bestFit="1" customWidth="1"/>
    <col min="12" max="12" width="9.578125" bestFit="1" customWidth="1"/>
    <col min="13" max="13" width="16.26171875" bestFit="1" customWidth="1"/>
    <col min="14" max="14" width="5.41796875" bestFit="1" customWidth="1"/>
    <col min="15" max="15" width="9.578125" bestFit="1" customWidth="1"/>
    <col min="16" max="16" width="16.26171875" bestFit="1" customWidth="1"/>
  </cols>
  <sheetData>
    <row r="2" spans="1:16" ht="14.7" thickBot="1" x14ac:dyDescent="0.6"/>
    <row r="3" spans="1:16" x14ac:dyDescent="0.55000000000000004">
      <c r="B3" s="36" t="s">
        <v>19</v>
      </c>
      <c r="C3" s="59">
        <v>43598</v>
      </c>
      <c r="D3" s="60"/>
      <c r="E3" s="36" t="s">
        <v>19</v>
      </c>
      <c r="F3" s="59">
        <v>43600</v>
      </c>
      <c r="G3" s="60"/>
      <c r="H3" s="36" t="s">
        <v>19</v>
      </c>
      <c r="I3" s="59">
        <v>43607</v>
      </c>
      <c r="J3" s="60"/>
      <c r="K3" s="36" t="s">
        <v>19</v>
      </c>
      <c r="L3" s="59">
        <v>43613</v>
      </c>
      <c r="M3" s="60"/>
      <c r="N3" s="36" t="s">
        <v>19</v>
      </c>
      <c r="O3" s="59">
        <v>43614</v>
      </c>
      <c r="P3" s="60"/>
    </row>
    <row r="4" spans="1:16" x14ac:dyDescent="0.55000000000000004">
      <c r="A4" s="16" t="s">
        <v>0</v>
      </c>
      <c r="B4" s="37" t="s">
        <v>1</v>
      </c>
      <c r="C4" s="16" t="s">
        <v>11</v>
      </c>
      <c r="D4" s="38" t="s">
        <v>32</v>
      </c>
      <c r="E4" s="37" t="s">
        <v>1</v>
      </c>
      <c r="F4" s="16" t="s">
        <v>11</v>
      </c>
      <c r="G4" s="38" t="s">
        <v>32</v>
      </c>
      <c r="H4" s="37" t="s">
        <v>1</v>
      </c>
      <c r="I4" s="16" t="s">
        <v>11</v>
      </c>
      <c r="J4" s="38" t="s">
        <v>32</v>
      </c>
      <c r="K4" s="37" t="s">
        <v>1</v>
      </c>
      <c r="L4" s="16" t="s">
        <v>11</v>
      </c>
      <c r="M4" s="38" t="s">
        <v>32</v>
      </c>
      <c r="N4" s="37" t="s">
        <v>1</v>
      </c>
      <c r="O4" s="16" t="s">
        <v>11</v>
      </c>
      <c r="P4" s="38" t="s">
        <v>32</v>
      </c>
    </row>
    <row r="5" spans="1:16" x14ac:dyDescent="0.55000000000000004">
      <c r="A5" s="35" t="s">
        <v>3</v>
      </c>
      <c r="B5" s="39">
        <v>0.50694444444444442</v>
      </c>
      <c r="C5" s="17" t="s">
        <v>7</v>
      </c>
      <c r="D5" s="25">
        <v>6450</v>
      </c>
      <c r="E5" s="39">
        <v>0.39097222222222222</v>
      </c>
      <c r="F5" s="17" t="s">
        <v>7</v>
      </c>
      <c r="G5" s="25">
        <v>6310</v>
      </c>
      <c r="H5" s="39">
        <v>0.47013888888888888</v>
      </c>
      <c r="I5" s="17" t="s">
        <v>7</v>
      </c>
      <c r="J5" s="25">
        <v>9804</v>
      </c>
      <c r="K5" s="39">
        <v>0.62708333333333333</v>
      </c>
      <c r="L5" s="17" t="s">
        <v>7</v>
      </c>
      <c r="M5" s="25">
        <v>10810</v>
      </c>
      <c r="N5" s="39">
        <v>0.6479166666666667</v>
      </c>
      <c r="O5" s="17" t="s">
        <v>7</v>
      </c>
      <c r="P5" s="25">
        <v>21420</v>
      </c>
    </row>
    <row r="6" spans="1:16" x14ac:dyDescent="0.55000000000000004">
      <c r="A6" s="35" t="s">
        <v>24</v>
      </c>
      <c r="B6" s="39">
        <v>0.50486111111111109</v>
      </c>
      <c r="C6" s="18">
        <v>0.95</v>
      </c>
      <c r="D6" s="27">
        <v>4870</v>
      </c>
      <c r="E6" s="39">
        <v>0.38750000000000001</v>
      </c>
      <c r="F6" s="18">
        <v>0.82</v>
      </c>
      <c r="G6" s="27">
        <v>4870</v>
      </c>
      <c r="H6" s="39">
        <v>0.46736111111111112</v>
      </c>
      <c r="I6" s="18">
        <v>0.77</v>
      </c>
      <c r="J6" s="27">
        <v>6867</v>
      </c>
      <c r="K6" s="39">
        <v>0.62430555555555556</v>
      </c>
      <c r="L6" s="18">
        <v>0.78</v>
      </c>
      <c r="M6" s="27">
        <v>15150</v>
      </c>
      <c r="N6" s="39">
        <v>0.64583333333333337</v>
      </c>
      <c r="O6" s="18">
        <v>0.59</v>
      </c>
      <c r="P6" s="27">
        <v>16640</v>
      </c>
    </row>
    <row r="7" spans="1:16" x14ac:dyDescent="0.55000000000000004">
      <c r="A7" s="35" t="s">
        <v>14</v>
      </c>
      <c r="B7" s="39">
        <v>0.50208333333333333</v>
      </c>
      <c r="C7" s="18">
        <v>0.69</v>
      </c>
      <c r="D7" s="27">
        <v>3050</v>
      </c>
      <c r="E7" s="39">
        <v>0.38541666666666669</v>
      </c>
      <c r="F7" s="18">
        <v>0.64</v>
      </c>
      <c r="G7" s="27">
        <v>3590</v>
      </c>
      <c r="H7" s="39">
        <v>0.46458333333333335</v>
      </c>
      <c r="I7" s="18">
        <v>0.78</v>
      </c>
      <c r="J7" s="27">
        <v>4352</v>
      </c>
      <c r="K7" s="39">
        <v>0.62152777777777779</v>
      </c>
      <c r="L7" s="18">
        <v>0.76</v>
      </c>
      <c r="M7" s="27">
        <v>10462</v>
      </c>
      <c r="N7" s="39">
        <v>0.64236111111111105</v>
      </c>
      <c r="O7" s="18">
        <v>0.56999999999999995</v>
      </c>
      <c r="P7" s="27">
        <v>10462</v>
      </c>
    </row>
    <row r="8" spans="1:16" x14ac:dyDescent="0.55000000000000004">
      <c r="A8" s="35" t="s">
        <v>15</v>
      </c>
      <c r="B8" s="39">
        <v>0.4993055555555555</v>
      </c>
      <c r="C8" s="18">
        <v>0.69</v>
      </c>
      <c r="D8" s="27">
        <v>2420</v>
      </c>
      <c r="E8" s="39">
        <v>0.3833333333333333</v>
      </c>
      <c r="F8" s="18">
        <v>0.63</v>
      </c>
      <c r="G8" s="27">
        <v>4410</v>
      </c>
      <c r="H8" s="39">
        <v>0.46249999999999997</v>
      </c>
      <c r="I8" s="18">
        <v>0.77</v>
      </c>
      <c r="J8" s="27">
        <v>7270</v>
      </c>
      <c r="K8" s="39">
        <v>0.62013888888888891</v>
      </c>
      <c r="L8" s="18">
        <v>0.8</v>
      </c>
      <c r="M8" s="27">
        <v>8664</v>
      </c>
      <c r="N8" s="40" t="s">
        <v>7</v>
      </c>
      <c r="O8" s="17" t="s">
        <v>7</v>
      </c>
      <c r="P8" s="41" t="s">
        <v>7</v>
      </c>
    </row>
    <row r="9" spans="1:16" x14ac:dyDescent="0.55000000000000004">
      <c r="A9" s="35" t="s">
        <v>16</v>
      </c>
      <c r="B9" s="39">
        <v>0.49652777777777773</v>
      </c>
      <c r="C9" s="18">
        <v>0.67</v>
      </c>
      <c r="D9" s="27">
        <v>2420</v>
      </c>
      <c r="E9" s="39">
        <v>0.38055555555555554</v>
      </c>
      <c r="F9" s="18">
        <v>0.56999999999999995</v>
      </c>
      <c r="G9" s="27">
        <v>2600</v>
      </c>
      <c r="H9" s="39">
        <v>0.46111111111111108</v>
      </c>
      <c r="I9" s="18">
        <v>0.72</v>
      </c>
      <c r="J9" s="27">
        <v>4884</v>
      </c>
      <c r="K9" s="39">
        <v>0.61805555555555558</v>
      </c>
      <c r="L9" s="18">
        <v>0.77</v>
      </c>
      <c r="M9" s="27">
        <v>7270</v>
      </c>
      <c r="N9" s="39">
        <v>0.63888888888888895</v>
      </c>
      <c r="O9" s="18">
        <v>0.56999999999999995</v>
      </c>
      <c r="P9" s="27">
        <v>7270</v>
      </c>
    </row>
    <row r="10" spans="1:16" x14ac:dyDescent="0.55000000000000004">
      <c r="A10" s="35" t="s">
        <v>17</v>
      </c>
      <c r="B10" s="39">
        <v>0.49444444444444446</v>
      </c>
      <c r="C10" s="18">
        <v>0.63</v>
      </c>
      <c r="D10" s="27">
        <v>1990</v>
      </c>
      <c r="E10" s="39">
        <v>0.37916666666666665</v>
      </c>
      <c r="F10" s="18">
        <v>0.53</v>
      </c>
      <c r="G10" s="27">
        <v>866</v>
      </c>
      <c r="H10" s="39">
        <v>0.45902777777777781</v>
      </c>
      <c r="I10" s="18">
        <v>0.7</v>
      </c>
      <c r="J10" s="27">
        <v>2851</v>
      </c>
      <c r="K10" s="39">
        <v>0.61527777777777781</v>
      </c>
      <c r="L10" s="18">
        <v>0.73</v>
      </c>
      <c r="M10" s="27">
        <v>6131</v>
      </c>
      <c r="N10" s="40" t="s">
        <v>7</v>
      </c>
      <c r="O10" s="17" t="s">
        <v>7</v>
      </c>
      <c r="P10" s="41" t="s">
        <v>7</v>
      </c>
    </row>
    <row r="11" spans="1:16" x14ac:dyDescent="0.55000000000000004">
      <c r="A11" s="35" t="s">
        <v>18</v>
      </c>
      <c r="B11" s="39">
        <v>0.49305555555555558</v>
      </c>
      <c r="C11" s="18">
        <v>0.62</v>
      </c>
      <c r="D11" s="27">
        <v>770</v>
      </c>
      <c r="E11" s="39">
        <v>0.37708333333333338</v>
      </c>
      <c r="F11" s="18">
        <v>0.49</v>
      </c>
      <c r="G11" s="27">
        <v>613</v>
      </c>
      <c r="H11" s="39">
        <v>0.45555555555555555</v>
      </c>
      <c r="I11" s="18">
        <v>0.62</v>
      </c>
      <c r="J11" s="27">
        <v>1733</v>
      </c>
      <c r="K11" s="39">
        <v>0.61388888888888882</v>
      </c>
      <c r="L11" s="18">
        <v>0.72</v>
      </c>
      <c r="M11" s="25" t="s">
        <v>30</v>
      </c>
      <c r="N11" s="39">
        <v>0.63750000000000007</v>
      </c>
      <c r="O11" s="18">
        <v>0.5</v>
      </c>
      <c r="P11" s="25" t="s">
        <v>30</v>
      </c>
    </row>
    <row r="12" spans="1:16" x14ac:dyDescent="0.55000000000000004">
      <c r="A12" s="35" t="s">
        <v>25</v>
      </c>
      <c r="B12" s="39">
        <v>0.4909722222222222</v>
      </c>
      <c r="C12" s="18">
        <v>0.57999999999999996</v>
      </c>
      <c r="D12" s="27">
        <v>770</v>
      </c>
      <c r="E12" s="39">
        <v>0.3756944444444445</v>
      </c>
      <c r="F12" s="18">
        <v>0.45</v>
      </c>
      <c r="G12" s="27">
        <v>84</v>
      </c>
      <c r="H12" s="39">
        <v>0.45416666666666666</v>
      </c>
      <c r="I12" s="18">
        <v>0.64</v>
      </c>
      <c r="J12" s="27">
        <v>866</v>
      </c>
      <c r="K12" s="39">
        <v>0.61111111111111105</v>
      </c>
      <c r="L12" s="18">
        <v>0.65</v>
      </c>
      <c r="M12" s="27">
        <v>2420</v>
      </c>
      <c r="N12" s="39">
        <v>0.63611111111111118</v>
      </c>
      <c r="O12" s="18">
        <v>0.47</v>
      </c>
      <c r="P12" s="27">
        <v>2420</v>
      </c>
    </row>
    <row r="13" spans="1:16" x14ac:dyDescent="0.55000000000000004">
      <c r="A13" s="35" t="s">
        <v>22</v>
      </c>
      <c r="B13" s="40" t="s">
        <v>7</v>
      </c>
      <c r="C13" s="17" t="s">
        <v>7</v>
      </c>
      <c r="D13" s="41" t="s">
        <v>7</v>
      </c>
      <c r="E13" s="39">
        <v>0.37222222222222223</v>
      </c>
      <c r="F13" s="18">
        <v>0.44</v>
      </c>
      <c r="G13" s="27">
        <v>45</v>
      </c>
      <c r="H13" s="44" t="s">
        <v>7</v>
      </c>
      <c r="I13" s="34" t="s">
        <v>7</v>
      </c>
      <c r="J13" s="45" t="s">
        <v>7</v>
      </c>
      <c r="K13" s="44" t="s">
        <v>7</v>
      </c>
      <c r="L13" s="34" t="s">
        <v>7</v>
      </c>
      <c r="M13" s="45" t="s">
        <v>7</v>
      </c>
      <c r="N13" s="40" t="s">
        <v>7</v>
      </c>
      <c r="O13" s="17" t="s">
        <v>7</v>
      </c>
      <c r="P13" s="41" t="s">
        <v>7</v>
      </c>
    </row>
    <row r="14" spans="1:16" x14ac:dyDescent="0.55000000000000004">
      <c r="A14" s="35" t="s">
        <v>26</v>
      </c>
      <c r="B14" s="39">
        <v>0.48819444444444443</v>
      </c>
      <c r="C14" s="18">
        <v>0.47</v>
      </c>
      <c r="D14" s="27">
        <v>35</v>
      </c>
      <c r="E14" s="39">
        <v>0.37013888888888885</v>
      </c>
      <c r="F14" s="18">
        <v>0.34</v>
      </c>
      <c r="G14" s="27">
        <v>67</v>
      </c>
      <c r="H14" s="39">
        <v>0.4513888888888889</v>
      </c>
      <c r="I14" s="18">
        <v>0.49</v>
      </c>
      <c r="J14" s="27">
        <v>93</v>
      </c>
      <c r="K14" s="39">
        <v>0.60833333333333328</v>
      </c>
      <c r="L14" s="18">
        <v>0.57999999999999996</v>
      </c>
      <c r="M14" s="27">
        <v>67</v>
      </c>
      <c r="N14" s="39">
        <v>0.63194444444444442</v>
      </c>
      <c r="O14" s="18">
        <v>0.37</v>
      </c>
      <c r="P14" s="27">
        <v>173</v>
      </c>
    </row>
    <row r="15" spans="1:16" x14ac:dyDescent="0.55000000000000004">
      <c r="A15" s="35" t="s">
        <v>23</v>
      </c>
      <c r="B15" s="40" t="s">
        <v>7</v>
      </c>
      <c r="C15" s="17" t="s">
        <v>7</v>
      </c>
      <c r="D15" s="41" t="s">
        <v>7</v>
      </c>
      <c r="E15" s="39">
        <v>0.36736111111111108</v>
      </c>
      <c r="F15" s="18">
        <v>0.16</v>
      </c>
      <c r="G15" s="27">
        <v>33</v>
      </c>
      <c r="H15" s="44" t="s">
        <v>7</v>
      </c>
      <c r="I15" s="34" t="s">
        <v>7</v>
      </c>
      <c r="J15" s="45" t="s">
        <v>7</v>
      </c>
      <c r="K15" s="44" t="s">
        <v>7</v>
      </c>
      <c r="L15" s="34" t="s">
        <v>7</v>
      </c>
      <c r="M15" s="45" t="s">
        <v>7</v>
      </c>
      <c r="N15" s="40" t="s">
        <v>7</v>
      </c>
      <c r="O15" s="17" t="s">
        <v>7</v>
      </c>
      <c r="P15" s="41" t="s">
        <v>7</v>
      </c>
    </row>
    <row r="16" spans="1:16" ht="14.7" thickBot="1" x14ac:dyDescent="0.6">
      <c r="A16" s="35" t="s">
        <v>27</v>
      </c>
      <c r="B16" s="42">
        <v>0.48333333333333334</v>
      </c>
      <c r="C16" s="43">
        <v>0.28999999999999998</v>
      </c>
      <c r="D16" s="30">
        <v>34</v>
      </c>
      <c r="E16" s="42">
        <v>0.36249999999999999</v>
      </c>
      <c r="F16" s="43">
        <v>0.14000000000000001</v>
      </c>
      <c r="G16" s="30">
        <v>44</v>
      </c>
      <c r="H16" s="42">
        <v>0.44722222222222219</v>
      </c>
      <c r="I16" s="43">
        <v>0.28000000000000003</v>
      </c>
      <c r="J16" s="30">
        <v>48</v>
      </c>
      <c r="K16" s="42">
        <v>0.60416666666666663</v>
      </c>
      <c r="L16" s="43">
        <v>0.42</v>
      </c>
      <c r="M16" s="30">
        <v>45</v>
      </c>
      <c r="N16" s="42">
        <v>0.62708333333333333</v>
      </c>
      <c r="O16" s="43">
        <v>0.22</v>
      </c>
      <c r="P16" s="30">
        <v>51</v>
      </c>
    </row>
    <row r="17" spans="1:1" x14ac:dyDescent="0.55000000000000004">
      <c r="A17" s="14"/>
    </row>
  </sheetData>
  <mergeCells count="5">
    <mergeCell ref="F3:G3"/>
    <mergeCell ref="I3:J3"/>
    <mergeCell ref="L3:M3"/>
    <mergeCell ref="O3:P3"/>
    <mergeCell ref="C3:D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G62"/>
  <sheetViews>
    <sheetView topLeftCell="A22" zoomScale="54" zoomScaleNormal="100" workbookViewId="0">
      <selection activeCell="AA38" sqref="AA38"/>
    </sheetView>
  </sheetViews>
  <sheetFormatPr defaultRowHeight="14.4" x14ac:dyDescent="0.55000000000000004"/>
  <cols>
    <col min="3" max="3" width="11" bestFit="1" customWidth="1"/>
    <col min="4" max="4" width="18.26171875" bestFit="1" customWidth="1"/>
    <col min="5" max="5" width="9.26171875" bestFit="1" customWidth="1"/>
    <col min="6" max="16" width="9.26171875" customWidth="1"/>
    <col min="17" max="17" width="12.47265625" bestFit="1" customWidth="1"/>
    <col min="18" max="18" width="9.26171875" customWidth="1"/>
    <col min="19" max="19" width="12.47265625" bestFit="1" customWidth="1"/>
    <col min="20" max="20" width="9.26171875" customWidth="1"/>
    <col min="22" max="22" width="11" bestFit="1" customWidth="1"/>
    <col min="23" max="23" width="18.26171875" bestFit="1" customWidth="1"/>
    <col min="24" max="24" width="9.26171875" bestFit="1" customWidth="1"/>
    <col min="25" max="28" width="9.26171875" customWidth="1"/>
    <col min="29" max="29" width="12" bestFit="1" customWidth="1"/>
    <col min="30" max="35" width="9.26171875" customWidth="1"/>
    <col min="36" max="36" width="12.47265625" bestFit="1" customWidth="1"/>
    <col min="37" max="37" width="9.26171875" customWidth="1"/>
    <col min="38" max="38" width="12.47265625" bestFit="1" customWidth="1"/>
    <col min="39" max="39" width="9.26171875" customWidth="1"/>
    <col min="41" max="41" width="11" bestFit="1" customWidth="1"/>
    <col min="42" max="42" width="18.26171875" bestFit="1" customWidth="1"/>
    <col min="43" max="43" width="9.26171875" bestFit="1" customWidth="1"/>
    <col min="44" max="47" width="9.26171875" customWidth="1"/>
    <col min="48" max="48" width="12" bestFit="1" customWidth="1"/>
    <col min="49" max="54" width="9.26171875" customWidth="1"/>
    <col min="55" max="55" width="12.47265625" bestFit="1" customWidth="1"/>
    <col min="56" max="56" width="9.26171875" customWidth="1"/>
    <col min="57" max="57" width="12.47265625" bestFit="1" customWidth="1"/>
    <col min="58" max="58" width="9.26171875" customWidth="1"/>
    <col min="60" max="60" width="11" bestFit="1" customWidth="1"/>
    <col min="61" max="61" width="18.26171875" bestFit="1" customWidth="1"/>
    <col min="62" max="62" width="9.26171875" bestFit="1" customWidth="1"/>
    <col min="63" max="65" width="9.26171875" customWidth="1"/>
    <col min="66" max="66" width="12" bestFit="1" customWidth="1"/>
    <col min="68" max="68" width="11" bestFit="1" customWidth="1"/>
    <col min="69" max="69" width="18.26171875" bestFit="1" customWidth="1"/>
    <col min="70" max="70" width="9.26171875" bestFit="1" customWidth="1"/>
    <col min="71" max="74" width="9.26171875" customWidth="1"/>
    <col min="75" max="75" width="12" bestFit="1" customWidth="1"/>
    <col min="76" max="81" width="9.26171875" customWidth="1"/>
    <col min="82" max="82" width="12.47265625" bestFit="1" customWidth="1"/>
    <col min="83" max="83" width="9.26171875" customWidth="1"/>
    <col min="84" max="84" width="12.47265625" bestFit="1" customWidth="1"/>
    <col min="85" max="85" width="9.26171875" customWidth="1"/>
  </cols>
  <sheetData>
    <row r="2" spans="1:85" ht="14.7" thickBot="1" x14ac:dyDescent="0.6">
      <c r="M2" t="s">
        <v>59</v>
      </c>
      <c r="O2" t="s">
        <v>60</v>
      </c>
      <c r="Q2" t="s">
        <v>59</v>
      </c>
      <c r="S2" t="s">
        <v>60</v>
      </c>
      <c r="AF2" t="s">
        <v>59</v>
      </c>
      <c r="AH2" t="s">
        <v>60</v>
      </c>
      <c r="AJ2" t="s">
        <v>59</v>
      </c>
      <c r="AL2" t="s">
        <v>60</v>
      </c>
      <c r="AY2" t="s">
        <v>59</v>
      </c>
      <c r="BA2" t="s">
        <v>60</v>
      </c>
      <c r="BE2" t="s">
        <v>60</v>
      </c>
      <c r="BZ2" t="s">
        <v>59</v>
      </c>
      <c r="CB2" t="s">
        <v>60</v>
      </c>
      <c r="CF2" t="s">
        <v>60</v>
      </c>
    </row>
    <row r="3" spans="1:85" x14ac:dyDescent="0.55000000000000004">
      <c r="B3" s="36" t="s">
        <v>19</v>
      </c>
      <c r="C3" s="59">
        <v>43598</v>
      </c>
      <c r="D3" s="60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36" t="s">
        <v>19</v>
      </c>
      <c r="V3" s="59">
        <v>43600</v>
      </c>
      <c r="W3" s="60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36" t="s">
        <v>19</v>
      </c>
      <c r="AO3" s="59">
        <v>43607</v>
      </c>
      <c r="AP3" s="60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36" t="s">
        <v>19</v>
      </c>
      <c r="BH3" s="59">
        <v>43613</v>
      </c>
      <c r="BI3" s="60"/>
      <c r="BJ3" s="46"/>
      <c r="BK3" s="46"/>
      <c r="BL3" s="46"/>
      <c r="BM3" s="46"/>
      <c r="BN3" s="46"/>
      <c r="BO3" s="36" t="s">
        <v>19</v>
      </c>
      <c r="BP3" s="59">
        <v>43614</v>
      </c>
      <c r="BQ3" s="60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</row>
    <row r="4" spans="1:85" x14ac:dyDescent="0.55000000000000004">
      <c r="A4" s="16" t="s">
        <v>0</v>
      </c>
      <c r="B4" s="37" t="s">
        <v>1</v>
      </c>
      <c r="C4" s="16" t="s">
        <v>11</v>
      </c>
      <c r="D4" s="38" t="s">
        <v>32</v>
      </c>
      <c r="E4" s="50" t="s">
        <v>33</v>
      </c>
      <c r="F4" s="50" t="s">
        <v>34</v>
      </c>
      <c r="G4" s="50" t="s">
        <v>35</v>
      </c>
      <c r="H4" s="50" t="s">
        <v>57</v>
      </c>
      <c r="I4" s="50" t="s">
        <v>58</v>
      </c>
      <c r="J4" s="50" t="s">
        <v>37</v>
      </c>
      <c r="K4" s="50" t="s">
        <v>38</v>
      </c>
      <c r="L4" s="50" t="s">
        <v>39</v>
      </c>
      <c r="M4" s="50" t="s">
        <v>46</v>
      </c>
      <c r="N4" s="50" t="s">
        <v>47</v>
      </c>
      <c r="O4" s="50" t="s">
        <v>46</v>
      </c>
      <c r="P4" s="50" t="s">
        <v>47</v>
      </c>
      <c r="Q4" s="50" t="s">
        <v>48</v>
      </c>
      <c r="R4" s="50" t="s">
        <v>47</v>
      </c>
      <c r="S4" s="50" t="s">
        <v>48</v>
      </c>
      <c r="T4" s="50" t="s">
        <v>47</v>
      </c>
      <c r="U4" s="37" t="s">
        <v>1</v>
      </c>
      <c r="V4" s="16" t="s">
        <v>11</v>
      </c>
      <c r="W4" s="38" t="s">
        <v>32</v>
      </c>
      <c r="X4" s="50" t="s">
        <v>33</v>
      </c>
      <c r="Y4" s="50" t="s">
        <v>34</v>
      </c>
      <c r="Z4" s="50" t="s">
        <v>35</v>
      </c>
      <c r="AA4" s="50" t="s">
        <v>57</v>
      </c>
      <c r="AB4" s="50" t="s">
        <v>58</v>
      </c>
      <c r="AC4" s="50" t="s">
        <v>37</v>
      </c>
      <c r="AD4" s="50" t="s">
        <v>38</v>
      </c>
      <c r="AE4" s="50" t="s">
        <v>39</v>
      </c>
      <c r="AF4" s="50" t="s">
        <v>46</v>
      </c>
      <c r="AG4" s="50" t="s">
        <v>47</v>
      </c>
      <c r="AH4" s="50" t="s">
        <v>46</v>
      </c>
      <c r="AI4" s="50" t="s">
        <v>47</v>
      </c>
      <c r="AJ4" s="50" t="s">
        <v>48</v>
      </c>
      <c r="AK4" s="50" t="s">
        <v>47</v>
      </c>
      <c r="AL4" s="50" t="s">
        <v>48</v>
      </c>
      <c r="AM4" s="50" t="s">
        <v>47</v>
      </c>
      <c r="AN4" s="37" t="s">
        <v>1</v>
      </c>
      <c r="AO4" s="16" t="s">
        <v>11</v>
      </c>
      <c r="AP4" s="38" t="s">
        <v>32</v>
      </c>
      <c r="AQ4" s="50" t="s">
        <v>33</v>
      </c>
      <c r="AR4" s="50" t="s">
        <v>34</v>
      </c>
      <c r="AS4" s="50" t="s">
        <v>35</v>
      </c>
      <c r="AT4" s="50" t="s">
        <v>57</v>
      </c>
      <c r="AU4" s="50" t="s">
        <v>58</v>
      </c>
      <c r="AV4" s="50" t="s">
        <v>37</v>
      </c>
      <c r="AW4" s="50" t="s">
        <v>38</v>
      </c>
      <c r="AX4" s="50" t="s">
        <v>39</v>
      </c>
      <c r="AY4" s="50" t="s">
        <v>46</v>
      </c>
      <c r="AZ4" s="50" t="s">
        <v>47</v>
      </c>
      <c r="BA4" s="50" t="s">
        <v>46</v>
      </c>
      <c r="BB4" s="50" t="s">
        <v>47</v>
      </c>
      <c r="BC4" s="50" t="s">
        <v>48</v>
      </c>
      <c r="BD4" s="50" t="s">
        <v>47</v>
      </c>
      <c r="BE4" s="50" t="s">
        <v>48</v>
      </c>
      <c r="BF4" s="50" t="s">
        <v>47</v>
      </c>
      <c r="BG4" s="37" t="s">
        <v>1</v>
      </c>
      <c r="BH4" s="16" t="s">
        <v>11</v>
      </c>
      <c r="BI4" s="38" t="s">
        <v>32</v>
      </c>
      <c r="BJ4" s="50" t="s">
        <v>33</v>
      </c>
      <c r="BK4" s="50" t="s">
        <v>34</v>
      </c>
      <c r="BL4" s="50" t="s">
        <v>35</v>
      </c>
      <c r="BM4" s="50" t="s">
        <v>36</v>
      </c>
      <c r="BN4" s="50" t="s">
        <v>37</v>
      </c>
      <c r="BO4" s="37" t="s">
        <v>1</v>
      </c>
      <c r="BP4" s="16" t="s">
        <v>11</v>
      </c>
      <c r="BQ4" s="38" t="s">
        <v>32</v>
      </c>
      <c r="BR4" s="50" t="s">
        <v>33</v>
      </c>
      <c r="BS4" s="50" t="s">
        <v>34</v>
      </c>
      <c r="BT4" s="50" t="s">
        <v>35</v>
      </c>
      <c r="BU4" s="50" t="s">
        <v>57</v>
      </c>
      <c r="BV4" s="50" t="s">
        <v>58</v>
      </c>
      <c r="BW4" s="50" t="s">
        <v>37</v>
      </c>
      <c r="BX4" s="50" t="s">
        <v>38</v>
      </c>
      <c r="BY4" s="50" t="s">
        <v>39</v>
      </c>
      <c r="BZ4" s="50" t="s">
        <v>46</v>
      </c>
      <c r="CA4" s="50" t="s">
        <v>47</v>
      </c>
      <c r="CB4" s="50" t="s">
        <v>46</v>
      </c>
      <c r="CC4" s="50" t="s">
        <v>47</v>
      </c>
      <c r="CD4" s="50" t="s">
        <v>48</v>
      </c>
      <c r="CE4" s="50" t="s">
        <v>47</v>
      </c>
      <c r="CF4" s="50" t="s">
        <v>48</v>
      </c>
      <c r="CG4" s="50" t="s">
        <v>47</v>
      </c>
    </row>
    <row r="5" spans="1:85" x14ac:dyDescent="0.55000000000000004">
      <c r="A5" s="35" t="s">
        <v>3</v>
      </c>
      <c r="B5" s="39">
        <v>0.50694444444444442</v>
      </c>
      <c r="C5" s="17" t="s">
        <v>7</v>
      </c>
      <c r="D5" s="25">
        <v>6450</v>
      </c>
      <c r="E5" s="47">
        <f t="shared" ref="E5:E12" si="0">C$3+B5</f>
        <v>43598.506944444445</v>
      </c>
      <c r="F5" s="48">
        <v>84.871788024902344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39">
        <v>0.39097222222222222</v>
      </c>
      <c r="V5" s="17" t="s">
        <v>7</v>
      </c>
      <c r="W5" s="25">
        <v>6310</v>
      </c>
      <c r="X5" s="47">
        <f t="shared" ref="X5:X12" si="1">V$3+U5</f>
        <v>43600.390972222223</v>
      </c>
      <c r="Y5" s="48">
        <v>70.838096618652344</v>
      </c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39">
        <v>0.47013888888888888</v>
      </c>
      <c r="AO5" s="17" t="s">
        <v>7</v>
      </c>
      <c r="AP5" s="25">
        <v>9804</v>
      </c>
      <c r="AQ5" s="47">
        <f t="shared" ref="AQ5:AQ12" si="2">AO$3+AN5</f>
        <v>43607.470138888886</v>
      </c>
      <c r="AR5" s="48">
        <v>101.32056427001953</v>
      </c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39">
        <v>0.62708333333333333</v>
      </c>
      <c r="BH5" s="17" t="s">
        <v>7</v>
      </c>
      <c r="BI5" s="53">
        <v>10810</v>
      </c>
      <c r="BJ5" s="47">
        <f t="shared" ref="BJ5:BJ12" si="3">BH$3+BG5</f>
        <v>43613.627083333333</v>
      </c>
      <c r="BK5" s="48" t="e">
        <f ca="1">_xll.PITimeDat("DIS North Flow",'Plot data'!BJ5,"\\APPLEPI_AF\MWRD_Production\Hite Treatment Plant\07-Disinfection\Dis_PAA\North_PAA\North_PAA_Dose_Cntrl\CT Dosing Method","interpolated")</f>
        <v>#NAME?</v>
      </c>
      <c r="BL5" s="48"/>
      <c r="BM5" s="48"/>
      <c r="BN5" s="48"/>
      <c r="BO5" s="39">
        <v>0.6479166666666667</v>
      </c>
      <c r="BP5" s="17" t="s">
        <v>7</v>
      </c>
      <c r="BQ5" s="25">
        <v>21420</v>
      </c>
      <c r="BR5" s="47">
        <f>BP$3+BO5</f>
        <v>43614.647916666669</v>
      </c>
      <c r="BS5" s="48">
        <v>100.23500061035156</v>
      </c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</row>
    <row r="6" spans="1:85" x14ac:dyDescent="0.55000000000000004">
      <c r="A6" s="35" t="s">
        <v>24</v>
      </c>
      <c r="B6" s="39">
        <v>0.50486111111111109</v>
      </c>
      <c r="C6" s="18">
        <v>0.95</v>
      </c>
      <c r="D6" s="27">
        <v>4870</v>
      </c>
      <c r="E6" s="47">
        <f t="shared" si="0"/>
        <v>43598.504861111112</v>
      </c>
      <c r="F6" s="48">
        <v>84.645240783691406</v>
      </c>
      <c r="G6" s="48">
        <f>122.2683*F6^-0.9312</f>
        <v>1.9603354076558346</v>
      </c>
      <c r="H6" s="48">
        <f>G6*C6</f>
        <v>1.8623186372730427</v>
      </c>
      <c r="I6" s="48">
        <f>$B$34*G6^2+$C$34*G6+$D$34</f>
        <v>1.8760491640525605</v>
      </c>
      <c r="J6" s="48">
        <f>LOG($D$5/D6)</f>
        <v>0.12203075342063345</v>
      </c>
      <c r="K6" s="48">
        <f>D6/$D$5</f>
        <v>0.75503875968992251</v>
      </c>
      <c r="L6" s="48">
        <f>$B$19*EXP(-H6*$B$20)+(1-$B$19)*EXP(-H6*$B$21)</f>
        <v>0.70161355982330376</v>
      </c>
      <c r="M6" s="48">
        <f>$D$5*$B$19*EXP(-H6*$B$20)+$D$5*(1-$B$19)*EXP(-H6*$B$21)</f>
        <v>4525.4074608603087</v>
      </c>
      <c r="N6" s="62">
        <f>(D6-M6)/D6*100</f>
        <v>7.0758221589258996</v>
      </c>
      <c r="O6" s="61">
        <f>$D$5*$B$19*EXP(-I6*$B$20)+$D$5*(1-$B$19)*EXP(-I6*$B$21)</f>
        <v>4513.6102032869821</v>
      </c>
      <c r="P6" s="62">
        <f>(D6-O6)/D6*100</f>
        <v>7.3180656409243916</v>
      </c>
      <c r="Q6" s="48">
        <f>LOG(D$5/M6)</f>
        <v>0.15390202611361059</v>
      </c>
      <c r="R6" s="61">
        <f>(J6-Q6)/J6*100</f>
        <v>-26.117410406472352</v>
      </c>
      <c r="S6" s="48">
        <f>LOG(D$5/O6)</f>
        <v>0.15503566407410407</v>
      </c>
      <c r="T6" s="61">
        <f>(L6-S6)/L6*100</f>
        <v>77.902983500896326</v>
      </c>
      <c r="U6" s="39">
        <v>0.38750000000000001</v>
      </c>
      <c r="V6" s="18">
        <v>0.82</v>
      </c>
      <c r="W6" s="27">
        <v>4870</v>
      </c>
      <c r="X6" s="47">
        <f t="shared" si="1"/>
        <v>43600.387499999997</v>
      </c>
      <c r="Y6" s="48">
        <v>69.642501831054688</v>
      </c>
      <c r="Z6" s="48">
        <f>122.2683*Y6^-0.9312</f>
        <v>2.3508735292497764</v>
      </c>
      <c r="AA6" s="48">
        <f>Z6*V6</f>
        <v>1.9277162939848165</v>
      </c>
      <c r="AB6" s="48">
        <f>$B$34*Z6^2+$C$34*Z6+$D$34</f>
        <v>2.119051868312777</v>
      </c>
      <c r="AC6" s="48">
        <f>LOG($W$5/W6)</f>
        <v>0.11250039802949996</v>
      </c>
      <c r="AD6" s="48">
        <f>W6/$W$5</f>
        <v>0.77179080824088753</v>
      </c>
      <c r="AE6" s="48">
        <f>$B$19*EXP(-AA6*$B$20)+(1-$B$19)*EXP(-AA6*$B$21)</f>
        <v>0.69294484221832031</v>
      </c>
      <c r="AF6" s="48">
        <f>$W$5*$B$19*EXP(-AA6*$B$20)+$W$5*(1-$B$19)*EXP(-AA6*$B$21)</f>
        <v>4372.4819543976009</v>
      </c>
      <c r="AG6" s="62">
        <f>(W6-AF6)/W6*100</f>
        <v>10.215976295737148</v>
      </c>
      <c r="AH6" s="61">
        <f>$W$5*$B$19*EXP(-AB6*$B$20)+$W$5*(1-$B$19)*EXP(-AB6*$B$21)</f>
        <v>4216.3163307580753</v>
      </c>
      <c r="AI6" s="62">
        <f>(W6-AH6)/W6*100</f>
        <v>13.422662612770528</v>
      </c>
      <c r="AJ6" s="48">
        <f>LOG(W$5/AF6)</f>
        <v>0.15930133345973621</v>
      </c>
      <c r="AK6" s="61">
        <f>(AC6-AJ6)/AC6*100</f>
        <v>-41.600684308658238</v>
      </c>
      <c r="AL6" s="48">
        <f>LOG(W$5/AH6)</f>
        <v>0.1750961727063805</v>
      </c>
      <c r="AM6" s="61">
        <f>(AE6-AL6)/AE6*100</f>
        <v>74.731585829278103</v>
      </c>
      <c r="AN6" s="39">
        <v>0.46736111111111112</v>
      </c>
      <c r="AO6" s="18">
        <v>0.77</v>
      </c>
      <c r="AP6" s="27">
        <v>6867</v>
      </c>
      <c r="AQ6" s="47">
        <f t="shared" si="2"/>
        <v>43607.467361111114</v>
      </c>
      <c r="AR6" s="48">
        <v>101.21348571777344</v>
      </c>
      <c r="AS6" s="48">
        <f>122.2683*AR6^-0.9312</f>
        <v>1.6597240711682213</v>
      </c>
      <c r="AT6" s="48">
        <f>AS6*AO6</f>
        <v>1.2779875347995304</v>
      </c>
      <c r="AU6" s="48">
        <f>$B$34*AS6^2+$C$34*AS6+$D$34</f>
        <v>1.6879299192240045</v>
      </c>
      <c r="AV6" s="48">
        <f>LOG($AP$5/AP6)</f>
        <v>0.15463625518583501</v>
      </c>
      <c r="AW6" s="48">
        <f>AP6/$AP$5</f>
        <v>0.70042839657282741</v>
      </c>
      <c r="AX6" s="48">
        <f>$B$19*EXP(-AT6*$B$20)+(1-$B$19)*EXP(-AT6*$B$21)</f>
        <v>0.78407346300319425</v>
      </c>
      <c r="AY6" s="48">
        <f>$AP$5*$B$19*EXP(-AT6*$B$20)+$AP$5*(1-$B$19)*EXP(-AT6*$B$21)</f>
        <v>7687.0562312833154</v>
      </c>
      <c r="AZ6" s="62">
        <f>(AP6-AY6)/AP6*100</f>
        <v>-11.941986766904257</v>
      </c>
      <c r="BA6" s="61">
        <f>$AP$5*$B$19*EXP(-AU6*$B$20)+$AP$5*(1-$B$19)*EXP(-AU6*$B$21)</f>
        <v>7110.5100090505894</v>
      </c>
      <c r="BB6" s="62">
        <f>(AP6-BA6)/AP6*100</f>
        <v>-3.546090127429582</v>
      </c>
      <c r="BC6" s="48">
        <f>LOG(AP$5/AY6)</f>
        <v>0.10564324460863503</v>
      </c>
      <c r="BD6" s="61">
        <f>(AV6-BC6)/AV6*100</f>
        <v>31.682745109368014</v>
      </c>
      <c r="BE6" s="48">
        <f>LOG(AP$5/BA6)</f>
        <v>0.13950255048983115</v>
      </c>
      <c r="BF6" s="61">
        <f>(AX6-BE6)/AX6*100</f>
        <v>82.207974498269323</v>
      </c>
      <c r="BG6" s="39">
        <v>0.62430555555555556</v>
      </c>
      <c r="BH6" s="18">
        <v>0.78</v>
      </c>
      <c r="BI6" s="52">
        <v>15150</v>
      </c>
      <c r="BJ6" s="47">
        <f t="shared" si="3"/>
        <v>43613.624305555553</v>
      </c>
      <c r="BK6" s="48" t="e">
        <f ca="1">_xll.PITimeDat("DIS North Flow",'Plot data'!BJ6,"\\APPLEPI_AF\MWRD_Production\Hite Treatment Plant\07-Disinfection\Dis_PAA\North_PAA\North_PAA_Dose_Cntrl\CT Dosing Method","interpolated")</f>
        <v>#NAME?</v>
      </c>
      <c r="BL6" s="48" t="e">
        <f ca="1">122.2683*BK6^-0.9312</f>
        <v>#NAME?</v>
      </c>
      <c r="BM6" s="48" t="e">
        <f ca="1">BL6*BH6</f>
        <v>#NAME?</v>
      </c>
      <c r="BN6" s="51">
        <f>LOG($BI$5/BI6)</f>
        <v>-0.14658693888501345</v>
      </c>
      <c r="BO6" s="39">
        <v>0.64583333333333337</v>
      </c>
      <c r="BP6" s="18">
        <v>0.59</v>
      </c>
      <c r="BQ6" s="27">
        <v>16640</v>
      </c>
      <c r="BR6" s="47">
        <f>BP$3+BO6</f>
        <v>43614.645833333336</v>
      </c>
      <c r="BS6" s="48">
        <v>100.47693634033203</v>
      </c>
      <c r="BT6" s="48">
        <f>122.2683*BS6^-0.9312</f>
        <v>1.6710508154902797</v>
      </c>
      <c r="BU6" s="48">
        <f>BT6*BP6</f>
        <v>0.98591998113926493</v>
      </c>
      <c r="BV6" s="48">
        <f>$B$34*BT6^2+$C$34*BT6+$D$34</f>
        <v>1.6950349650067791</v>
      </c>
      <c r="BW6" s="48">
        <f>LOG($BQ$5/BQ6)</f>
        <v>0.1096661445411317</v>
      </c>
      <c r="BX6" s="48">
        <f>BQ6/$BQ$5</f>
        <v>0.77684407096171804</v>
      </c>
      <c r="BY6" s="48">
        <f>$B$19*EXP(-BU6*$B$20)+(1-$B$19)*EXP(-BU6*$B$21)</f>
        <v>0.8288740712899505</v>
      </c>
      <c r="BZ6" s="48">
        <f>$BQ$5*$B$19*EXP(-BU6*$B$20)+$BQ$5*(1-$B$19)*EXP(-BU6*$B$21)</f>
        <v>17754.482607030743</v>
      </c>
      <c r="CA6" s="62">
        <f>(BQ6-BZ6)/BQ6*100</f>
        <v>-6.6976118210982136</v>
      </c>
      <c r="CB6" s="61">
        <f>$BQ$5*$B$19*EXP(-BV6*$B$20)+$BQ$5*(1-$B$19)*EXP(-BV6*$B$21)</f>
        <v>15514.228905107673</v>
      </c>
      <c r="CC6" s="62">
        <f>(BQ6-CB6)/BQ6*100</f>
        <v>6.7654512914202325</v>
      </c>
      <c r="CD6" s="48">
        <f>LOG(BQ$5/BZ6)</f>
        <v>8.1511445683916883E-2</v>
      </c>
      <c r="CE6" s="61">
        <f>(BW6-CD6)/BW6*100</f>
        <v>25.673099911573015</v>
      </c>
      <c r="CF6" s="48">
        <f>LOG(BQ$5/CB6)</f>
        <v>0.1400892715307831</v>
      </c>
      <c r="CG6" s="61">
        <f>(BY6-CF6)/BY6*100</f>
        <v>83.098847414449025</v>
      </c>
    </row>
    <row r="7" spans="1:85" x14ac:dyDescent="0.55000000000000004">
      <c r="A7" s="35" t="s">
        <v>14</v>
      </c>
      <c r="B7" s="39">
        <v>0.50208333333333333</v>
      </c>
      <c r="C7" s="18">
        <v>0.69</v>
      </c>
      <c r="D7" s="27">
        <v>3050</v>
      </c>
      <c r="E7" s="47">
        <f t="shared" si="0"/>
        <v>43598.502083333333</v>
      </c>
      <c r="F7" s="48">
        <v>85.663246154785156</v>
      </c>
      <c r="G7">
        <f>G6+(G9-G6)/2</f>
        <v>5.1477695187377694</v>
      </c>
      <c r="H7">
        <f>H6+(G7-G6)*C7</f>
        <v>4.0616481739195773</v>
      </c>
      <c r="I7" s="48">
        <f t="shared" ref="I7:I16" si="4">$B$34*G7^2+$C$34*G7+$D$34</f>
        <v>3.8133854132654244</v>
      </c>
      <c r="J7" s="48">
        <f t="shared" ref="J7:J16" si="5">LOG($D$5/D7)</f>
        <v>0.32525987528848194</v>
      </c>
      <c r="K7" s="48">
        <f t="shared" ref="K7:K16" si="6">D7/$D$5</f>
        <v>0.47286821705426357</v>
      </c>
      <c r="L7" s="48">
        <f>$B$19*EXP(-H7*$B$20)+(1-$B$19)*EXP(-H7*$B$21)</f>
        <v>0.46208126350064266</v>
      </c>
      <c r="M7" s="48">
        <f>$D$5*$B$19*EXP(-H7*$B$20)+$D$5*(1-$B$19)*EXP(-H7*$B$21)</f>
        <v>2980.4241495791448</v>
      </c>
      <c r="N7" s="62">
        <f>(D7-M7)/D7*100</f>
        <v>2.2811754236345969</v>
      </c>
      <c r="O7" s="61">
        <f t="shared" ref="O7:O16" si="7">$D$5*$B$19*EXP(-I7*$B$20)+$D$5*(1-$B$19)*EXP(-I7*$B$21)</f>
        <v>3124.1467840015116</v>
      </c>
      <c r="P7" s="62">
        <f t="shared" ref="P7:P16" si="8">(D7-O7)/D7*100</f>
        <v>-2.4310420984102166</v>
      </c>
      <c r="Q7" s="48">
        <f>LOG(D$5/M7)</f>
        <v>0.33528164092351936</v>
      </c>
      <c r="R7" s="61">
        <f t="shared" ref="R7:R16" si="9">(J7-Q7)/J7*100</f>
        <v>-3.0811564525593105</v>
      </c>
      <c r="S7" s="48">
        <f t="shared" ref="S7:S16" si="10">LOG(D$5/O7)</f>
        <v>0.31482828418534492</v>
      </c>
      <c r="T7" s="61">
        <f t="shared" ref="T7:T12" si="11">(L7-S7)/L7*100</f>
        <v>31.867333940297915</v>
      </c>
      <c r="U7" s="39">
        <v>0.38541666666666669</v>
      </c>
      <c r="V7" s="18">
        <v>0.64</v>
      </c>
      <c r="W7" s="27">
        <v>3590</v>
      </c>
      <c r="X7" s="47">
        <f t="shared" si="1"/>
        <v>43600.385416666664</v>
      </c>
      <c r="Y7" s="48">
        <v>67.359130859375</v>
      </c>
      <c r="Z7">
        <f>Z6+(Z9-Z6)/2</f>
        <v>7.059255490997538</v>
      </c>
      <c r="AA7">
        <f>AA6+(Z7-Z6)*V7</f>
        <v>4.9410807495033842</v>
      </c>
      <c r="AB7" s="48">
        <f t="shared" ref="AB7:AB16" si="12">$B$34*Z7^2+$C$34*Z7+$D$34</f>
        <v>4.9249411815460284</v>
      </c>
      <c r="AC7" s="48">
        <f t="shared" ref="AC7:AC16" si="13">LOG($W$5/W7)</f>
        <v>0.24493491066581519</v>
      </c>
      <c r="AD7" s="48">
        <f t="shared" ref="AD7:AD16" si="14">W7/$W$5</f>
        <v>0.56893819334389861</v>
      </c>
      <c r="AE7" s="48">
        <f>$B$19*EXP(-AA7*$B$20)+(1-$B$19)*EXP(-AA7*$B$21)</f>
        <v>0.3911197115024434</v>
      </c>
      <c r="AF7" s="48">
        <f>$W$5*$B$19*EXP(-AA7*$B$20)+$W$5*(1-$B$19)*EXP(-AA7*$B$21)</f>
        <v>2467.9653795804184</v>
      </c>
      <c r="AG7" s="62">
        <f t="shared" ref="AG7:AG12" si="15">(W7-AF7)/W7*100</f>
        <v>31.254446251241831</v>
      </c>
      <c r="AH7" s="61">
        <f>$W$5*$B$19*EXP(-AB7*$B$20)+$W$5*(1-$B$19)*EXP(-AB7*$B$21)</f>
        <v>2475.5248908839753</v>
      </c>
      <c r="AI7" s="62">
        <f t="shared" ref="AI7:AI12" si="16">(W7-AH7)/W7*100</f>
        <v>31.04387490573885</v>
      </c>
      <c r="AJ7" s="48">
        <f>LOG(W$5/AF7)</f>
        <v>0.40769029608821511</v>
      </c>
      <c r="AK7" s="61">
        <f t="shared" ref="AK7:AK12" si="17">(AC7-AJ7)/AC7*100</f>
        <v>-66.448422962645964</v>
      </c>
      <c r="AL7" s="48">
        <f t="shared" ref="AL7:AL16" si="18">LOG(W$5/AH7)</f>
        <v>0.40636206181467871</v>
      </c>
      <c r="AM7" s="61">
        <f t="shared" ref="AM7:AM12" si="19">(AE7-AL7)/AE7*100</f>
        <v>-3.897106145247319</v>
      </c>
      <c r="AN7" s="39">
        <v>0.46458333333333335</v>
      </c>
      <c r="AO7" s="18">
        <v>0.78</v>
      </c>
      <c r="AP7" s="27">
        <v>4352</v>
      </c>
      <c r="AQ7" s="47">
        <f t="shared" si="2"/>
        <v>43607.464583333334</v>
      </c>
      <c r="AR7" s="48">
        <v>102.95429992675781</v>
      </c>
      <c r="AS7">
        <f>AS6+(AS9-AS6)/2</f>
        <v>4.2147460381320538</v>
      </c>
      <c r="AT7">
        <f>AT6+(AS7-AS6)*AO7</f>
        <v>3.2709046690313199</v>
      </c>
      <c r="AU7" s="48">
        <f t="shared" ref="AU7:AU16" si="20">$B$34*AS7^2+$C$34*AS7+$D$34</f>
        <v>3.2571350674563257</v>
      </c>
      <c r="AV7" s="48">
        <f t="shared" ref="AV7:AV16" si="21">LOG($AP$5/AP7)</f>
        <v>0.35271441588991687</v>
      </c>
      <c r="AW7" s="48">
        <f t="shared" ref="AW7:AW16" si="22">AP7/$AP$5</f>
        <v>0.44390044879640961</v>
      </c>
      <c r="AX7" s="48">
        <f>$B$19*EXP(-AT7*$B$20)+(1-$B$19)*EXP(-AT7*$B$21)</f>
        <v>0.53688753032637138</v>
      </c>
      <c r="AY7" s="48">
        <f>$AP$5*$B$19*EXP(-AT7*$B$20)+$AP$5*(1-$B$19)*EXP(-AT7*$B$21)</f>
        <v>5263.6453473197435</v>
      </c>
      <c r="AZ7" s="62">
        <f t="shared" ref="AZ7:AZ12" si="23">(AP7-AY7)/AP7*100</f>
        <v>-20.947733164516162</v>
      </c>
      <c r="BA7" s="61">
        <f>$AP$5*$B$19*EXP(-AU7*$B$20)+$AP$5*(1-$B$19)*EXP(-AU7*$B$21)</f>
        <v>5277.4223565912125</v>
      </c>
      <c r="BB7" s="62">
        <f t="shared" ref="BB7:BB12" si="24">(AP7-BA7)/AP7*100</f>
        <v>-21.26430047314367</v>
      </c>
      <c r="BC7" s="48">
        <f>LOG(AP$5/AY7)</f>
        <v>0.27011668278166362</v>
      </c>
      <c r="BD7" s="61">
        <f t="shared" ref="BD7:BD12" si="25">(AV7-BC7)/AV7*100</f>
        <v>23.417736669439741</v>
      </c>
      <c r="BE7" s="48">
        <f t="shared" ref="BE7:BE16" si="26">LOG(AP$5/BA7)</f>
        <v>0.26898145005596785</v>
      </c>
      <c r="BF7" s="61">
        <f t="shared" ref="BF7:BF12" si="27">(AX7-BE7)/AX7*100</f>
        <v>49.899851484266115</v>
      </c>
      <c r="BG7" s="39">
        <v>0.62152777777777779</v>
      </c>
      <c r="BH7" s="18">
        <v>0.76</v>
      </c>
      <c r="BI7" s="27">
        <v>10462</v>
      </c>
      <c r="BJ7" s="47">
        <f t="shared" si="3"/>
        <v>43613.621527777781</v>
      </c>
      <c r="BK7" s="48" t="e">
        <f ca="1">_xll.PITimeDat("DIS North Flow",'Plot data'!BJ7,"\\APPLEPI_AF\MWRD_Production\Hite Treatment Plant\07-Disinfection\Dis_PAA\North_PAA\North_PAA_Dose_Cntrl\CT Dosing Method","interpolated")</f>
        <v>#NAME?</v>
      </c>
      <c r="BL7" t="e">
        <f ca="1">BL6+(BL9-BL6)/2</f>
        <v>#NAME?</v>
      </c>
      <c r="BM7" t="e">
        <f ca="1">BM6+(BL7-BL6)*BH7</f>
        <v>#NAME?</v>
      </c>
      <c r="BN7" s="48">
        <f t="shared" ref="BN7:BN16" si="28">LOG($BI$5/BI7)</f>
        <v>1.4210978261893097E-2</v>
      </c>
      <c r="BO7" s="39">
        <v>0.64236111111111105</v>
      </c>
      <c r="BP7" s="18">
        <v>0.56999999999999995</v>
      </c>
      <c r="BQ7" s="27">
        <v>10462</v>
      </c>
      <c r="BR7" s="47">
        <f>BP$3+BO7</f>
        <v>43614.642361111109</v>
      </c>
      <c r="BS7" s="48">
        <v>101.29384613037109</v>
      </c>
      <c r="BT7">
        <f>BT6+(BT9-BT6)/2</f>
        <v>4.3678468817716922</v>
      </c>
      <c r="BU7">
        <f>BU6+(BT7-BT6)*BP7</f>
        <v>2.5230937389196697</v>
      </c>
      <c r="BV7" s="48">
        <f t="shared" ref="BV7:BV16" si="29">$B$34*BT7^2+$C$34*BT7+$D$34</f>
        <v>3.3490264647456187</v>
      </c>
      <c r="BW7" s="48">
        <f>LOG($BQ$5/BQ7)</f>
        <v>0.31120475080441962</v>
      </c>
      <c r="BX7" s="48">
        <f>BQ7/$BQ$5</f>
        <v>0.488422035480859</v>
      </c>
      <c r="BY7" s="48">
        <f>$B$19*EXP(-BU7*$B$20)+(1-$B$19)*EXP(-BU7*$B$21)</f>
        <v>0.61881394456500927</v>
      </c>
      <c r="BZ7" s="48">
        <f>$BQ$5*$B$19*EXP(-BU7*$B$20)+$BQ$5*(1-$B$19)*EXP(-BU7*$B$21)</f>
        <v>13254.994692582501</v>
      </c>
      <c r="CA7" s="62">
        <f t="shared" ref="CA7:CA12" si="30">(BQ7-BZ7)/BQ7*100</f>
        <v>-26.696565595321172</v>
      </c>
      <c r="CB7" s="61">
        <f>$BQ$5*$B$19*EXP(-BV7*$B$20)+$BQ$5*(1-$B$19)*EXP(-BV7*$B$21)</f>
        <v>11330.846477866675</v>
      </c>
      <c r="CC7" s="62">
        <f t="shared" ref="CC7:CC12" si="31">(BQ7-CB7)/BQ7*100</f>
        <v>-8.3047837685593073</v>
      </c>
      <c r="CD7" s="48">
        <f>LOG(BQ$5/BZ7)</f>
        <v>0.20843990832205428</v>
      </c>
      <c r="CE7" s="61">
        <f t="shared" ref="CE7:CE12" si="32">(BW7-CD7)/BW7*100</f>
        <v>33.021617509608376</v>
      </c>
      <c r="CF7" s="48">
        <f t="shared" ref="CF7:CF12" si="33">LOG(BQ$5/CB7)</f>
        <v>0.27655711118367138</v>
      </c>
      <c r="CG7" s="61">
        <f t="shared" ref="CG7:CG12" si="34">(BY7-CF7)/BY7*100</f>
        <v>55.308519852752326</v>
      </c>
    </row>
    <row r="8" spans="1:85" x14ac:dyDescent="0.55000000000000004">
      <c r="A8" s="35" t="s">
        <v>15</v>
      </c>
      <c r="B8" s="39">
        <v>0.4993055555555555</v>
      </c>
      <c r="C8" s="18">
        <v>0.69</v>
      </c>
      <c r="D8" s="27">
        <v>2420</v>
      </c>
      <c r="E8" s="47">
        <f t="shared" si="0"/>
        <v>43598.499305555553</v>
      </c>
      <c r="F8" s="48">
        <v>86.387054443359375</v>
      </c>
      <c r="G8">
        <f>G7+(G9-G7)/2</f>
        <v>6.7414865742787367</v>
      </c>
      <c r="H8">
        <f t="shared" ref="H8:H12" si="35">H7+(G8-G7)*C8</f>
        <v>5.1613129422428443</v>
      </c>
      <c r="I8" s="48">
        <f t="shared" si="4"/>
        <v>4.7427653281614326</v>
      </c>
      <c r="J8" s="48">
        <f t="shared" si="5"/>
        <v>0.42574434865483646</v>
      </c>
      <c r="K8" s="48">
        <f t="shared" si="6"/>
        <v>0.37519379844961243</v>
      </c>
      <c r="L8" s="48">
        <f>$B$19*EXP(-H8*$B$20)+(1-$B$19)*EXP(-H8*$B$21)</f>
        <v>0.37513507734226093</v>
      </c>
      <c r="M8" s="48">
        <f>$D$5*$B$19*EXP(-H8*$B$20)+$D$5*(1-$B$19)*EXP(-H8*$B$21)</f>
        <v>2419.6212488575829</v>
      </c>
      <c r="N8" s="62">
        <f>(D8-M8)/D8*100</f>
        <v>1.5650873653597474E-2</v>
      </c>
      <c r="O8" s="61">
        <f t="shared" si="7"/>
        <v>2619.339392168351</v>
      </c>
      <c r="P8" s="62">
        <f t="shared" si="8"/>
        <v>-8.2371649656343369</v>
      </c>
      <c r="Q8" s="48">
        <f>LOG(D$5/M8)</f>
        <v>0.42581232485505704</v>
      </c>
      <c r="R8" s="61">
        <f t="shared" si="9"/>
        <v>-1.5966436298065299E-2</v>
      </c>
      <c r="S8" s="48">
        <f t="shared" si="10"/>
        <v>0.39136794030460548</v>
      </c>
      <c r="T8" s="61">
        <f t="shared" si="11"/>
        <v>-4.3272047704390548</v>
      </c>
      <c r="U8" s="39">
        <v>0.3833333333333333</v>
      </c>
      <c r="V8" s="18">
        <v>0.63</v>
      </c>
      <c r="W8" s="27">
        <v>4410</v>
      </c>
      <c r="X8" s="47">
        <f t="shared" si="1"/>
        <v>43600.383333333331</v>
      </c>
      <c r="Y8" s="48">
        <v>65.830635070800781</v>
      </c>
      <c r="Z8">
        <f>Z7+(Z9-Z7)/2</f>
        <v>9.4134464718714188</v>
      </c>
      <c r="AA8">
        <f t="shared" ref="AA8:AA12" si="36">AA7+(Z8-Z7)*V8</f>
        <v>6.4242210674539288</v>
      </c>
      <c r="AB8" s="48">
        <f t="shared" si="12"/>
        <v>6.2421577414959053</v>
      </c>
      <c r="AC8" s="48">
        <f t="shared" si="13"/>
        <v>0.15559076977629577</v>
      </c>
      <c r="AD8" s="48">
        <f t="shared" si="14"/>
        <v>0.6988906497622821</v>
      </c>
      <c r="AE8" s="48">
        <f>$B$19*EXP(-AA8*$B$20)+(1-$B$19)*EXP(-AA8*$B$21)</f>
        <v>0.29536186663888953</v>
      </c>
      <c r="AF8" s="48">
        <f>$W$5*$B$19*EXP(-AA8*$B$20)+$W$5*(1-$B$19)*EXP(-AA8*$B$21)</f>
        <v>1863.7333784913931</v>
      </c>
      <c r="AG8" s="62">
        <f t="shared" si="15"/>
        <v>57.738472143052313</v>
      </c>
      <c r="AH8" s="61">
        <f>$W$5*$B$19*EXP(-AB8*$B$20)+$W$5*(1-$B$19)*EXP(-AB8*$B$21)</f>
        <v>1929.049631128275</v>
      </c>
      <c r="AI8" s="62">
        <f t="shared" si="16"/>
        <v>56.257377978950686</v>
      </c>
      <c r="AJ8" s="48">
        <f>LOG(W$5/AF8)</f>
        <v>0.52964557597511985</v>
      </c>
      <c r="AK8" s="61">
        <f t="shared" si="17"/>
        <v>-240.40938079850753</v>
      </c>
      <c r="AL8" s="48">
        <f t="shared" si="18"/>
        <v>0.51468595780664816</v>
      </c>
      <c r="AM8" s="61">
        <f t="shared" si="19"/>
        <v>-74.25606211918516</v>
      </c>
      <c r="AN8" s="39">
        <v>0.46249999999999997</v>
      </c>
      <c r="AO8" s="18">
        <v>0.77</v>
      </c>
      <c r="AP8" s="27">
        <v>7270</v>
      </c>
      <c r="AQ8" s="47">
        <f t="shared" si="2"/>
        <v>43607.462500000001</v>
      </c>
      <c r="AR8" s="48">
        <v>105.4295654296875</v>
      </c>
      <c r="AS8">
        <f>AS7+(AS9-AS7)/2</f>
        <v>5.4922570216139697</v>
      </c>
      <c r="AT8">
        <f t="shared" ref="AT8:AT12" si="37">AT7+(AS8-AS7)*AO8</f>
        <v>4.2545881263123952</v>
      </c>
      <c r="AU8" s="48">
        <f t="shared" si="20"/>
        <v>4.0164930072633105</v>
      </c>
      <c r="AV8" s="48">
        <f t="shared" si="21"/>
        <v>0.12986889172100249</v>
      </c>
      <c r="AW8" s="48">
        <f t="shared" si="22"/>
        <v>0.74153406772745822</v>
      </c>
      <c r="AX8" s="48">
        <f>$B$19*EXP(-AT8*$B$20)+(1-$B$19)*EXP(-AT8*$B$21)</f>
        <v>0.44547834067875403</v>
      </c>
      <c r="AY8" s="48">
        <f>$AP$5*$B$19*EXP(-AT8*$B$20)+$AP$5*(1-$B$19)*EXP(-AT8*$B$21)</f>
        <v>4367.4696520145035</v>
      </c>
      <c r="AZ8" s="62">
        <f t="shared" si="23"/>
        <v>39.924764071327324</v>
      </c>
      <c r="BA8" s="61">
        <f>$AP$5*$B$19*EXP(-AU8*$B$20)+$AP$5*(1-$B$19)*EXP(-AU8*$B$21)</f>
        <v>4569.2130283549668</v>
      </c>
      <c r="BB8" s="62">
        <f t="shared" si="24"/>
        <v>37.149752017125628</v>
      </c>
      <c r="BC8" s="48">
        <f>LOG(AP$5/AY8)</f>
        <v>0.35117340667170693</v>
      </c>
      <c r="BD8" s="61">
        <f t="shared" si="25"/>
        <v>-170.40610112091602</v>
      </c>
      <c r="BE8" s="48">
        <f t="shared" si="26"/>
        <v>0.33156189613687032</v>
      </c>
      <c r="BF8" s="61">
        <f t="shared" si="27"/>
        <v>25.571713400996032</v>
      </c>
      <c r="BG8" s="39">
        <v>0.62013888888888891</v>
      </c>
      <c r="BH8" s="18">
        <v>0.8</v>
      </c>
      <c r="BI8" s="27">
        <v>8664</v>
      </c>
      <c r="BJ8" s="47">
        <f t="shared" si="3"/>
        <v>43613.620138888888</v>
      </c>
      <c r="BK8" s="48" t="e">
        <f ca="1">_xll.PITimeDat("DIS North Flow",'Plot data'!BJ8,"\\APPLEPI_AF\MWRD_Production\Hite Treatment Plant\07-Disinfection\Dis_PAA\North_PAA\North_PAA_Dose_Cntrl\CT Dosing Method","interpolated")</f>
        <v>#NAME?</v>
      </c>
      <c r="BL8" t="e">
        <f ca="1">BL7+(BL9-BL7)/2</f>
        <v>#NAME?</v>
      </c>
      <c r="BM8" t="e">
        <f t="shared" ref="BM8:BM12" ca="1" si="38">BM7+(BL8-BL7)*BH8</f>
        <v>#NAME?</v>
      </c>
      <c r="BN8" s="48">
        <f t="shared" si="28"/>
        <v>9.6107250336046363E-2</v>
      </c>
      <c r="BO8" s="40"/>
      <c r="BP8" s="17"/>
      <c r="BQ8" s="41"/>
      <c r="BR8" s="47"/>
      <c r="BS8" s="48"/>
      <c r="BV8" s="48"/>
      <c r="BW8" s="48"/>
      <c r="BX8" s="48"/>
      <c r="BY8" s="48"/>
      <c r="BZ8" s="48"/>
      <c r="CA8" s="62"/>
      <c r="CB8" s="61"/>
      <c r="CC8" s="62"/>
      <c r="CD8" s="48"/>
      <c r="CE8" s="61"/>
      <c r="CF8" s="48"/>
      <c r="CG8" s="61"/>
    </row>
    <row r="9" spans="1:85" x14ac:dyDescent="0.55000000000000004">
      <c r="A9" s="35" t="s">
        <v>16</v>
      </c>
      <c r="B9" s="39">
        <v>0.49652777777777773</v>
      </c>
      <c r="C9" s="18">
        <v>0.67</v>
      </c>
      <c r="D9" s="27">
        <v>2420</v>
      </c>
      <c r="E9" s="47">
        <f t="shared" si="0"/>
        <v>43598.496527777781</v>
      </c>
      <c r="F9" s="48">
        <v>87.237045288085938</v>
      </c>
      <c r="G9">
        <f>G6+(G12-G6)/2</f>
        <v>8.3352036298197039</v>
      </c>
      <c r="H9">
        <f t="shared" si="35"/>
        <v>6.2291033694552924</v>
      </c>
      <c r="I9" s="48">
        <f t="shared" si="4"/>
        <v>5.6459531032504895</v>
      </c>
      <c r="J9" s="48">
        <f t="shared" si="5"/>
        <v>0.42574434865483646</v>
      </c>
      <c r="K9" s="48">
        <f t="shared" si="6"/>
        <v>0.37519379844961243</v>
      </c>
      <c r="L9" s="48">
        <f>$B$19*EXP(-H9*$B$20)+(1-$B$19)*EXP(-H9*$B$21)</f>
        <v>0.30646917720368738</v>
      </c>
      <c r="M9" s="48">
        <f>$D$5*$B$19*EXP(-H9*$B$20)+$D$5*(1-$B$19)*EXP(-H9*$B$21)</f>
        <v>1976.7261929637834</v>
      </c>
      <c r="N9" s="62">
        <f>(D9-M9)/D9*100</f>
        <v>18.31709946430647</v>
      </c>
      <c r="O9" s="61">
        <f t="shared" si="7"/>
        <v>2207.4147116372837</v>
      </c>
      <c r="P9" s="62">
        <f t="shared" si="8"/>
        <v>8.7845160480461253</v>
      </c>
      <c r="Q9" s="48">
        <f>LOG(D$5/M9)</f>
        <v>0.51361319763327395</v>
      </c>
      <c r="R9" s="61">
        <f t="shared" si="9"/>
        <v>-20.638876183809398</v>
      </c>
      <c r="S9" s="48">
        <f t="shared" si="10"/>
        <v>0.4656757819919381</v>
      </c>
      <c r="T9" s="61">
        <f t="shared" si="11"/>
        <v>-51.948651489489869</v>
      </c>
      <c r="U9" s="39">
        <v>0.38055555555555554</v>
      </c>
      <c r="V9" s="18">
        <v>0.56999999999999995</v>
      </c>
      <c r="W9" s="27">
        <v>2600</v>
      </c>
      <c r="X9" s="47">
        <f t="shared" si="1"/>
        <v>43600.380555555559</v>
      </c>
      <c r="Y9" s="48">
        <v>63.273738861083984</v>
      </c>
      <c r="Z9">
        <f>Z6+(Z12-Z6)/2</f>
        <v>11.7676374527453</v>
      </c>
      <c r="AA9">
        <f t="shared" si="36"/>
        <v>7.7661099265520406</v>
      </c>
      <c r="AB9" s="48">
        <f t="shared" si="12"/>
        <v>7.5022222370012841</v>
      </c>
      <c r="AC9" s="48">
        <f t="shared" si="13"/>
        <v>0.38505601127331629</v>
      </c>
      <c r="AD9" s="48">
        <f t="shared" si="14"/>
        <v>0.41204437400950872</v>
      </c>
      <c r="AE9" s="48">
        <f>$B$19*EXP(-AA9*$B$20)+(1-$B$19)*EXP(-AA9*$B$21)</f>
        <v>0.22918862165900022</v>
      </c>
      <c r="AF9" s="48">
        <f>$W$5*$B$19*EXP(-AA9*$B$20)+$W$5*(1-$B$19)*EXP(-AA9*$B$21)</f>
        <v>1446.1802026682913</v>
      </c>
      <c r="AG9" s="62">
        <f t="shared" si="15"/>
        <v>44.37768451275803</v>
      </c>
      <c r="AH9" s="61">
        <f>$W$5*$B$19*EXP(-AB9*$B$20)+$W$5*(1-$B$19)*EXP(-AB9*$B$21)</f>
        <v>1520.1005706223282</v>
      </c>
      <c r="AI9" s="62">
        <f t="shared" si="16"/>
        <v>41.534593437602766</v>
      </c>
      <c r="AJ9" s="48">
        <f>LOG(W$5/AF9)</f>
        <v>0.63980694723419373</v>
      </c>
      <c r="AK9" s="61">
        <f t="shared" si="17"/>
        <v>-66.159449145712173</v>
      </c>
      <c r="AL9" s="48">
        <f t="shared" si="18"/>
        <v>0.61815703720631454</v>
      </c>
      <c r="AM9" s="61">
        <f t="shared" si="19"/>
        <v>-169.71541289080378</v>
      </c>
      <c r="AN9" s="39">
        <v>0.46111111111111108</v>
      </c>
      <c r="AO9" s="18">
        <v>0.72</v>
      </c>
      <c r="AP9" s="27">
        <v>4884</v>
      </c>
      <c r="AQ9" s="47">
        <f t="shared" si="2"/>
        <v>43607.461111111108</v>
      </c>
      <c r="AR9" s="48">
        <v>104.8900146484375</v>
      </c>
      <c r="AS9">
        <f>AS6+(AS12-AS6)/2</f>
        <v>6.7697680050958864</v>
      </c>
      <c r="AT9">
        <f t="shared" si="37"/>
        <v>5.1743960344193756</v>
      </c>
      <c r="AU9" s="48">
        <f t="shared" si="20"/>
        <v>4.7590211908641802</v>
      </c>
      <c r="AV9" s="48">
        <f t="shared" si="21"/>
        <v>0.30262764730719544</v>
      </c>
      <c r="AW9" s="48">
        <f t="shared" si="22"/>
        <v>0.49816401468788252</v>
      </c>
      <c r="AX9" s="48">
        <f>$B$19*EXP(-AT9*$B$20)+(1-$B$19)*EXP(-AT9*$B$21)</f>
        <v>0.37420644134835573</v>
      </c>
      <c r="AY9" s="48">
        <f>$AP$5*$B$19*EXP(-AT9*$B$20)+$AP$5*(1-$B$19)*EXP(-AT9*$B$21)</f>
        <v>3668.719950979279</v>
      </c>
      <c r="AZ9" s="62">
        <f t="shared" si="23"/>
        <v>24.882883886583148</v>
      </c>
      <c r="BA9" s="61">
        <f>$AP$5*$B$19*EXP(-AU9*$B$20)+$AP$5*(1-$B$19)*EXP(-AU9*$B$21)</f>
        <v>3969.1479646391426</v>
      </c>
      <c r="BB9" s="62">
        <f t="shared" si="24"/>
        <v>18.73161415562771</v>
      </c>
      <c r="BC9" s="48">
        <f>LOG(AP$5/AY9)</f>
        <v>0.42688874110653247</v>
      </c>
      <c r="BD9" s="61">
        <f t="shared" si="25"/>
        <v>-41.060720956932393</v>
      </c>
      <c r="BE9" s="48">
        <f t="shared" si="26"/>
        <v>0.39270601344145512</v>
      </c>
      <c r="BF9" s="61">
        <f t="shared" si="27"/>
        <v>-4.943680826669091</v>
      </c>
      <c r="BG9" s="39">
        <v>0.61805555555555558</v>
      </c>
      <c r="BH9" s="18">
        <v>0.77</v>
      </c>
      <c r="BI9" s="27">
        <v>7270</v>
      </c>
      <c r="BJ9" s="47">
        <f t="shared" si="3"/>
        <v>43613.618055555555</v>
      </c>
      <c r="BK9" s="48" t="e">
        <f ca="1">_xll.PITimeDat("DIS North Flow",'Plot data'!BJ9,"\\APPLEPI_AF\MWRD_Production\Hite Treatment Plant\07-Disinfection\Dis_PAA\North_PAA\North_PAA_Dose_Cntrl\CT Dosing Method","interpolated")</f>
        <v>#NAME?</v>
      </c>
      <c r="BL9" t="e">
        <f ca="1">BL6+(BL12-BL6)/2</f>
        <v>#NAME?</v>
      </c>
      <c r="BM9" t="e">
        <f t="shared" ca="1" si="38"/>
        <v>#NAME?</v>
      </c>
      <c r="BN9" s="48">
        <f t="shared" si="28"/>
        <v>0.1722912830942725</v>
      </c>
      <c r="BO9" s="39">
        <v>0.63888888888888895</v>
      </c>
      <c r="BP9" s="18">
        <v>0.56999999999999995</v>
      </c>
      <c r="BQ9" s="27">
        <v>7270</v>
      </c>
      <c r="BR9" s="47">
        <f>BP$3+BO9</f>
        <v>43614.638888888891</v>
      </c>
      <c r="BS9" s="48">
        <v>102.53208160400391</v>
      </c>
      <c r="BT9">
        <f>BT6+(BT12-BT6)/2</f>
        <v>7.0646429480531046</v>
      </c>
      <c r="BU9">
        <f t="shared" ref="BU9:BU12" si="39">BU8+(BT9-BT8)*BP9</f>
        <v>4.0268464803902688</v>
      </c>
      <c r="BV9" s="48">
        <f t="shared" si="29"/>
        <v>4.9280208159268284</v>
      </c>
      <c r="BW9" s="48">
        <f>LOG($BQ$5/BQ9)</f>
        <v>0.46928505563679895</v>
      </c>
      <c r="BX9" s="48">
        <f>BQ9/$BQ$5</f>
        <v>0.33940242763772177</v>
      </c>
      <c r="BY9" s="48">
        <f>$B$19*EXP(-BU9*$B$20)+(1-$B$19)*EXP(-BU9*$B$21)</f>
        <v>0.46514161924051284</v>
      </c>
      <c r="BZ9" s="48">
        <f>$BQ$5*$B$19*EXP(-BU9*$B$20)+$BQ$5*(1-$B$19)*EXP(-BU9*$B$21)</f>
        <v>9963.3334841317846</v>
      </c>
      <c r="CA9" s="62">
        <f t="shared" si="30"/>
        <v>-37.047228117356049</v>
      </c>
      <c r="CB9" s="61">
        <f>$BQ$5*$B$19*EXP(-BV9*$B$20)+$BQ$5*(1-$B$19)*EXP(-BV9*$B$21)</f>
        <v>8398.5431698639768</v>
      </c>
      <c r="CC9" s="62">
        <f t="shared" si="31"/>
        <v>-15.523289819311922</v>
      </c>
      <c r="CD9" s="48">
        <f>LOG(BQ$5/BZ9)</f>
        <v>0.33241479960302339</v>
      </c>
      <c r="CE9" s="61">
        <f t="shared" si="32"/>
        <v>29.165696710296622</v>
      </c>
      <c r="CF9" s="48">
        <f t="shared" si="33"/>
        <v>0.40661550759588033</v>
      </c>
      <c r="CG9" s="61">
        <f t="shared" si="34"/>
        <v>12.582428495690074</v>
      </c>
    </row>
    <row r="10" spans="1:85" x14ac:dyDescent="0.55000000000000004">
      <c r="A10" s="35" t="s">
        <v>17</v>
      </c>
      <c r="B10" s="39">
        <v>0.49444444444444446</v>
      </c>
      <c r="C10" s="18">
        <v>0.63</v>
      </c>
      <c r="D10" s="27">
        <v>1990</v>
      </c>
      <c r="E10" s="47">
        <f t="shared" si="0"/>
        <v>43598.494444444441</v>
      </c>
      <c r="F10" s="48">
        <v>86.667854309082031</v>
      </c>
      <c r="G10">
        <f>G9+(G11-G9)/2</f>
        <v>9.9289206853606728</v>
      </c>
      <c r="H10">
        <f t="shared" si="35"/>
        <v>7.2331451144461028</v>
      </c>
      <c r="I10" s="48">
        <f t="shared" si="4"/>
        <v>6.5229487385325982</v>
      </c>
      <c r="J10" s="48">
        <f t="shared" si="5"/>
        <v>0.51070663822556117</v>
      </c>
      <c r="K10" s="48">
        <f t="shared" si="6"/>
        <v>0.30852713178294572</v>
      </c>
      <c r="L10" s="48">
        <f>$B$19*EXP(-H10*$B$20)+(1-$B$19)*EXP(-H10*$B$21)</f>
        <v>0.25346944212094852</v>
      </c>
      <c r="M10" s="48">
        <f>$D$5*$B$19*EXP(-H10*$B$20)+$D$5*(1-$B$19)*EXP(-H10*$B$21)</f>
        <v>1634.8779016801177</v>
      </c>
      <c r="N10" s="62">
        <f>(D10-M10)/D10*100</f>
        <v>17.845331573863433</v>
      </c>
      <c r="O10" s="61">
        <f t="shared" si="7"/>
        <v>1869.8349851021462</v>
      </c>
      <c r="P10" s="62">
        <f t="shared" si="8"/>
        <v>6.0384429596911451</v>
      </c>
      <c r="Q10" s="48">
        <f>LOG(D$5/M10)</f>
        <v>0.59607439103751392</v>
      </c>
      <c r="R10" s="61">
        <f t="shared" si="9"/>
        <v>-16.715614488302151</v>
      </c>
      <c r="S10" s="48">
        <f t="shared" si="10"/>
        <v>0.53775643335103351</v>
      </c>
      <c r="T10" s="61">
        <f t="shared" si="11"/>
        <v>-112.15828971384694</v>
      </c>
      <c r="U10" s="39">
        <v>0.37916666666666665</v>
      </c>
      <c r="V10" s="18">
        <v>0.53</v>
      </c>
      <c r="W10" s="27">
        <v>866</v>
      </c>
      <c r="X10" s="47">
        <f t="shared" si="1"/>
        <v>43600.379166666666</v>
      </c>
      <c r="Y10" s="48">
        <v>61.519660949707031</v>
      </c>
      <c r="Z10">
        <f>Z9+(Z11-Z9)/2</f>
        <v>14.121828433619182</v>
      </c>
      <c r="AA10">
        <f t="shared" si="36"/>
        <v>9.0138311464151979</v>
      </c>
      <c r="AB10" s="48">
        <f t="shared" si="12"/>
        <v>8.7051346680621648</v>
      </c>
      <c r="AC10" s="48">
        <f t="shared" si="13"/>
        <v>0.86251146722678762</v>
      </c>
      <c r="AD10" s="48">
        <f t="shared" si="14"/>
        <v>0.13724247226624406</v>
      </c>
      <c r="AE10" s="48">
        <f>$B$19*EXP(-AA10*$B$20)+(1-$B$19)*EXP(-AA10*$B$21)</f>
        <v>0.1811009167221235</v>
      </c>
      <c r="AF10" s="48">
        <f>$W$5*$B$19*EXP(-AA10*$B$20)+$W$5*(1-$B$19)*EXP(-AA10*$B$21)</f>
        <v>1142.7467845165995</v>
      </c>
      <c r="AG10" s="62">
        <f t="shared" si="15"/>
        <v>-31.956903523856756</v>
      </c>
      <c r="AH10" s="61">
        <f>$W$5*$B$19*EXP(-AB10*$B$20)+$W$5*(1-$B$19)*EXP(-AB10*$B$21)</f>
        <v>1211.263268256803</v>
      </c>
      <c r="AI10" s="62">
        <f t="shared" si="16"/>
        <v>-39.868737673995732</v>
      </c>
      <c r="AJ10" s="48">
        <f>LOG(W$5/AF10)</f>
        <v>0.74207935130741021</v>
      </c>
      <c r="AK10" s="61">
        <f t="shared" si="17"/>
        <v>13.962958232497463</v>
      </c>
      <c r="AL10" s="48">
        <f t="shared" si="18"/>
        <v>0.71679081186919003</v>
      </c>
      <c r="AM10" s="61">
        <f t="shared" si="19"/>
        <v>-295.79634650277063</v>
      </c>
      <c r="AN10" s="39">
        <v>0.45902777777777781</v>
      </c>
      <c r="AO10" s="18">
        <v>0.7</v>
      </c>
      <c r="AP10" s="27">
        <v>2851</v>
      </c>
      <c r="AQ10" s="47">
        <f t="shared" si="2"/>
        <v>43607.459027777775</v>
      </c>
      <c r="AR10" s="48">
        <v>105.21232604980469</v>
      </c>
      <c r="AS10">
        <f>AS9+(AS11-AS9)/2</f>
        <v>8.0472789885778031</v>
      </c>
      <c r="AT10">
        <f t="shared" si="37"/>
        <v>6.068653722856717</v>
      </c>
      <c r="AU10" s="48">
        <f t="shared" si="20"/>
        <v>5.4847196182589339</v>
      </c>
      <c r="AV10" s="48">
        <f t="shared" si="21"/>
        <v>0.53640608527058031</v>
      </c>
      <c r="AW10" s="48">
        <f t="shared" si="22"/>
        <v>0.29079967360261116</v>
      </c>
      <c r="AX10" s="48">
        <f>$B$19*EXP(-AT10*$B$20)+(1-$B$19)*EXP(-AT10*$B$21)</f>
        <v>0.31591719970496468</v>
      </c>
      <c r="AY10" s="48">
        <f>$AP$5*$B$19*EXP(-AT10*$B$20)+$AP$5*(1-$B$19)*EXP(-AT10*$B$21)</f>
        <v>3097.252225907474</v>
      </c>
      <c r="AZ10" s="62">
        <f t="shared" si="23"/>
        <v>-8.6373983131348293</v>
      </c>
      <c r="BA10" s="61">
        <f>$AP$5*$B$19*EXP(-AU10*$B$20)+$AP$5*(1-$B$19)*EXP(-AU10*$B$21)</f>
        <v>3459.2916153397423</v>
      </c>
      <c r="BB10" s="62">
        <f t="shared" si="24"/>
        <v>-21.336079106970967</v>
      </c>
      <c r="BC10" s="48">
        <f>LOG(AP$5/AY10)</f>
        <v>0.50042672884758055</v>
      </c>
      <c r="BD10" s="61">
        <f t="shared" si="25"/>
        <v>6.7074847603286667</v>
      </c>
      <c r="BE10" s="48">
        <f t="shared" si="26"/>
        <v>0.45241612836717521</v>
      </c>
      <c r="BF10" s="61">
        <f t="shared" si="27"/>
        <v>-43.207184917341316</v>
      </c>
      <c r="BG10" s="39">
        <v>0.61527777777777781</v>
      </c>
      <c r="BH10" s="18">
        <v>0.73</v>
      </c>
      <c r="BI10" s="27">
        <v>6131</v>
      </c>
      <c r="BJ10" s="47">
        <f t="shared" si="3"/>
        <v>43613.615277777775</v>
      </c>
      <c r="BK10" s="48" t="e">
        <f ca="1">_xll.PITimeDat("DIS North Flow",'Plot data'!BJ10,"\\APPLEPI_AF\MWRD_Production\Hite Treatment Plant\07-Disinfection\Dis_PAA\North_PAA\North_PAA_Dose_Cntrl\CT Dosing Method","interpolated")</f>
        <v>#NAME?</v>
      </c>
      <c r="BL10" t="e">
        <f ca="1">BL9+(BL11-BL9)/2</f>
        <v>#NAME?</v>
      </c>
      <c r="BM10" t="e">
        <f t="shared" ca="1" si="38"/>
        <v>#NAME?</v>
      </c>
      <c r="BN10" s="48">
        <f t="shared" si="28"/>
        <v>0.24629437782607611</v>
      </c>
      <c r="BO10" s="40"/>
      <c r="BP10" s="17"/>
      <c r="BQ10" s="41"/>
      <c r="BR10" s="47"/>
      <c r="BS10" s="48"/>
      <c r="BV10" s="48"/>
      <c r="BW10" s="48"/>
      <c r="BX10" s="48"/>
      <c r="BY10" s="48"/>
      <c r="BZ10" s="48"/>
      <c r="CA10" s="62"/>
      <c r="CB10" s="61"/>
      <c r="CC10" s="62"/>
      <c r="CD10" s="48"/>
      <c r="CE10" s="61"/>
      <c r="CF10" s="48"/>
      <c r="CG10" s="61"/>
    </row>
    <row r="11" spans="1:85" x14ac:dyDescent="0.55000000000000004">
      <c r="A11" s="35" t="s">
        <v>18</v>
      </c>
      <c r="B11" s="39">
        <v>0.49305555555555558</v>
      </c>
      <c r="C11" s="18">
        <v>0.62</v>
      </c>
      <c r="D11" s="27">
        <v>770</v>
      </c>
      <c r="E11" s="47">
        <f t="shared" si="0"/>
        <v>43598.493055555555</v>
      </c>
      <c r="F11" s="48">
        <v>87.006301879882813</v>
      </c>
      <c r="G11">
        <f>G9+(G12-G9)/2</f>
        <v>11.52263774090164</v>
      </c>
      <c r="H11">
        <f t="shared" si="35"/>
        <v>8.2212496888815032</v>
      </c>
      <c r="I11" s="48">
        <f t="shared" si="4"/>
        <v>7.373752234007755</v>
      </c>
      <c r="J11" s="48">
        <f t="shared" si="5"/>
        <v>0.92306898946278593</v>
      </c>
      <c r="K11" s="48">
        <f t="shared" si="6"/>
        <v>0.11937984496124031</v>
      </c>
      <c r="L11" s="48">
        <f>$B$19*EXP(-H11*$B$20)+(1-$B$19)*EXP(-H11*$B$21)</f>
        <v>0.21031414929818451</v>
      </c>
      <c r="M11" s="48">
        <f>$D$5*$B$19*EXP(-H11*$B$20)+$D$5*(1-$B$19)*EXP(-H11*$B$21)</f>
        <v>1356.5262629732899</v>
      </c>
      <c r="N11" s="62">
        <f>(D11-M11)/D11*100</f>
        <v>-76.172241944583106</v>
      </c>
      <c r="O11" s="61">
        <f t="shared" si="7"/>
        <v>1592.0074248386823</v>
      </c>
      <c r="P11" s="62">
        <f t="shared" si="8"/>
        <v>-106.75421101801068</v>
      </c>
      <c r="Q11" s="48">
        <f>LOG(D$5/M11)</f>
        <v>0.67713150831504609</v>
      </c>
      <c r="R11" s="61">
        <f t="shared" si="9"/>
        <v>26.643456118146947</v>
      </c>
      <c r="S11" s="48">
        <f t="shared" si="10"/>
        <v>0.60761462575689051</v>
      </c>
      <c r="T11" s="61">
        <f t="shared" si="11"/>
        <v>-188.90810617568641</v>
      </c>
      <c r="U11" s="39">
        <v>0.37708333333333338</v>
      </c>
      <c r="V11" s="18">
        <v>0.49</v>
      </c>
      <c r="W11" s="27">
        <v>613</v>
      </c>
      <c r="X11" s="47">
        <f t="shared" si="1"/>
        <v>43600.377083333333</v>
      </c>
      <c r="Y11" s="48">
        <v>59.253211975097656</v>
      </c>
      <c r="Z11">
        <f>Z9+(Z12-Z9)/2</f>
        <v>16.476019414493063</v>
      </c>
      <c r="AA11">
        <f t="shared" si="36"/>
        <v>10.1673847270434</v>
      </c>
      <c r="AB11" s="48">
        <f t="shared" si="12"/>
        <v>9.850895034678544</v>
      </c>
      <c r="AC11" s="48">
        <f t="shared" si="13"/>
        <v>1.0125688847257193</v>
      </c>
      <c r="AD11" s="48">
        <f t="shared" si="14"/>
        <v>9.7147385103011089E-2</v>
      </c>
      <c r="AE11" s="48">
        <f>$B$19*EXP(-AA11*$B$20)+(1-$B$19)*EXP(-AA11*$B$21)</f>
        <v>0.14571598321570298</v>
      </c>
      <c r="AF11" s="48">
        <f>$W$5*$B$19*EXP(-AA11*$B$20)+$W$5*(1-$B$19)*EXP(-AA11*$B$21)</f>
        <v>919.46785409108577</v>
      </c>
      <c r="AG11" s="62">
        <f t="shared" si="15"/>
        <v>-49.994755969182023</v>
      </c>
      <c r="AH11" s="61">
        <f>$W$5*$B$19*EXP(-AB11*$B$20)+$W$5*(1-$B$19)*EXP(-AB11*$B$21)</f>
        <v>975.94698719413236</v>
      </c>
      <c r="AI11" s="62">
        <f t="shared" si="16"/>
        <v>-59.208317649940021</v>
      </c>
      <c r="AJ11" s="48">
        <f>LOG(W$5/AF11)</f>
        <v>0.83649280895975964</v>
      </c>
      <c r="AK11" s="61">
        <f t="shared" si="17"/>
        <v>17.389046653715262</v>
      </c>
      <c r="AL11" s="48">
        <f t="shared" si="18"/>
        <v>0.81060313153066887</v>
      </c>
      <c r="AM11" s="61">
        <f t="shared" si="19"/>
        <v>-456.2897862280044</v>
      </c>
      <c r="AN11" s="39">
        <v>0.45555555555555555</v>
      </c>
      <c r="AO11" s="18">
        <v>0.62</v>
      </c>
      <c r="AP11" s="27">
        <v>1733</v>
      </c>
      <c r="AQ11" s="47">
        <f t="shared" si="2"/>
        <v>43607.455555555556</v>
      </c>
      <c r="AR11" s="48">
        <v>107.611572265625</v>
      </c>
      <c r="AS11">
        <f>AS9+(AS12-AS9)/2</f>
        <v>9.3247899720597189</v>
      </c>
      <c r="AT11">
        <f t="shared" si="37"/>
        <v>6.8607105326155047</v>
      </c>
      <c r="AU11" s="48">
        <f t="shared" si="20"/>
        <v>6.19358828944757</v>
      </c>
      <c r="AV11" s="48">
        <f t="shared" si="21"/>
        <v>0.75260473986612331</v>
      </c>
      <c r="AW11" s="48">
        <f t="shared" si="22"/>
        <v>0.17676458588331292</v>
      </c>
      <c r="AX11" s="48">
        <f>$B$19*EXP(-AT11*$B$20)+(1-$B$19)*EXP(-AT11*$B$21)</f>
        <v>0.27195819274720495</v>
      </c>
      <c r="AY11" s="48">
        <f>$AP$5*$B$19*EXP(-AT11*$B$20)+$AP$5*(1-$B$19)*EXP(-AT11*$B$21)</f>
        <v>2666.2781216935973</v>
      </c>
      <c r="AZ11" s="62">
        <f t="shared" si="23"/>
        <v>-53.85332496789367</v>
      </c>
      <c r="BA11" s="61">
        <f>$AP$5*$B$19*EXP(-AU11*$B$20)+$AP$5*(1-$B$19)*EXP(-AU11*$B$21)</f>
        <v>3024.8837195194883</v>
      </c>
      <c r="BB11" s="62">
        <f t="shared" si="24"/>
        <v>-74.546088835515761</v>
      </c>
      <c r="BC11" s="48">
        <f>LOG(AP$5/AY11)</f>
        <v>0.56549785351985693</v>
      </c>
      <c r="BD11" s="61">
        <f t="shared" si="25"/>
        <v>24.861242088317141</v>
      </c>
      <c r="BE11" s="48">
        <f t="shared" si="26"/>
        <v>0.51069461811772432</v>
      </c>
      <c r="BF11" s="61">
        <f t="shared" si="27"/>
        <v>-87.784237334020517</v>
      </c>
      <c r="BG11" s="39">
        <v>0.61388888888888882</v>
      </c>
      <c r="BH11" s="18">
        <v>0.72</v>
      </c>
      <c r="BI11" s="25">
        <v>2420</v>
      </c>
      <c r="BJ11" s="47">
        <f t="shared" si="3"/>
        <v>43613.613888888889</v>
      </c>
      <c r="BK11" s="48" t="e">
        <f ca="1">_xll.PITimeDat("DIS North Flow",'Plot data'!BJ11,"\\APPLEPI_AF\MWRD_Production\Hite Treatment Plant\07-Disinfection\Dis_PAA\North_PAA\North_PAA_Dose_Cntrl\CT Dosing Method","interpolated")</f>
        <v>#NAME?</v>
      </c>
      <c r="BL11" t="e">
        <f ca="1">BL9+(BL12-BL9)/2</f>
        <v>#NAME?</v>
      </c>
      <c r="BM11" t="e">
        <f t="shared" ca="1" si="38"/>
        <v>#NAME?</v>
      </c>
      <c r="BN11" s="48">
        <f t="shared" si="28"/>
        <v>0.65001032797287905</v>
      </c>
      <c r="BO11" s="39">
        <v>0.63750000000000007</v>
      </c>
      <c r="BP11" s="18">
        <v>0.5</v>
      </c>
      <c r="BQ11" s="25"/>
      <c r="BR11" s="47">
        <f>BP$3+BO11</f>
        <v>43614.637499999997</v>
      </c>
      <c r="BS11" s="48">
        <v>103.54219818115234</v>
      </c>
      <c r="BT11">
        <f>BT9+(BT12-BT9)/2</f>
        <v>9.7614390143345169</v>
      </c>
      <c r="BU11">
        <f t="shared" si="39"/>
        <v>4.8807195071672584</v>
      </c>
      <c r="BV11" s="48">
        <f t="shared" si="29"/>
        <v>6.4320180185504068</v>
      </c>
      <c r="BW11" s="48"/>
      <c r="BX11" s="48"/>
      <c r="BY11" s="48"/>
      <c r="BZ11" s="48"/>
      <c r="CA11" s="62"/>
      <c r="CB11" s="61"/>
      <c r="CC11" s="62"/>
      <c r="CD11" s="48"/>
      <c r="CE11" s="61"/>
      <c r="CF11" s="48"/>
      <c r="CG11" s="61"/>
    </row>
    <row r="12" spans="1:85" x14ac:dyDescent="0.55000000000000004">
      <c r="A12" s="35" t="s">
        <v>25</v>
      </c>
      <c r="B12" s="39">
        <v>0.4909722222222222</v>
      </c>
      <c r="C12" s="18">
        <v>0.57999999999999996</v>
      </c>
      <c r="D12" s="27">
        <v>770</v>
      </c>
      <c r="E12" s="47">
        <f t="shared" si="0"/>
        <v>43598.490972222222</v>
      </c>
      <c r="F12" s="48">
        <v>86.405845642089844</v>
      </c>
      <c r="G12" s="48">
        <f>1044.6*F12^-0.956</f>
        <v>14.710071851983574</v>
      </c>
      <c r="H12">
        <f t="shared" si="35"/>
        <v>10.069961473309025</v>
      </c>
      <c r="I12" s="48">
        <f t="shared" si="4"/>
        <v>8.9967828055372205</v>
      </c>
      <c r="J12" s="48">
        <f t="shared" si="5"/>
        <v>0.92306898946278593</v>
      </c>
      <c r="K12" s="48">
        <f t="shared" si="6"/>
        <v>0.11937984496124031</v>
      </c>
      <c r="L12" s="48">
        <f>$B$19*EXP(-H12*$B$20)+(1-$B$19)*EXP(-H12*$B$21)</f>
        <v>0.14841423419208508</v>
      </c>
      <c r="M12" s="48">
        <f>$D$5*$B$19*EXP(-H12*$B$20)+$D$5*(1-$B$19)*EXP(-H12*$B$21)</f>
        <v>957.27181053894867</v>
      </c>
      <c r="N12" s="62">
        <f>(D12-M12)/D12*100</f>
        <v>-24.321014355707621</v>
      </c>
      <c r="O12" s="61">
        <f t="shared" si="7"/>
        <v>1171.8626674815705</v>
      </c>
      <c r="P12" s="62">
        <f t="shared" si="8"/>
        <v>-52.189956815788378</v>
      </c>
      <c r="Q12" s="48">
        <f>LOG(D$5/M12)</f>
        <v>0.82852444451101981</v>
      </c>
      <c r="R12" s="61">
        <f t="shared" si="9"/>
        <v>10.242413734079596</v>
      </c>
      <c r="S12" s="48">
        <f t="shared" si="10"/>
        <v>0.74068299565764961</v>
      </c>
      <c r="T12" s="61">
        <f t="shared" si="11"/>
        <v>-399.06466161393985</v>
      </c>
      <c r="U12" s="39">
        <v>0.3756944444444445</v>
      </c>
      <c r="V12" s="18">
        <v>0.45</v>
      </c>
      <c r="W12" s="27">
        <v>84</v>
      </c>
      <c r="X12" s="47">
        <f t="shared" si="1"/>
        <v>43600.375694444447</v>
      </c>
      <c r="Y12" s="48">
        <v>58.999900817871094</v>
      </c>
      <c r="Z12" s="48">
        <f>1044.6*Y12^-0.956</f>
        <v>21.184401376240825</v>
      </c>
      <c r="AA12">
        <f t="shared" si="36"/>
        <v>12.286156609829893</v>
      </c>
      <c r="AB12" s="48">
        <f t="shared" si="12"/>
        <v>11.970959574577812</v>
      </c>
      <c r="AC12" s="48">
        <f t="shared" si="13"/>
        <v>1.8757500731822527</v>
      </c>
      <c r="AD12" s="48">
        <f t="shared" si="14"/>
        <v>1.3312202852614897E-2</v>
      </c>
      <c r="AE12" s="48">
        <f>$B$19*EXP(-AA12*$B$20)+(1-$B$19)*EXP(-AA12*$B$21)</f>
        <v>9.7827209824527167E-2</v>
      </c>
      <c r="AF12" s="48">
        <f>$W$5*$B$19*EXP(-AA12*$B$20)+$W$5*(1-$B$19)*EXP(-AA12*$B$21)</f>
        <v>617.28969399276639</v>
      </c>
      <c r="AG12" s="62">
        <f t="shared" si="15"/>
        <v>-634.86868332472181</v>
      </c>
      <c r="AH12" s="61">
        <f>$W$5*$B$19*EXP(-AB12*$B$20)+$W$5*(1-$B$19)*EXP(-AB12*$B$21)</f>
        <v>654.94013022475292</v>
      </c>
      <c r="AI12" s="62">
        <f t="shared" si="16"/>
        <v>-679.69063121994395</v>
      </c>
      <c r="AJ12" s="48">
        <f>LOG(W$5/AF12)</f>
        <v>1.0095403330131907</v>
      </c>
      <c r="AK12" s="61">
        <f t="shared" si="17"/>
        <v>46.17937925490881</v>
      </c>
      <c r="AL12" s="48">
        <f t="shared" si="18"/>
        <v>0.98382775742242912</v>
      </c>
      <c r="AM12" s="61">
        <f t="shared" si="19"/>
        <v>-905.67905308464049</v>
      </c>
      <c r="AN12" s="39">
        <v>0.45416666666666666</v>
      </c>
      <c r="AO12" s="18">
        <v>0.64</v>
      </c>
      <c r="AP12" s="27">
        <v>866</v>
      </c>
      <c r="AQ12" s="47">
        <f t="shared" si="2"/>
        <v>43607.45416666667</v>
      </c>
      <c r="AR12" s="48">
        <v>108.04874420166016</v>
      </c>
      <c r="AS12" s="48">
        <f>1044.6*AR12^-0.956</f>
        <v>11.879811939023551</v>
      </c>
      <c r="AT12">
        <f t="shared" si="37"/>
        <v>8.495924591472356</v>
      </c>
      <c r="AU12" s="48">
        <f t="shared" si="20"/>
        <v>7.5608363632064908</v>
      </c>
      <c r="AV12" s="48">
        <f t="shared" si="21"/>
        <v>1.0538854105626936</v>
      </c>
      <c r="AW12" s="48">
        <f t="shared" si="22"/>
        <v>8.83312933496532E-2</v>
      </c>
      <c r="AX12" s="48">
        <f>$B$19*EXP(-AT12*$B$20)+(1-$B$19)*EXP(-AT12*$B$21)</f>
        <v>0.19968857307212273</v>
      </c>
      <c r="AY12" s="48">
        <f>$AP$5*$B$19*EXP(-AT12*$B$20)+$AP$5*(1-$B$19)*EXP(-AT12*$B$21)</f>
        <v>1957.746770399091</v>
      </c>
      <c r="AZ12" s="62">
        <f t="shared" si="23"/>
        <v>-126.06775639712366</v>
      </c>
      <c r="BA12" s="61">
        <f>$AP$5*$B$19*EXP(-AU12*$B$20)+$AP$5*(1-$B$19)*EXP(-AU12*$B$21)</f>
        <v>2335.8064294729279</v>
      </c>
      <c r="BB12" s="62">
        <f t="shared" si="24"/>
        <v>-169.72360617470298</v>
      </c>
      <c r="BC12" s="48">
        <f>LOG(AP$5/AY12)</f>
        <v>0.69964678637471689</v>
      </c>
      <c r="BD12" s="61">
        <f t="shared" si="25"/>
        <v>33.612631946279677</v>
      </c>
      <c r="BE12" s="48">
        <f t="shared" si="26"/>
        <v>0.62296645305021392</v>
      </c>
      <c r="BF12" s="61">
        <f t="shared" si="27"/>
        <v>-211.96900426806761</v>
      </c>
      <c r="BG12" s="39">
        <v>0.61111111111111105</v>
      </c>
      <c r="BH12" s="18">
        <v>0.65</v>
      </c>
      <c r="BI12" s="27">
        <v>2420</v>
      </c>
      <c r="BJ12" s="47">
        <f t="shared" si="3"/>
        <v>43613.611111111109</v>
      </c>
      <c r="BK12" s="48" t="e">
        <f ca="1">_xll.PITimeDat("DIS North Flow",'Plot data'!BJ12,"\\APPLEPI_AF\MWRD_Production\Hite Treatment Plant\07-Disinfection\Dis_PAA\North_PAA\North_PAA_Dose_Cntrl\CT Dosing Method","interpolated")</f>
        <v>#NAME?</v>
      </c>
      <c r="BL12" s="48" t="e">
        <f ca="1">1044.6*BK12^-0.956</f>
        <v>#NAME?</v>
      </c>
      <c r="BM12" t="e">
        <f t="shared" ca="1" si="38"/>
        <v>#NAME?</v>
      </c>
      <c r="BN12" s="48">
        <f t="shared" si="28"/>
        <v>0.65001032797287905</v>
      </c>
      <c r="BO12" s="39">
        <v>0.63611111111111118</v>
      </c>
      <c r="BP12" s="18">
        <v>0.47</v>
      </c>
      <c r="BQ12" s="27">
        <v>2420</v>
      </c>
      <c r="BR12" s="47">
        <f>BP$3+BO12</f>
        <v>43614.636111111111</v>
      </c>
      <c r="BS12" s="48">
        <v>102.80695343017578</v>
      </c>
      <c r="BT12" s="48">
        <f>1044.6*BS12^-0.956</f>
        <v>12.458235080615928</v>
      </c>
      <c r="BU12">
        <f t="shared" si="39"/>
        <v>6.1482136583195217</v>
      </c>
      <c r="BV12" s="48">
        <f t="shared" si="29"/>
        <v>7.8610180726163552</v>
      </c>
      <c r="BW12" s="48">
        <f>LOG($BQ$5/BQ12)</f>
        <v>0.94700410051540551</v>
      </c>
      <c r="BX12" s="48">
        <f>BQ12/$BQ$5</f>
        <v>0.11297852474323063</v>
      </c>
      <c r="BY12" s="48">
        <f>$B$19*EXP(-BU12*$B$20)+(1-$B$19)*EXP(-BU12*$B$21)</f>
        <v>0.31119626651599325</v>
      </c>
      <c r="BZ12" s="48">
        <f>$BQ$5*$B$19*EXP(-BU12*$B$20)+$BQ$5*(1-$B$19)*EXP(-BU12*$B$21)</f>
        <v>6665.8240287725766</v>
      </c>
      <c r="CA12" s="62">
        <f t="shared" si="30"/>
        <v>-175.44727391622217</v>
      </c>
      <c r="CB12" s="61">
        <f>$BQ$5*$B$19*EXP(-BV12*$B$20)+$BQ$5*(1-$B$19)*EXP(-BV12*$B$21)</f>
        <v>4822.0057037431161</v>
      </c>
      <c r="CC12" s="62">
        <f t="shared" si="31"/>
        <v>-99.256434038971747</v>
      </c>
      <c r="CD12" s="48">
        <f>LOG(BQ$5/BZ12)</f>
        <v>0.50696562196907313</v>
      </c>
      <c r="CE12" s="61">
        <f t="shared" si="32"/>
        <v>46.466375204377904</v>
      </c>
      <c r="CF12" s="48">
        <f t="shared" si="33"/>
        <v>0.64759174674583775</v>
      </c>
      <c r="CG12" s="61">
        <f t="shared" si="34"/>
        <v>-108.09753085921298</v>
      </c>
    </row>
    <row r="13" spans="1:85" x14ac:dyDescent="0.55000000000000004">
      <c r="A13" s="35" t="s">
        <v>22</v>
      </c>
      <c r="B13" s="40" t="s">
        <v>7</v>
      </c>
      <c r="C13" s="17" t="s">
        <v>7</v>
      </c>
      <c r="D13" s="41" t="s">
        <v>7</v>
      </c>
      <c r="E13" s="47"/>
      <c r="F13" s="48"/>
      <c r="I13" s="48"/>
      <c r="J13" s="48"/>
      <c r="K13" s="48"/>
      <c r="L13" s="48"/>
      <c r="M13" s="48"/>
      <c r="N13" s="62"/>
      <c r="O13" s="61"/>
      <c r="P13" s="62"/>
      <c r="Q13" s="48"/>
      <c r="R13" s="61"/>
      <c r="S13" s="48"/>
      <c r="T13" s="61"/>
      <c r="U13" s="39">
        <v>0.37222222222222223</v>
      </c>
      <c r="V13" s="18">
        <v>0.44</v>
      </c>
      <c r="W13" s="27">
        <v>45</v>
      </c>
      <c r="X13" s="47"/>
      <c r="Y13" s="48"/>
      <c r="AB13" s="48"/>
      <c r="AC13" s="48"/>
      <c r="AD13" s="48"/>
      <c r="AE13" s="48"/>
      <c r="AF13" s="48"/>
      <c r="AG13" s="62"/>
      <c r="AH13" s="61"/>
      <c r="AI13" s="62"/>
      <c r="AJ13" s="48"/>
      <c r="AK13" s="61"/>
      <c r="AL13" s="48"/>
      <c r="AM13" s="61"/>
      <c r="AN13" s="44"/>
      <c r="AO13" s="34"/>
      <c r="AP13" s="45"/>
      <c r="AQ13" s="47"/>
      <c r="AR13" s="48"/>
      <c r="AU13" s="48"/>
      <c r="AV13" s="48"/>
      <c r="AW13" s="48"/>
      <c r="AX13" s="48"/>
      <c r="AY13" s="48"/>
      <c r="AZ13" s="62"/>
      <c r="BA13" s="61"/>
      <c r="BB13" s="62"/>
      <c r="BC13" s="48"/>
      <c r="BD13" s="61"/>
      <c r="BE13" s="48"/>
      <c r="BF13" s="61"/>
      <c r="BG13" s="44"/>
      <c r="BH13" s="34"/>
      <c r="BI13" s="45"/>
      <c r="BJ13" s="47"/>
      <c r="BK13" s="48"/>
      <c r="BL13" t="e">
        <f ca="1">BL12+(BL14-BL12)/2</f>
        <v>#NAME?</v>
      </c>
      <c r="BN13" s="48"/>
      <c r="BO13" s="40"/>
      <c r="BP13" s="17"/>
      <c r="BQ13" s="41"/>
      <c r="BR13" s="47"/>
      <c r="BS13" s="48"/>
      <c r="BV13" s="48"/>
      <c r="BW13" s="48"/>
      <c r="BX13" s="48"/>
      <c r="BY13" s="48"/>
      <c r="BZ13" s="48"/>
      <c r="CA13" s="62"/>
      <c r="CB13" s="61"/>
      <c r="CC13" s="62"/>
      <c r="CD13" s="48"/>
      <c r="CE13" s="61"/>
      <c r="CF13" s="48"/>
      <c r="CG13" s="61"/>
    </row>
    <row r="14" spans="1:85" x14ac:dyDescent="0.55000000000000004">
      <c r="A14" s="35" t="s">
        <v>26</v>
      </c>
      <c r="B14" s="39">
        <v>0.48819444444444443</v>
      </c>
      <c r="C14" s="18">
        <v>0.47</v>
      </c>
      <c r="D14" s="27">
        <v>35</v>
      </c>
      <c r="E14" s="47">
        <f>C$3+B14</f>
        <v>43598.488194444442</v>
      </c>
      <c r="F14" s="48">
        <v>86.60345458984375</v>
      </c>
      <c r="G14" s="48">
        <f>1909.8*F14^-0.958</f>
        <v>26.596785564942959</v>
      </c>
      <c r="H14">
        <f>H12+(G14-G12)*C14</f>
        <v>15.656716918399935</v>
      </c>
      <c r="I14" s="48">
        <f t="shared" si="4"/>
        <v>14.1255820718567</v>
      </c>
      <c r="J14" s="48">
        <f t="shared" si="5"/>
        <v>2.2654916702849923</v>
      </c>
      <c r="K14" s="48">
        <f t="shared" si="6"/>
        <v>5.4263565891472867E-3</v>
      </c>
      <c r="L14" s="48">
        <f>$B$19*EXP(-H14*$B$20)+(1-$B$19)*EXP(-H14*$B$21)</f>
        <v>5.2023907128210395E-2</v>
      </c>
      <c r="M14" s="48">
        <f>$D$5*$B$19*EXP(-H14*$B$20)+$D$5*(1-$B$19)*EXP(-H14*$B$21)</f>
        <v>335.55420097695702</v>
      </c>
      <c r="N14" s="62">
        <f>(D14-M14)/D14*100</f>
        <v>-858.72628850559158</v>
      </c>
      <c r="O14" s="61">
        <f t="shared" si="7"/>
        <v>446.87585666290141</v>
      </c>
      <c r="P14" s="62">
        <f t="shared" si="8"/>
        <v>-1176.7881618940039</v>
      </c>
      <c r="Q14" s="48">
        <f>LOG(D$5/M14)</f>
        <v>1.2837970342912111</v>
      </c>
      <c r="R14" s="61">
        <f t="shared" si="9"/>
        <v>43.33252021492919</v>
      </c>
      <c r="S14" s="48">
        <f t="shared" si="10"/>
        <v>1.1593728229449609</v>
      </c>
      <c r="T14" s="61">
        <f t="shared" ref="T14" si="40">(L14-S14)/L14*100</f>
        <v>-2128.5385449573073</v>
      </c>
      <c r="U14" s="39">
        <v>0.37013888888888885</v>
      </c>
      <c r="V14" s="18">
        <v>0.34</v>
      </c>
      <c r="W14" s="27">
        <v>67</v>
      </c>
      <c r="X14" s="47">
        <f>V$3+U14</f>
        <v>43600.370138888888</v>
      </c>
      <c r="Y14" s="48">
        <v>57.666896820068359</v>
      </c>
      <c r="Z14" s="48">
        <f>1909.8*Y14^-0.958</f>
        <v>39.266322005651048</v>
      </c>
      <c r="AA14">
        <f>AA12+(Z14-Z12)*V14</f>
        <v>18.434009623829368</v>
      </c>
      <c r="AB14" s="48">
        <f t="shared" si="12"/>
        <v>17.988011933615091</v>
      </c>
      <c r="AC14" s="48">
        <f t="shared" si="13"/>
        <v>1.9739545565433079</v>
      </c>
      <c r="AD14" s="48">
        <f t="shared" si="14"/>
        <v>1.0618066561014263E-2</v>
      </c>
      <c r="AE14" s="48">
        <f>$B$19*EXP(-AA14*$B$20)+(1-$B$19)*EXP(-AA14*$B$21)</f>
        <v>3.0990756550884554E-2</v>
      </c>
      <c r="AF14" s="48">
        <f>$W$5*$B$19*EXP(-AA14*$B$20)+$W$5*(1-$B$19)*EXP(-AA14*$B$21)</f>
        <v>195.55167383608153</v>
      </c>
      <c r="AG14" s="62">
        <f t="shared" ref="AG14" si="41">(W14-AF14)/W14*100</f>
        <v>-191.86816990459928</v>
      </c>
      <c r="AH14" s="61">
        <f>$W$5*$B$19*EXP(-AB14*$B$20)+$W$5*(1-$B$19)*EXP(-AB14*$B$21)</f>
        <v>212.48321952292923</v>
      </c>
      <c r="AI14" s="62">
        <f t="shared" ref="AI14" si="42">(W14-AH14)/W14*100</f>
        <v>-217.13913361631231</v>
      </c>
      <c r="AJ14" s="48">
        <f>LOG(W$5/AF14)</f>
        <v>1.5087678215708522</v>
      </c>
      <c r="AK14" s="61">
        <f t="shared" ref="AK14" si="43">(AC14-AJ14)/AC14*100</f>
        <v>23.566233246375631</v>
      </c>
      <c r="AL14" s="48">
        <f t="shared" ref="AL14:AL23" si="44">LOG(W$5/AH14)</f>
        <v>1.4727047211229953</v>
      </c>
      <c r="AM14" s="61">
        <f t="shared" ref="AM14" si="45">(AE14-AL14)/AE14*100</f>
        <v>-4652.0773450784336</v>
      </c>
      <c r="AN14" s="39">
        <v>0.4513888888888889</v>
      </c>
      <c r="AO14" s="18">
        <v>0.49</v>
      </c>
      <c r="AP14" s="27">
        <v>93</v>
      </c>
      <c r="AQ14" s="47">
        <f>AO$3+AN14</f>
        <v>43607.451388888891</v>
      </c>
      <c r="AR14" s="48">
        <v>104.84889984130859</v>
      </c>
      <c r="AS14" s="48">
        <f>1909.8*AR14^-0.958</f>
        <v>22.145612376461052</v>
      </c>
      <c r="AT14">
        <f>AT12+(AS14-AS12)*AO14</f>
        <v>13.526166805816732</v>
      </c>
      <c r="AU14" s="48">
        <f t="shared" si="20"/>
        <v>12.375669529685197</v>
      </c>
      <c r="AV14" s="48">
        <f t="shared" si="21"/>
        <v>2.0229203540261054</v>
      </c>
      <c r="AW14" s="48">
        <f t="shared" si="22"/>
        <v>9.4859241126070987E-3</v>
      </c>
      <c r="AX14" s="48">
        <f>$B$19*EXP(-AT14*$B$20)+(1-$B$19)*EXP(-AT14*$B$21)</f>
        <v>7.7519558722041665E-2</v>
      </c>
      <c r="AY14" s="48">
        <f>$AP$5*$B$19*EXP(-AT14*$B$20)+$AP$5*(1-$B$19)*EXP(-AT14*$B$21)</f>
        <v>760.00175371089654</v>
      </c>
      <c r="AZ14" s="62">
        <f t="shared" ref="AZ14" si="46">(AP14-AY14)/AP14*100</f>
        <v>-717.20618678591018</v>
      </c>
      <c r="BA14" s="61">
        <f>$AP$5*$B$19*EXP(-AU14*$B$20)+$AP$5*(1-$B$19)*EXP(-AU14*$B$21)</f>
        <v>943.111056228812</v>
      </c>
      <c r="BB14" s="62">
        <f t="shared" ref="BB14" si="47">(AP14-BA14)/AP14*100</f>
        <v>-914.09790992345381</v>
      </c>
      <c r="BC14" s="48">
        <f>LOG(AP$5/AY14)</f>
        <v>1.1105887081596615</v>
      </c>
      <c r="BD14" s="61">
        <f t="shared" ref="BD14" si="48">(AV14-BC14)/AV14*100</f>
        <v>45.099731388370337</v>
      </c>
      <c r="BE14" s="48">
        <f t="shared" ref="BE14:BE23" si="49">LOG(AP$5/BA14)</f>
        <v>1.0168404663989041</v>
      </c>
      <c r="BF14" s="61">
        <f t="shared" ref="BF14" si="50">(AX14-BE14)/AX14*100</f>
        <v>-1211.7211748391685</v>
      </c>
      <c r="BG14" s="39">
        <v>0.60833333333333328</v>
      </c>
      <c r="BH14" s="18">
        <v>0.57999999999999996</v>
      </c>
      <c r="BI14" s="27">
        <v>67</v>
      </c>
      <c r="BJ14" s="47">
        <f>BH$3+BG14</f>
        <v>43613.60833333333</v>
      </c>
      <c r="BK14" s="48" t="e">
        <f ca="1">_xll.PITimeDat("DIS North Flow",'Plot data'!BJ14,"\\APPLEPI_AF\MWRD_Production\Hite Treatment Plant\07-Disinfection\Dis_PAA\North_PAA\North_PAA_Dose_Cntrl\CT Dosing Method","interpolated")</f>
        <v>#NAME?</v>
      </c>
      <c r="BL14" s="48" t="e">
        <f ca="1">1909.8*BK14^-0.958</f>
        <v>#NAME?</v>
      </c>
      <c r="BM14" t="e">
        <f ca="1">BM12+(BL14-BL12)*BH14</f>
        <v>#NAME?</v>
      </c>
      <c r="BN14" s="48">
        <f t="shared" si="28"/>
        <v>2.2077508912524841</v>
      </c>
      <c r="BO14" s="39">
        <v>0.63194444444444442</v>
      </c>
      <c r="BP14" s="18">
        <v>0.37</v>
      </c>
      <c r="BQ14" s="27">
        <v>173</v>
      </c>
      <c r="BR14" s="47">
        <f>BP$3+BO14</f>
        <v>43614.631944444445</v>
      </c>
      <c r="BS14" s="48">
        <v>103.34349060058594</v>
      </c>
      <c r="BT14" s="48">
        <f>1909.8*BS14^-0.958</f>
        <v>22.454565398149221</v>
      </c>
      <c r="BU14">
        <f>BU12+(BT14-BT12)*BP14</f>
        <v>9.8468558758068401</v>
      </c>
      <c r="BV14" s="48">
        <f t="shared" si="29"/>
        <v>12.503728299506417</v>
      </c>
      <c r="BW14" s="48">
        <f>LOG($BQ$5/BQ14)</f>
        <v>2.0927733633670416</v>
      </c>
      <c r="BX14" s="48">
        <f t="shared" ref="BX14:BX23" si="51">BQ14/$W$5</f>
        <v>2.7416798732171156E-2</v>
      </c>
      <c r="BY14" s="48">
        <f>$B$19*EXP(-BU14*$B$20)+(1-$B$19)*EXP(-BU14*$B$21)</f>
        <v>0.15478445749974026</v>
      </c>
      <c r="BZ14" s="48">
        <f>$BQ$5*$B$19*EXP(-BU14*$B$20)+$BQ$5*(1-$B$19)*EXP(-BU14*$B$21)</f>
        <v>3315.4830796444367</v>
      </c>
      <c r="CA14" s="62">
        <f t="shared" ref="CA14" si="52">(BQ14-BZ14)/BQ14*100</f>
        <v>-1816.4642078869576</v>
      </c>
      <c r="CB14" s="61">
        <f>$BQ$5*$B$19*EXP(-BV14*$B$20)+$BQ$5*(1-$B$19)*EXP(-BV14*$B$21)</f>
        <v>2011.5778146428574</v>
      </c>
      <c r="CC14" s="62">
        <f t="shared" ref="CC14" si="53">(BQ14-CB14)/BQ14*100</f>
        <v>-1062.7617425681256</v>
      </c>
      <c r="CD14" s="48">
        <f>LOG(BQ$5/BZ14)</f>
        <v>0.81027265063622844</v>
      </c>
      <c r="CE14" s="61">
        <f t="shared" ref="CE14" si="54">(BW14-CD14)/BW14*100</f>
        <v>61.282350739948789</v>
      </c>
      <c r="CF14" s="48">
        <f t="shared" ref="CF14:CF23" si="55">LOG(BQ$5/CB14)</f>
        <v>1.0272826292821418</v>
      </c>
      <c r="CG14" s="61">
        <f t="shared" ref="CG14" si="56">(BY14-CF14)/BY14*100</f>
        <v>-563.68590611487309</v>
      </c>
    </row>
    <row r="15" spans="1:85" x14ac:dyDescent="0.55000000000000004">
      <c r="A15" s="35" t="s">
        <v>23</v>
      </c>
      <c r="B15" s="40" t="s">
        <v>7</v>
      </c>
      <c r="C15" s="17" t="s">
        <v>7</v>
      </c>
      <c r="D15" s="41" t="s">
        <v>7</v>
      </c>
      <c r="E15" s="47"/>
      <c r="F15" s="48"/>
      <c r="I15" s="48"/>
      <c r="J15" s="48"/>
      <c r="K15" s="48"/>
      <c r="L15" s="48"/>
      <c r="M15" s="48"/>
      <c r="N15" s="62"/>
      <c r="O15" s="61"/>
      <c r="P15" s="62"/>
      <c r="Q15" s="48"/>
      <c r="R15" s="61"/>
      <c r="S15" s="48"/>
      <c r="T15" s="61"/>
      <c r="U15" s="39">
        <v>0.36736111111111108</v>
      </c>
      <c r="V15" s="18">
        <v>0.16</v>
      </c>
      <c r="W15" s="27">
        <v>33</v>
      </c>
      <c r="X15" s="47"/>
      <c r="Y15" s="48"/>
      <c r="AB15" s="48"/>
      <c r="AC15" s="48"/>
      <c r="AD15" s="48"/>
      <c r="AE15" s="48"/>
      <c r="AF15" s="48"/>
      <c r="AG15" s="62"/>
      <c r="AH15" s="61"/>
      <c r="AI15" s="62"/>
      <c r="AJ15" s="48"/>
      <c r="AK15" s="61"/>
      <c r="AL15" s="48"/>
      <c r="AM15" s="61"/>
      <c r="AN15" s="44"/>
      <c r="AO15" s="34"/>
      <c r="AP15" s="45"/>
      <c r="AQ15" s="47"/>
      <c r="AR15" s="48"/>
      <c r="AU15" s="48"/>
      <c r="AV15" s="48"/>
      <c r="AW15" s="48"/>
      <c r="AX15" s="48"/>
      <c r="AY15" s="48"/>
      <c r="AZ15" s="62"/>
      <c r="BA15" s="61"/>
      <c r="BB15" s="62"/>
      <c r="BC15" s="48"/>
      <c r="BD15" s="61"/>
      <c r="BE15" s="48"/>
      <c r="BF15" s="61"/>
      <c r="BG15" s="44"/>
      <c r="BH15" s="34"/>
      <c r="BI15" s="45"/>
      <c r="BJ15" s="47"/>
      <c r="BK15" s="48"/>
      <c r="BL15" t="e">
        <f ca="1">BL14+(BL16-BL14)/2</f>
        <v>#NAME?</v>
      </c>
      <c r="BN15" s="48"/>
      <c r="BO15" s="40"/>
      <c r="BP15" s="17"/>
      <c r="BQ15" s="41"/>
      <c r="BR15" s="47"/>
      <c r="BS15" s="48"/>
      <c r="BV15" s="48"/>
      <c r="BW15" s="48"/>
      <c r="BX15" s="48"/>
      <c r="BY15" s="48"/>
      <c r="BZ15" s="48"/>
      <c r="CA15" s="62"/>
      <c r="CB15" s="61"/>
      <c r="CC15" s="62"/>
      <c r="CD15" s="48"/>
      <c r="CE15" s="61"/>
      <c r="CF15" s="48"/>
      <c r="CG15" s="61"/>
    </row>
    <row r="16" spans="1:85" ht="14.7" thickBot="1" x14ac:dyDescent="0.6">
      <c r="A16" s="35" t="s">
        <v>27</v>
      </c>
      <c r="B16" s="42">
        <v>0.48333333333333334</v>
      </c>
      <c r="C16" s="43">
        <v>0.28999999999999998</v>
      </c>
      <c r="D16" s="30">
        <v>34</v>
      </c>
      <c r="E16" s="47">
        <f>C$3+B16</f>
        <v>43598.48333333333</v>
      </c>
      <c r="F16" s="48">
        <v>85.623550415039063</v>
      </c>
      <c r="G16" s="49">
        <f>2775*F16^-0.959</f>
        <v>38.896101778255826</v>
      </c>
      <c r="H16">
        <f>H14+(G16-G14)*C16</f>
        <v>19.223518620260666</v>
      </c>
      <c r="I16" s="48">
        <f t="shared" si="4"/>
        <v>17.89862466365134</v>
      </c>
      <c r="J16" s="48">
        <f t="shared" si="5"/>
        <v>2.2780807975930126</v>
      </c>
      <c r="K16" s="48">
        <f t="shared" si="6"/>
        <v>5.2713178294573641E-3</v>
      </c>
      <c r="L16" s="48">
        <f>$B$19*EXP(-H16*$B$20)+(1-$B$19)*EXP(-H16*$B$21)</f>
        <v>2.6758075017050065E-2</v>
      </c>
      <c r="M16" s="48">
        <f t="shared" ref="M16" si="57">$D$5*$B$19*EXP(-H16*$B$20)+$D$5*(1-$B$19)*EXP(-H16*$B$21)</f>
        <v>172.58958385997292</v>
      </c>
      <c r="N16" s="62">
        <f>(D16-M16)/D16*100</f>
        <v>-407.61642311756748</v>
      </c>
      <c r="O16" s="61">
        <f t="shared" si="7"/>
        <v>220.84410055126213</v>
      </c>
      <c r="P16" s="62">
        <f t="shared" si="8"/>
        <v>-549.54147220959453</v>
      </c>
      <c r="Q16" s="48">
        <f>LOG(D$5/M16)</f>
        <v>1.5725451330396243</v>
      </c>
      <c r="R16" s="61">
        <f t="shared" si="9"/>
        <v>30.970616375804017</v>
      </c>
      <c r="S16" s="48">
        <f t="shared" si="10"/>
        <v>1.4654739122736118</v>
      </c>
      <c r="T16" s="61">
        <f t="shared" ref="T16" si="58">(L16-S16)/L16*100</f>
        <v>-5376.7538821078188</v>
      </c>
      <c r="U16" s="42">
        <v>0.36249999999999999</v>
      </c>
      <c r="V16" s="43">
        <v>0.14000000000000001</v>
      </c>
      <c r="W16" s="30">
        <v>44</v>
      </c>
      <c r="X16" s="47">
        <f>V$3+U16</f>
        <v>43600.362500000003</v>
      </c>
      <c r="Y16" s="48">
        <v>58.961849212646484</v>
      </c>
      <c r="Z16" s="49">
        <f>2775*Y16^-0.959</f>
        <v>55.626957451205499</v>
      </c>
      <c r="AA16">
        <f>AA14+(Z16-Z14)*V16</f>
        <v>20.724498586206991</v>
      </c>
      <c r="AB16" s="48">
        <f t="shared" si="12"/>
        <v>20.526824184162404</v>
      </c>
      <c r="AC16" s="48">
        <f t="shared" si="13"/>
        <v>2.1565766827579469</v>
      </c>
      <c r="AD16" s="48">
        <f t="shared" si="14"/>
        <v>6.9730586370839939E-3</v>
      </c>
      <c r="AE16" s="48">
        <f>$B$19*EXP(-AA16*$B$20)+(1-$B$19)*EXP(-AA16*$B$21)</f>
        <v>2.0250071959701365E-2</v>
      </c>
      <c r="AF16" s="48">
        <f>$W$5*$B$19*EXP(-AA16*$B$20)+$W$5*(1-$B$19)*EXP(-AA16*$B$21)</f>
        <v>127.77795406571562</v>
      </c>
      <c r="AG16" s="62">
        <f t="shared" ref="AG16" si="59">(W16-AF16)/W16*100</f>
        <v>-190.40444105844458</v>
      </c>
      <c r="AH16" s="61">
        <f>$W$5*$B$19*EXP(-AB16*$B$20)+$W$5*(1-$B$19)*EXP(-AB16*$B$21)</f>
        <v>132.54949657876915</v>
      </c>
      <c r="AI16" s="62">
        <f t="shared" ref="AI16" si="60">(W16-AH16)/W16*100</f>
        <v>-201.24885586083897</v>
      </c>
      <c r="AJ16" s="48">
        <f>LOG(W$5/AF16)</f>
        <v>1.6935734291581672</v>
      </c>
      <c r="AK16" s="61">
        <f t="shared" ref="AK16" si="61">(AC16-AJ16)/AC16*100</f>
        <v>21.469361943006177</v>
      </c>
      <c r="AL16" s="48">
        <f t="shared" ref="AL16:AL25" si="62">LOG(W$5/AH16)</f>
        <v>1.6776512766165748</v>
      </c>
      <c r="AM16" s="61">
        <f t="shared" ref="AM16" si="63">(AE16-AL16)/AE16*100</f>
        <v>-8184.6682221929032</v>
      </c>
      <c r="AN16" s="42">
        <v>0.44722222222222219</v>
      </c>
      <c r="AO16" s="43">
        <v>0.28000000000000003</v>
      </c>
      <c r="AP16" s="30">
        <v>48</v>
      </c>
      <c r="AQ16" s="47">
        <f>AO$3+AN16</f>
        <v>43607.447222222225</v>
      </c>
      <c r="AR16" s="48">
        <v>105.26761627197266</v>
      </c>
      <c r="AS16" s="49">
        <f>2775*AR16^-0.959</f>
        <v>31.906729106242359</v>
      </c>
      <c r="AT16">
        <f>AT14+(AS16-AS14)*AO16</f>
        <v>16.2592794901555</v>
      </c>
      <c r="AU16" s="48">
        <f t="shared" si="20"/>
        <v>15.945863412859953</v>
      </c>
      <c r="AV16" s="48">
        <f t="shared" si="21"/>
        <v>2.310162065204453</v>
      </c>
      <c r="AW16" s="48">
        <f t="shared" si="22"/>
        <v>4.8959608323133411E-3</v>
      </c>
      <c r="AX16" s="48">
        <f>$B$19*EXP(-AT16*$B$20)+(1-$B$19)*EXP(-AT16*$B$21)</f>
        <v>4.6485033420859169E-2</v>
      </c>
      <c r="AY16" s="48">
        <f>$AP$5*$B$19*EXP(-AT16*$B$20)+$AP$5*(1-$B$19)*EXP(-AT16*$B$21)</f>
        <v>455.73926765810324</v>
      </c>
      <c r="AZ16" s="62">
        <f t="shared" ref="AZ16" si="64">(AP16-AY16)/AP16*100</f>
        <v>-849.45680762104848</v>
      </c>
      <c r="BA16" s="61">
        <f>$AP$5*$B$19*EXP(-AU16*$B$20)+$AP$5*(1-$B$19)*EXP(-AU16*$B$21)</f>
        <v>483.21510089493199</v>
      </c>
      <c r="BB16" s="62">
        <f t="shared" ref="BB16" si="65">(AP16-BA16)/AP16*100</f>
        <v>-906.69812686444175</v>
      </c>
      <c r="BC16" s="48">
        <f>LOG(AP$5/AY16)</f>
        <v>1.3326868524647539</v>
      </c>
      <c r="BD16" s="61">
        <f t="shared" ref="BD16" si="66">(AV16-BC16)/AV16*100</f>
        <v>42.311975746740131</v>
      </c>
      <c r="BE16" s="48">
        <f t="shared" ref="BE16:BE25" si="67">LOG(AP$5/BA16)</f>
        <v>1.3072628046721297</v>
      </c>
      <c r="BF16" s="61">
        <f t="shared" ref="BF16" si="68">(AX16-BE16)/AX16*100</f>
        <v>-2712.2230069980405</v>
      </c>
      <c r="BG16" s="42">
        <v>0.60416666666666663</v>
      </c>
      <c r="BH16" s="43">
        <v>0.42</v>
      </c>
      <c r="BI16" s="30">
        <v>45</v>
      </c>
      <c r="BJ16" s="47">
        <f>BH$3+BG16</f>
        <v>43613.604166666664</v>
      </c>
      <c r="BK16" s="48" t="e">
        <f ca="1">_xll.PITimeDat("DIS North Flow",'Plot data'!BJ16,"\\APPLEPI_AF\MWRD_Production\Hite Treatment Plant\07-Disinfection\Dis_PAA\North_PAA\North_PAA_Dose_Cntrl\CT Dosing Method","interpolated")</f>
        <v>#NAME?</v>
      </c>
      <c r="BL16" s="49" t="e">
        <f ca="1">2775*BK16^-0.959</f>
        <v>#NAME?</v>
      </c>
      <c r="BM16" t="e">
        <f ca="1">BM14+(BL16-BL14)*BH16</f>
        <v>#NAME?</v>
      </c>
      <c r="BN16" s="48">
        <f t="shared" si="28"/>
        <v>2.3806131801779666</v>
      </c>
      <c r="BO16" s="42">
        <v>0.62708333333333333</v>
      </c>
      <c r="BP16" s="43">
        <v>0.22</v>
      </c>
      <c r="BQ16" s="30">
        <v>51</v>
      </c>
      <c r="BR16" s="47">
        <f>BP$3+BO16</f>
        <v>43614.627083333333</v>
      </c>
      <c r="BS16" s="48">
        <v>101.23517608642578</v>
      </c>
      <c r="BT16" s="49">
        <f>2775*BS16^-0.959</f>
        <v>33.124561208133208</v>
      </c>
      <c r="BU16">
        <f>BU14+(BT16-BT14)*BP16</f>
        <v>12.194254954003316</v>
      </c>
      <c r="BV16" s="48">
        <f t="shared" si="29"/>
        <v>16.322354391846602</v>
      </c>
      <c r="BW16" s="48">
        <f>LOG($BQ$5/BQ16)</f>
        <v>2.6232492903979003</v>
      </c>
      <c r="BX16" s="48">
        <f>BQ16/$BQ$5</f>
        <v>2.3809523809523812E-3</v>
      </c>
      <c r="BY16" s="48">
        <f>$B$19*EXP(-BU16*$B$20)+(1-$B$19)*EXP(-BU16*$B$21)</f>
        <v>9.9530349449755889E-2</v>
      </c>
      <c r="BZ16" s="48">
        <f>$BQ$5*$B$19*EXP(-BU16*$B$20)+$BQ$5*(1-$B$19)*EXP(-BU16*$B$21)</f>
        <v>2131.940085213771</v>
      </c>
      <c r="CA16" s="62">
        <f t="shared" ref="CA16" si="69">(BQ16-BZ16)/BQ16*100</f>
        <v>-4080.2746768897473</v>
      </c>
      <c r="CB16" s="61">
        <f>$BQ$5*$B$19*EXP(-BV16*$B$20)+$BQ$5*(1-$B$19)*EXP(-BV16*$B$21)</f>
        <v>984.05067306244018</v>
      </c>
      <c r="CC16" s="62">
        <f t="shared" ref="CC16" si="70">(BQ16-CB16)/BQ16*100</f>
        <v>-1829.5111236518433</v>
      </c>
      <c r="CD16" s="48">
        <f>LOG(BQ$5/BZ16)</f>
        <v>1.0020444711256713</v>
      </c>
      <c r="CE16" s="61">
        <f t="shared" ref="CE16" si="71">(BW16-CD16)/BW16*100</f>
        <v>61.801401231917275</v>
      </c>
      <c r="CF16" s="48">
        <f t="shared" ref="CF16:CF25" si="72">LOG(BQ$5/CB16)</f>
        <v>1.3378020037710296</v>
      </c>
      <c r="CG16" s="61">
        <f t="shared" ref="CG16" si="73">(BY16-CF16)/BY16*100</f>
        <v>-1244.1146456000017</v>
      </c>
    </row>
    <row r="17" spans="1:77" x14ac:dyDescent="0.55000000000000004">
      <c r="A17" s="63"/>
      <c r="B17" s="64"/>
      <c r="C17" s="65"/>
      <c r="D17" s="65"/>
      <c r="J17" t="s">
        <v>43</v>
      </c>
      <c r="K17">
        <f>SUM(K6:K16)</f>
        <v>2.5362790697674424</v>
      </c>
      <c r="L17">
        <f>SUM(L6:L16)</f>
        <v>2.5362788856263729</v>
      </c>
      <c r="AC17" t="s">
        <v>43</v>
      </c>
      <c r="AD17">
        <f>SUM(AD6:AD16)</f>
        <v>2.7169572107765445</v>
      </c>
      <c r="AE17">
        <f>SUM(AE6:AE16)</f>
        <v>2.0844999802915929</v>
      </c>
      <c r="AW17">
        <f>SUM(AW6:AW16)</f>
        <v>2.9543043655650751</v>
      </c>
      <c r="AX17">
        <f>SUM(AX6:AX16)</f>
        <v>3.0522143330238687</v>
      </c>
      <c r="BX17">
        <f>SUM(BX6:BX16)</f>
        <v>1.7474448099366531</v>
      </c>
      <c r="BY17">
        <f>SUM(BY6:BY16)</f>
        <v>2.4783407085609621</v>
      </c>
    </row>
    <row r="18" spans="1:77" x14ac:dyDescent="0.55000000000000004">
      <c r="A18" s="66" t="s">
        <v>49</v>
      </c>
      <c r="J18" t="s">
        <v>44</v>
      </c>
      <c r="K18">
        <f>ABS(K17-L17)</f>
        <v>1.841410695035961E-7</v>
      </c>
      <c r="AC18" t="s">
        <v>44</v>
      </c>
      <c r="AD18">
        <f>ABS(AD17-AE17)</f>
        <v>0.63245723048495162</v>
      </c>
      <c r="AW18">
        <f>ABS(AW17-AX17)</f>
        <v>9.7909967458793545E-2</v>
      </c>
      <c r="BX18">
        <f>ABS(BX17-BY17)</f>
        <v>0.73089589862430904</v>
      </c>
    </row>
    <row r="19" spans="1:77" x14ac:dyDescent="0.55000000000000004">
      <c r="A19" s="54" t="s">
        <v>40</v>
      </c>
      <c r="B19">
        <v>0.12949239525535186</v>
      </c>
    </row>
    <row r="20" spans="1:77" x14ac:dyDescent="0.55000000000000004">
      <c r="A20" s="54" t="s">
        <v>41</v>
      </c>
      <c r="B20">
        <v>0.15553427168116246</v>
      </c>
    </row>
    <row r="21" spans="1:77" x14ac:dyDescent="0.55000000000000004">
      <c r="A21" s="54" t="s">
        <v>42</v>
      </c>
      <c r="B21">
        <v>0.19565277192856079</v>
      </c>
    </row>
    <row r="22" spans="1:77" x14ac:dyDescent="0.55000000000000004">
      <c r="A22" s="54" t="s">
        <v>45</v>
      </c>
      <c r="B22">
        <f>K18+AD18+AW18+BX18</f>
        <v>1.4612632807091237</v>
      </c>
    </row>
    <row r="24" spans="1:77" x14ac:dyDescent="0.55000000000000004">
      <c r="A24" s="54" t="s">
        <v>50</v>
      </c>
    </row>
    <row r="25" spans="1:77" x14ac:dyDescent="0.55000000000000004">
      <c r="A25" s="54" t="s">
        <v>52</v>
      </c>
      <c r="B25">
        <f>INTERCEPT($H$6:$H$16,$G$6:$G$16)</f>
        <v>2.1767022935054401</v>
      </c>
      <c r="C25">
        <f>INTERCEPT($AA$6:$AA$16,$Z$6:$Z$16)</f>
        <v>3.3288123795044156</v>
      </c>
      <c r="D25">
        <f>INTERCEPT($AT$6:$AT$16,$AS$6:$AS$16)</f>
        <v>1.6914633316874141</v>
      </c>
      <c r="E25">
        <f>INTERCEPT($BU$6:$BU$16,$BT$6:$BT$16)</f>
        <v>1.2043284294019783</v>
      </c>
    </row>
    <row r="26" spans="1:77" x14ac:dyDescent="0.55000000000000004">
      <c r="A26" s="54" t="s">
        <v>51</v>
      </c>
      <c r="B26">
        <f>SLOPE($H$6:$H$16,$G$6:$G$16)</f>
        <v>0.46938773322391486</v>
      </c>
      <c r="C26">
        <f>SLOPE($AA$6:$AA$16,$Z$6:$Z$16)</f>
        <v>0.34820799857360396</v>
      </c>
      <c r="D26">
        <f>SLOPE($AT$6:$AT$16,$AS$6:$AS$16)</f>
        <v>0.49255804517788576</v>
      </c>
      <c r="E26">
        <f>SLOPE($BU$6:$BU$16,$BT$6:$BT$16)</f>
        <v>0.35395793676280446</v>
      </c>
    </row>
    <row r="27" spans="1:77" x14ac:dyDescent="0.55000000000000004">
      <c r="A27" s="54"/>
      <c r="K27" t="s">
        <v>60</v>
      </c>
      <c r="M27" t="s">
        <v>60</v>
      </c>
    </row>
    <row r="28" spans="1:77" x14ac:dyDescent="0.55000000000000004">
      <c r="A28" s="69" t="s">
        <v>56</v>
      </c>
      <c r="G28" t="s">
        <v>35</v>
      </c>
      <c r="H28" t="s">
        <v>57</v>
      </c>
      <c r="I28" t="s">
        <v>58</v>
      </c>
      <c r="J28" t="s">
        <v>47</v>
      </c>
      <c r="K28" t="s">
        <v>37</v>
      </c>
      <c r="L28" t="s">
        <v>47</v>
      </c>
      <c r="M28" t="s">
        <v>37</v>
      </c>
      <c r="N28" t="s">
        <v>47</v>
      </c>
    </row>
    <row r="29" spans="1:77" x14ac:dyDescent="0.55000000000000004">
      <c r="A29" s="67"/>
      <c r="B29" s="67" t="s">
        <v>53</v>
      </c>
      <c r="C29" s="67" t="s">
        <v>52</v>
      </c>
      <c r="D29" s="67" t="s">
        <v>54</v>
      </c>
      <c r="G29">
        <f>G6</f>
        <v>1.9603354076558346</v>
      </c>
      <c r="H29">
        <f>H6</f>
        <v>1.8623186372730427</v>
      </c>
      <c r="I29">
        <f>$B$34*G29^2+$C$34*G29+$D$34</f>
        <v>1.8760491640525605</v>
      </c>
      <c r="J29" s="70">
        <f>(H29-I29)/H29*100</f>
        <v>-0.73728128499122736</v>
      </c>
      <c r="K29">
        <f>Q6</f>
        <v>0.15390202611361059</v>
      </c>
      <c r="L29" s="70">
        <f>R6</f>
        <v>-26.117410406472352</v>
      </c>
      <c r="M29">
        <f>S6</f>
        <v>0.15503566407410407</v>
      </c>
      <c r="N29" s="70">
        <f>T6</f>
        <v>77.902983500896326</v>
      </c>
    </row>
    <row r="30" spans="1:77" x14ac:dyDescent="0.55000000000000004">
      <c r="A30" s="54">
        <v>1</v>
      </c>
      <c r="B30">
        <f t="array" ref="B30:D30">LINEST(H29:H37,G29:G37^{1,2},TRUE,FALSE)</f>
        <v>-7.2482775799092769E-3</v>
      </c>
      <c r="C30">
        <v>0.76780999063161015</v>
      </c>
      <c r="D30">
        <v>0.33616770919599714</v>
      </c>
      <c r="G30">
        <f t="shared" ref="G30:H30" si="74">G7</f>
        <v>5.1477695187377694</v>
      </c>
      <c r="H30">
        <f t="shared" si="74"/>
        <v>4.0616481739195773</v>
      </c>
      <c r="I30">
        <f>$B$34*G30^2+$C$34*G30+$D$34</f>
        <v>3.8133854132654244</v>
      </c>
      <c r="J30" s="70">
        <f>(H30-I30)/H30*100</f>
        <v>6.1123649814940544</v>
      </c>
      <c r="K30">
        <f>Q7</f>
        <v>0.33528164092351936</v>
      </c>
      <c r="L30" s="70">
        <f>R7</f>
        <v>-3.0811564525593105</v>
      </c>
      <c r="M30">
        <f>S7</f>
        <v>0.31482828418534492</v>
      </c>
      <c r="N30" s="70">
        <f>T7</f>
        <v>31.867333940297915</v>
      </c>
    </row>
    <row r="31" spans="1:77" x14ac:dyDescent="0.55000000000000004">
      <c r="A31" s="54">
        <v>2</v>
      </c>
      <c r="B31">
        <f t="array" ref="B31:D31">LINEST(H38:H46,G38:G46^{1,2},TRUE,FALSE)</f>
        <v>-5.7988458127781924E-3</v>
      </c>
      <c r="C31">
        <v>0.6874767169640732</v>
      </c>
      <c r="D31">
        <v>0.40819427193704749</v>
      </c>
      <c r="G31">
        <f t="shared" ref="G31:H31" si="75">G8</f>
        <v>6.7414865742787367</v>
      </c>
      <c r="H31">
        <f t="shared" si="75"/>
        <v>5.1613129422428443</v>
      </c>
      <c r="I31">
        <f>$B$34*G31^2+$C$34*G31+$D$34</f>
        <v>4.7427653281614326</v>
      </c>
      <c r="J31" s="70">
        <f>(H31-I31)/H31*100</f>
        <v>8.1093244832298854</v>
      </c>
      <c r="K31">
        <f>Q8</f>
        <v>0.42581232485505704</v>
      </c>
      <c r="L31" s="70">
        <f>R8</f>
        <v>-1.5966436298065299E-2</v>
      </c>
      <c r="M31">
        <f>S8</f>
        <v>0.39136794030460548</v>
      </c>
      <c r="N31" s="70">
        <f>T8</f>
        <v>-4.3272047704390548</v>
      </c>
    </row>
    <row r="32" spans="1:77" x14ac:dyDescent="0.55000000000000004">
      <c r="A32" s="54">
        <v>3</v>
      </c>
      <c r="B32">
        <f t="array" ref="B32:D32">LINEST(H47:H55,G47:G55^{1,2},TRUE,FALSE)</f>
        <v>-1.0513407365862749E-2</v>
      </c>
      <c r="C32">
        <v>0.84812680610406843</v>
      </c>
      <c r="D32">
        <v>-9.9268022950929957E-2</v>
      </c>
      <c r="G32">
        <f t="shared" ref="G32:H32" si="76">G9</f>
        <v>8.3352036298197039</v>
      </c>
      <c r="H32">
        <f t="shared" si="76"/>
        <v>6.2291033694552924</v>
      </c>
      <c r="I32">
        <f>$B$34*G32^2+$C$34*G32+$D$34</f>
        <v>5.6459531032504895</v>
      </c>
      <c r="J32" s="70">
        <f>(H32-I32)/H32*100</f>
        <v>9.3617047529554291</v>
      </c>
      <c r="K32">
        <f>Q9</f>
        <v>0.51361319763327395</v>
      </c>
      <c r="L32" s="70">
        <f>R9</f>
        <v>-20.638876183809398</v>
      </c>
      <c r="M32">
        <f>S9</f>
        <v>0.4656757819919381</v>
      </c>
      <c r="N32" s="70">
        <f>T9</f>
        <v>-51.948651489489869</v>
      </c>
    </row>
    <row r="33" spans="1:65" x14ac:dyDescent="0.55000000000000004">
      <c r="A33" s="54">
        <v>4</v>
      </c>
      <c r="B33">
        <f t="array" ref="B33:D33">LINEST(H56:H62,G56:G62^{1,2},TRUE,FALSE)</f>
        <v>-6.0420453870277903E-3</v>
      </c>
      <c r="C33">
        <v>0.56523575313878105</v>
      </c>
      <c r="D33">
        <v>0.12111950946539185</v>
      </c>
      <c r="G33">
        <f t="shared" ref="G33:H33" si="77">G10</f>
        <v>9.9289206853606728</v>
      </c>
      <c r="H33">
        <f t="shared" si="77"/>
        <v>7.2331451144461028</v>
      </c>
      <c r="I33">
        <f>$B$34*G33^2+$C$34*G33+$D$34</f>
        <v>6.5229487385325982</v>
      </c>
      <c r="J33" s="70">
        <f>(H33-I33)/H33*100</f>
        <v>9.818638568374551</v>
      </c>
      <c r="K33">
        <f>Q10</f>
        <v>0.59607439103751392</v>
      </c>
      <c r="L33" s="70">
        <f>R10</f>
        <v>-16.715614488302151</v>
      </c>
      <c r="M33">
        <f>S10</f>
        <v>0.53775643335103351</v>
      </c>
      <c r="N33" s="70">
        <f>T10</f>
        <v>-112.15828971384694</v>
      </c>
    </row>
    <row r="34" spans="1:65" x14ac:dyDescent="0.55000000000000004">
      <c r="A34" s="1" t="s">
        <v>55</v>
      </c>
      <c r="B34">
        <f t="array" ref="B34:D34">LINEST(H29:H62,G29:G62^{1,2},TRUE,FALSE)</f>
        <v>-5.1560669015704597E-3</v>
      </c>
      <c r="C34">
        <v>0.64445419294620776</v>
      </c>
      <c r="D34">
        <v>0.63251711738347227</v>
      </c>
      <c r="G34">
        <f t="shared" ref="G34:H34" si="78">G11</f>
        <v>11.52263774090164</v>
      </c>
      <c r="H34">
        <f t="shared" si="78"/>
        <v>8.2212496888815032</v>
      </c>
      <c r="I34">
        <f>$B$34*G34^2+$C$34*G34+$D$34</f>
        <v>7.373752234007755</v>
      </c>
      <c r="J34" s="70">
        <f>(H34-I34)/H34*100</f>
        <v>10.308620793015347</v>
      </c>
      <c r="K34">
        <f>Q11</f>
        <v>0.67713150831504609</v>
      </c>
      <c r="L34" s="70">
        <f>R11</f>
        <v>26.643456118146947</v>
      </c>
      <c r="M34">
        <f>S11</f>
        <v>0.60761462575689051</v>
      </c>
      <c r="N34" s="70">
        <f>T11</f>
        <v>-188.90810617568641</v>
      </c>
    </row>
    <row r="35" spans="1:65" x14ac:dyDescent="0.55000000000000004">
      <c r="G35">
        <f t="shared" ref="G35:H35" si="79">G12</f>
        <v>14.710071851983574</v>
      </c>
      <c r="H35">
        <f t="shared" si="79"/>
        <v>10.069961473309025</v>
      </c>
      <c r="I35">
        <f>$B$34*G35^2+$C$34*G35+$D$34</f>
        <v>8.9967828055372205</v>
      </c>
      <c r="J35" s="70">
        <f>(H35-I35)/H35*100</f>
        <v>10.6572271464625</v>
      </c>
      <c r="K35">
        <f>Q12</f>
        <v>0.82852444451101981</v>
      </c>
      <c r="L35" s="70">
        <f>R12</f>
        <v>10.242413734079596</v>
      </c>
      <c r="M35">
        <f>S12</f>
        <v>0.74068299565764961</v>
      </c>
      <c r="N35" s="70">
        <f>T12</f>
        <v>-399.06466161393985</v>
      </c>
    </row>
    <row r="36" spans="1:65" x14ac:dyDescent="0.55000000000000004">
      <c r="G36">
        <f t="shared" ref="G36:H36" si="80">G14</f>
        <v>26.596785564942959</v>
      </c>
      <c r="H36">
        <f t="shared" si="80"/>
        <v>15.656716918399935</v>
      </c>
      <c r="I36">
        <f>$B$34*G36^2+$C$34*G36+$D$34</f>
        <v>14.1255820718567</v>
      </c>
      <c r="J36" s="70">
        <f>(H36-I36)/H36*100</f>
        <v>9.7794119579682111</v>
      </c>
      <c r="K36">
        <f>Q14</f>
        <v>1.2837970342912111</v>
      </c>
      <c r="L36" s="70">
        <f>R14</f>
        <v>43.33252021492919</v>
      </c>
      <c r="M36">
        <f>S14</f>
        <v>1.1593728229449609</v>
      </c>
      <c r="N36" s="70">
        <f>T14</f>
        <v>-2128.5385449573073</v>
      </c>
    </row>
    <row r="37" spans="1:65" x14ac:dyDescent="0.55000000000000004">
      <c r="G37">
        <f t="shared" ref="G37:H37" si="81">G16</f>
        <v>38.896101778255826</v>
      </c>
      <c r="H37">
        <f t="shared" si="81"/>
        <v>19.223518620260666</v>
      </c>
      <c r="I37">
        <f>$B$34*G37^2+$C$34*G37+$D$34</f>
        <v>17.89862466365134</v>
      </c>
      <c r="J37" s="70">
        <f>(H37-I37)/H37*100</f>
        <v>6.8920470949212786</v>
      </c>
      <c r="K37">
        <f>Q16</f>
        <v>1.5725451330396243</v>
      </c>
      <c r="L37" s="70">
        <f>R16</f>
        <v>30.970616375804017</v>
      </c>
      <c r="M37">
        <f>S16</f>
        <v>1.4654739122736118</v>
      </c>
      <c r="N37" s="70">
        <f>T16</f>
        <v>-5376.7538821078188</v>
      </c>
    </row>
    <row r="38" spans="1:65" x14ac:dyDescent="0.55000000000000004">
      <c r="G38" s="68">
        <f>Z6</f>
        <v>2.3508735292497764</v>
      </c>
      <c r="H38" s="68">
        <f>AA6</f>
        <v>1.9277162939848165</v>
      </c>
      <c r="I38">
        <f>$B$34*G38^2+$C$34*G38+$D$34</f>
        <v>2.119051868312777</v>
      </c>
      <c r="J38" s="70">
        <f>(H38-I38)/H38*100</f>
        <v>-9.9255048538520878</v>
      </c>
      <c r="K38" s="68">
        <f>AJ6</f>
        <v>0.15930133345973621</v>
      </c>
      <c r="L38" s="71">
        <f>AK6</f>
        <v>-41.600684308658238</v>
      </c>
      <c r="M38" s="68">
        <f>AL6</f>
        <v>0.1750961727063805</v>
      </c>
      <c r="N38" s="71">
        <f>AM6</f>
        <v>74.731585829278103</v>
      </c>
      <c r="S38" s="65"/>
      <c r="AL38" s="65"/>
      <c r="BM38" s="65"/>
    </row>
    <row r="39" spans="1:65" x14ac:dyDescent="0.55000000000000004">
      <c r="G39" s="65">
        <f t="shared" ref="G39:H39" si="82">Z7</f>
        <v>7.059255490997538</v>
      </c>
      <c r="H39" s="65">
        <f t="shared" si="82"/>
        <v>4.9410807495033842</v>
      </c>
      <c r="I39">
        <f>$B$34*G39^2+$C$34*G39+$D$34</f>
        <v>4.9249411815460284</v>
      </c>
      <c r="J39" s="70">
        <f>(H39-I39)/H39*100</f>
        <v>0.32664044114190732</v>
      </c>
      <c r="K39" s="65">
        <f>AJ7</f>
        <v>0.40769029608821511</v>
      </c>
      <c r="L39" s="72">
        <f>AK7</f>
        <v>-66.448422962645964</v>
      </c>
      <c r="M39" s="65">
        <f>AL7</f>
        <v>0.40636206181467871</v>
      </c>
      <c r="N39" s="72">
        <f>AM7</f>
        <v>-3.897106145247319</v>
      </c>
      <c r="S39" s="65"/>
      <c r="AL39" s="65"/>
      <c r="BM39" s="65"/>
    </row>
    <row r="40" spans="1:65" x14ac:dyDescent="0.55000000000000004">
      <c r="G40" s="65">
        <f t="shared" ref="G40:H40" si="83">Z8</f>
        <v>9.4134464718714188</v>
      </c>
      <c r="H40" s="65">
        <f t="shared" si="83"/>
        <v>6.4242210674539288</v>
      </c>
      <c r="I40">
        <f>$B$34*G40^2+$C$34*G40+$D$34</f>
        <v>6.2421577414959053</v>
      </c>
      <c r="J40" s="70">
        <f>(H40-I40)/H40*100</f>
        <v>2.8340140235893152</v>
      </c>
      <c r="K40" s="65">
        <f>AJ8</f>
        <v>0.52964557597511985</v>
      </c>
      <c r="L40" s="72">
        <f>AK8</f>
        <v>-240.40938079850753</v>
      </c>
      <c r="M40" s="65">
        <f>AL8</f>
        <v>0.51468595780664816</v>
      </c>
      <c r="N40" s="72">
        <f>AM8</f>
        <v>-74.25606211918516</v>
      </c>
      <c r="S40" s="65"/>
      <c r="AL40" s="65"/>
      <c r="BM40" s="65"/>
    </row>
    <row r="41" spans="1:65" x14ac:dyDescent="0.55000000000000004">
      <c r="G41" s="65">
        <f t="shared" ref="G41:H41" si="84">Z9</f>
        <v>11.7676374527453</v>
      </c>
      <c r="H41" s="65">
        <f t="shared" si="84"/>
        <v>7.7661099265520406</v>
      </c>
      <c r="I41">
        <f>$B$34*G41^2+$C$34*G41+$D$34</f>
        <v>7.5022222370012841</v>
      </c>
      <c r="J41" s="70">
        <f>(H41-I41)/H41*100</f>
        <v>3.3979391490266484</v>
      </c>
      <c r="K41" s="65">
        <f>AJ9</f>
        <v>0.63980694723419373</v>
      </c>
      <c r="L41" s="72">
        <f>AK9</f>
        <v>-66.159449145712173</v>
      </c>
      <c r="M41" s="65">
        <f>AL9</f>
        <v>0.61815703720631454</v>
      </c>
      <c r="N41" s="72">
        <f>AM9</f>
        <v>-169.71541289080378</v>
      </c>
      <c r="S41" s="65"/>
      <c r="AL41" s="65"/>
      <c r="BM41" s="65"/>
    </row>
    <row r="42" spans="1:65" x14ac:dyDescent="0.55000000000000004">
      <c r="G42" s="65">
        <f t="shared" ref="G42:H42" si="85">Z10</f>
        <v>14.121828433619182</v>
      </c>
      <c r="H42" s="65">
        <f t="shared" si="85"/>
        <v>9.0138311464151979</v>
      </c>
      <c r="I42">
        <f>$B$34*G42^2+$C$34*G42+$D$34</f>
        <v>8.7051346680621648</v>
      </c>
      <c r="J42" s="70">
        <f>(H42-I42)/H42*100</f>
        <v>3.42469781537678</v>
      </c>
      <c r="K42" s="65">
        <f>AJ10</f>
        <v>0.74207935130741021</v>
      </c>
      <c r="L42" s="72">
        <f>AK10</f>
        <v>13.962958232497463</v>
      </c>
      <c r="M42" s="65">
        <f>AL10</f>
        <v>0.71679081186919003</v>
      </c>
      <c r="N42" s="72">
        <f>AM10</f>
        <v>-295.79634650277063</v>
      </c>
      <c r="S42" s="65"/>
      <c r="AL42" s="65"/>
      <c r="BM42" s="65"/>
    </row>
    <row r="43" spans="1:65" x14ac:dyDescent="0.55000000000000004">
      <c r="G43" s="65">
        <f t="shared" ref="G43:H43" si="86">Z11</f>
        <v>16.476019414493063</v>
      </c>
      <c r="H43" s="65">
        <f t="shared" si="86"/>
        <v>10.1673847270434</v>
      </c>
      <c r="I43">
        <f>$B$34*G43^2+$C$34*G43+$D$34</f>
        <v>9.850895034678544</v>
      </c>
      <c r="J43" s="70">
        <f>(H43-I43)/H43*100</f>
        <v>3.1127935143739642</v>
      </c>
      <c r="K43" s="65">
        <f>AJ11</f>
        <v>0.83649280895975964</v>
      </c>
      <c r="L43" s="72">
        <f>AK11</f>
        <v>17.389046653715262</v>
      </c>
      <c r="M43" s="65">
        <f>AL11</f>
        <v>0.81060313153066887</v>
      </c>
      <c r="N43" s="72">
        <f>AM11</f>
        <v>-456.2897862280044</v>
      </c>
      <c r="S43" s="65"/>
      <c r="AL43" s="65"/>
      <c r="BM43" s="65"/>
    </row>
    <row r="44" spans="1:65" x14ac:dyDescent="0.55000000000000004">
      <c r="G44" s="65">
        <f t="shared" ref="G44:H44" si="87">Z12</f>
        <v>21.184401376240825</v>
      </c>
      <c r="H44" s="65">
        <f t="shared" si="87"/>
        <v>12.286156609829893</v>
      </c>
      <c r="I44">
        <f>$B$34*G44^2+$C$34*G44+$D$34</f>
        <v>11.970959574577812</v>
      </c>
      <c r="J44" s="70">
        <f>(H44-I44)/H44*100</f>
        <v>2.5654648989245277</v>
      </c>
      <c r="K44" s="65">
        <f>AJ12</f>
        <v>1.0095403330131907</v>
      </c>
      <c r="L44" s="72">
        <f>AK12</f>
        <v>46.17937925490881</v>
      </c>
      <c r="M44" s="65">
        <f>AL12</f>
        <v>0.98382775742242912</v>
      </c>
      <c r="N44" s="72">
        <f>AM12</f>
        <v>-905.67905308464049</v>
      </c>
      <c r="S44" s="65"/>
      <c r="AL44" s="65"/>
      <c r="BM44" s="65"/>
    </row>
    <row r="45" spans="1:65" x14ac:dyDescent="0.55000000000000004">
      <c r="G45" s="65">
        <f t="shared" ref="G45:H45" si="88">Z14</f>
        <v>39.266322005651048</v>
      </c>
      <c r="H45" s="65">
        <f t="shared" si="88"/>
        <v>18.434009623829368</v>
      </c>
      <c r="I45">
        <f>$B$34*G45^2+$C$34*G45+$D$34</f>
        <v>17.988011933615091</v>
      </c>
      <c r="J45" s="70">
        <f>(H45-I45)/H45*100</f>
        <v>2.4194285416762642</v>
      </c>
      <c r="K45" s="65">
        <f>AJ14</f>
        <v>1.5087678215708522</v>
      </c>
      <c r="L45" s="72">
        <f>AK14</f>
        <v>23.566233246375631</v>
      </c>
      <c r="M45" s="65">
        <f>AL14</f>
        <v>1.4727047211229953</v>
      </c>
      <c r="N45" s="72">
        <f>AM14</f>
        <v>-4652.0773450784336</v>
      </c>
      <c r="S45" s="65"/>
      <c r="AL45" s="65"/>
      <c r="BM45" s="65"/>
    </row>
    <row r="46" spans="1:65" x14ac:dyDescent="0.55000000000000004">
      <c r="G46" s="65">
        <f t="shared" ref="G46:H46" si="89">Z16</f>
        <v>55.626957451205499</v>
      </c>
      <c r="H46" s="65">
        <f t="shared" si="89"/>
        <v>20.724498586206991</v>
      </c>
      <c r="I46">
        <f>$B$34*G46^2+$C$34*G46+$D$34</f>
        <v>20.526824184162404</v>
      </c>
      <c r="J46" s="70">
        <f>(H46-I46)/H46*100</f>
        <v>0.9538199499608041</v>
      </c>
      <c r="K46" s="65">
        <f>AJ16</f>
        <v>1.6935734291581672</v>
      </c>
      <c r="L46" s="72">
        <f>AK16</f>
        <v>21.469361943006177</v>
      </c>
      <c r="M46" s="65">
        <f>AL16</f>
        <v>1.6776512766165748</v>
      </c>
      <c r="N46" s="72">
        <f>AM16</f>
        <v>-8184.6682221929032</v>
      </c>
      <c r="S46" s="65"/>
      <c r="AL46" s="65"/>
      <c r="BM46" s="65"/>
    </row>
    <row r="47" spans="1:65" x14ac:dyDescent="0.55000000000000004">
      <c r="G47" s="68">
        <f>AS6</f>
        <v>1.6597240711682213</v>
      </c>
      <c r="H47" s="68">
        <f>AT6</f>
        <v>1.2779875347995304</v>
      </c>
      <c r="I47">
        <f>$B$34*G47^2+$C$34*G47+$D$34</f>
        <v>1.6879299192240045</v>
      </c>
      <c r="J47" s="70">
        <f>(H47-I47)/H47*100</f>
        <v>-32.077181761305603</v>
      </c>
      <c r="K47" s="68">
        <f>BC6</f>
        <v>0.10564324460863503</v>
      </c>
      <c r="L47" s="71">
        <f>BD6</f>
        <v>31.682745109368014</v>
      </c>
      <c r="M47" s="68">
        <f>BE6</f>
        <v>0.13950255048983115</v>
      </c>
      <c r="N47" s="71">
        <f>BF6</f>
        <v>82.207974498269323</v>
      </c>
      <c r="S47" s="65"/>
      <c r="AL47" s="65"/>
      <c r="BM47" s="65"/>
    </row>
    <row r="48" spans="1:65" x14ac:dyDescent="0.55000000000000004">
      <c r="G48">
        <f t="shared" ref="G48:H48" si="90">AS7</f>
        <v>4.2147460381320538</v>
      </c>
      <c r="H48">
        <f t="shared" si="90"/>
        <v>3.2709046690313199</v>
      </c>
      <c r="I48">
        <f>$B$34*G48^2+$C$34*G48+$D$34</f>
        <v>3.2571350674563257</v>
      </c>
      <c r="J48" s="70">
        <f>(H48-I48)/H48*100</f>
        <v>0.42097226817289235</v>
      </c>
      <c r="K48">
        <f>BC7</f>
        <v>0.27011668278166362</v>
      </c>
      <c r="L48" s="70">
        <f>BD7</f>
        <v>23.417736669439741</v>
      </c>
      <c r="M48">
        <f>BE7</f>
        <v>0.26898145005596785</v>
      </c>
      <c r="N48" s="70">
        <f>BF7</f>
        <v>49.899851484266115</v>
      </c>
    </row>
    <row r="49" spans="7:14" x14ac:dyDescent="0.55000000000000004">
      <c r="G49">
        <f t="shared" ref="G49:H49" si="91">AS8</f>
        <v>5.4922570216139697</v>
      </c>
      <c r="H49">
        <f t="shared" si="91"/>
        <v>4.2545881263123952</v>
      </c>
      <c r="I49">
        <f>$B$34*G49^2+$C$34*G49+$D$34</f>
        <v>4.0164930072633105</v>
      </c>
      <c r="J49" s="70">
        <f>(H49-I49)/H49*100</f>
        <v>5.596196670051123</v>
      </c>
      <c r="K49">
        <f>BC8</f>
        <v>0.35117340667170693</v>
      </c>
      <c r="L49" s="70">
        <f>BD8</f>
        <v>-170.40610112091602</v>
      </c>
      <c r="M49">
        <f>BE8</f>
        <v>0.33156189613687032</v>
      </c>
      <c r="N49" s="70">
        <f>BF8</f>
        <v>25.571713400996032</v>
      </c>
    </row>
    <row r="50" spans="7:14" x14ac:dyDescent="0.55000000000000004">
      <c r="G50">
        <f t="shared" ref="G50:H50" si="92">AS9</f>
        <v>6.7697680050958864</v>
      </c>
      <c r="H50">
        <f t="shared" si="92"/>
        <v>5.1743960344193756</v>
      </c>
      <c r="I50">
        <f>$B$34*G50^2+$C$34*G50+$D$34</f>
        <v>4.7590211908641802</v>
      </c>
      <c r="J50" s="70">
        <f>(H50-I50)/H50*100</f>
        <v>8.0275039017535317</v>
      </c>
      <c r="K50">
        <f>BC9</f>
        <v>0.42688874110653247</v>
      </c>
      <c r="L50" s="70">
        <f>BD9</f>
        <v>-41.060720956932393</v>
      </c>
      <c r="M50">
        <f>BE9</f>
        <v>0.39270601344145512</v>
      </c>
      <c r="N50" s="70">
        <f>BF9</f>
        <v>-4.943680826669091</v>
      </c>
    </row>
    <row r="51" spans="7:14" x14ac:dyDescent="0.55000000000000004">
      <c r="G51">
        <f t="shared" ref="G51:H51" si="93">AS10</f>
        <v>8.0472789885778031</v>
      </c>
      <c r="H51">
        <f t="shared" si="93"/>
        <v>6.068653722856717</v>
      </c>
      <c r="I51">
        <f>$B$34*G51^2+$C$34*G51+$D$34</f>
        <v>5.4847196182589339</v>
      </c>
      <c r="J51" s="70">
        <f>(H51-I51)/H51*100</f>
        <v>9.6221358354733386</v>
      </c>
      <c r="K51">
        <f>BC10</f>
        <v>0.50042672884758055</v>
      </c>
      <c r="L51" s="70">
        <f>BD10</f>
        <v>6.7074847603286667</v>
      </c>
      <c r="M51">
        <f>BE10</f>
        <v>0.45241612836717521</v>
      </c>
      <c r="N51" s="70">
        <f>BF10</f>
        <v>-43.207184917341316</v>
      </c>
    </row>
    <row r="52" spans="7:14" x14ac:dyDescent="0.55000000000000004">
      <c r="G52">
        <f t="shared" ref="G52:H52" si="94">AS11</f>
        <v>9.3247899720597189</v>
      </c>
      <c r="H52">
        <f t="shared" si="94"/>
        <v>6.8607105326155047</v>
      </c>
      <c r="I52">
        <f>$B$34*G52^2+$C$34*G52+$D$34</f>
        <v>6.19358828944757</v>
      </c>
      <c r="J52" s="70">
        <f>(H52-I52)/H52*100</f>
        <v>9.7238068855472903</v>
      </c>
      <c r="K52">
        <f>BC11</f>
        <v>0.56549785351985693</v>
      </c>
      <c r="L52" s="70">
        <f>BD11</f>
        <v>24.861242088317141</v>
      </c>
      <c r="M52">
        <f>BE11</f>
        <v>0.51069461811772432</v>
      </c>
      <c r="N52" s="70">
        <f>BF11</f>
        <v>-87.784237334020517</v>
      </c>
    </row>
    <row r="53" spans="7:14" x14ac:dyDescent="0.55000000000000004">
      <c r="G53">
        <f t="shared" ref="G53:H53" si="95">AS12</f>
        <v>11.879811939023551</v>
      </c>
      <c r="H53">
        <f t="shared" si="95"/>
        <v>8.495924591472356</v>
      </c>
      <c r="I53">
        <f>$B$34*G53^2+$C$34*G53+$D$34</f>
        <v>7.5608363632064908</v>
      </c>
      <c r="J53" s="70">
        <f>(H53-I53)/H53*100</f>
        <v>11.006315065513229</v>
      </c>
      <c r="K53">
        <f>BC12</f>
        <v>0.69964678637471689</v>
      </c>
      <c r="L53" s="70">
        <f>BD12</f>
        <v>33.612631946279677</v>
      </c>
      <c r="M53">
        <f>BE12</f>
        <v>0.62296645305021392</v>
      </c>
      <c r="N53" s="70">
        <f>BF12</f>
        <v>-211.96900426806761</v>
      </c>
    </row>
    <row r="54" spans="7:14" x14ac:dyDescent="0.55000000000000004">
      <c r="G54">
        <f t="shared" ref="G54:H54" si="96">AS14</f>
        <v>22.145612376461052</v>
      </c>
      <c r="H54">
        <f t="shared" si="96"/>
        <v>13.526166805816732</v>
      </c>
      <c r="I54">
        <f>$B$34*G54^2+$C$34*G54+$D$34</f>
        <v>12.375669529685197</v>
      </c>
      <c r="J54" s="70">
        <f>(H54-I54)/H54*100</f>
        <v>8.5057155707763439</v>
      </c>
      <c r="K54">
        <f>BC14</f>
        <v>1.1105887081596615</v>
      </c>
      <c r="L54" s="70">
        <f>BD14</f>
        <v>45.099731388370337</v>
      </c>
      <c r="M54">
        <f>BE14</f>
        <v>1.0168404663989041</v>
      </c>
      <c r="N54" s="70">
        <f>BF14</f>
        <v>-1211.7211748391685</v>
      </c>
    </row>
    <row r="55" spans="7:14" x14ac:dyDescent="0.55000000000000004">
      <c r="G55">
        <f>AS16</f>
        <v>31.906729106242359</v>
      </c>
      <c r="H55">
        <f t="shared" ref="H55" si="97">AT16</f>
        <v>16.2592794901555</v>
      </c>
      <c r="I55">
        <f>$B$34*G55^2+$C$34*G55+$D$34</f>
        <v>15.945863412859953</v>
      </c>
      <c r="J55" s="70">
        <f>(H55-I55)/H55*100</f>
        <v>1.9276135666731729</v>
      </c>
      <c r="K55">
        <f>BC16</f>
        <v>1.3326868524647539</v>
      </c>
      <c r="L55" s="70">
        <f>BD16</f>
        <v>42.311975746740131</v>
      </c>
      <c r="M55">
        <f>BE16</f>
        <v>1.3072628046721297</v>
      </c>
      <c r="N55" s="70">
        <f>BF16</f>
        <v>-2712.2230069980405</v>
      </c>
    </row>
    <row r="56" spans="7:14" x14ac:dyDescent="0.55000000000000004">
      <c r="G56">
        <f>BT6</f>
        <v>1.6710508154902797</v>
      </c>
      <c r="H56">
        <f>BU6</f>
        <v>0.98591998113926493</v>
      </c>
      <c r="I56">
        <f>$B$34*G56^2+$C$34*G56+$D$34</f>
        <v>1.6950349650067791</v>
      </c>
      <c r="J56" s="70">
        <f>(H56-I56)/H56*100</f>
        <v>-71.924192371890769</v>
      </c>
      <c r="K56">
        <f>CD6</f>
        <v>8.1511445683916883E-2</v>
      </c>
      <c r="L56" s="70">
        <f>CE6</f>
        <v>25.673099911573015</v>
      </c>
      <c r="M56">
        <f>CF6</f>
        <v>0.1400892715307831</v>
      </c>
      <c r="N56" s="70">
        <f>CG6</f>
        <v>83.098847414449025</v>
      </c>
    </row>
    <row r="57" spans="7:14" x14ac:dyDescent="0.55000000000000004">
      <c r="G57">
        <f t="shared" ref="G57:H57" si="98">BT7</f>
        <v>4.3678468817716922</v>
      </c>
      <c r="H57">
        <f t="shared" si="98"/>
        <v>2.5230937389196697</v>
      </c>
      <c r="I57">
        <f>$B$34*G57^2+$C$34*G57+$D$34</f>
        <v>3.3490264647456187</v>
      </c>
      <c r="J57" s="70">
        <f>(H57-I57)/H57*100</f>
        <v>-32.734920351377603</v>
      </c>
      <c r="K57">
        <f>CD7</f>
        <v>0.20843990832205428</v>
      </c>
      <c r="L57" s="70">
        <f>CE7</f>
        <v>33.021617509608376</v>
      </c>
      <c r="M57">
        <f>CF7</f>
        <v>0.27655711118367138</v>
      </c>
      <c r="N57" s="70">
        <f>CG7</f>
        <v>55.308519852752326</v>
      </c>
    </row>
    <row r="58" spans="7:14" x14ac:dyDescent="0.55000000000000004">
      <c r="G58">
        <f t="shared" ref="G58:H58" si="99">BT9</f>
        <v>7.0646429480531046</v>
      </c>
      <c r="H58">
        <f t="shared" si="99"/>
        <v>4.0268464803902688</v>
      </c>
      <c r="I58">
        <f>$B$34*G58^2+$C$34*G58+$D$34</f>
        <v>4.9280208159268284</v>
      </c>
      <c r="J58" s="70">
        <f>(H58-I58)/H58*100</f>
        <v>-22.379157981935798</v>
      </c>
      <c r="K58">
        <f>CD9</f>
        <v>0.33241479960302339</v>
      </c>
      <c r="L58" s="70">
        <f>CE9</f>
        <v>29.165696710296622</v>
      </c>
      <c r="M58">
        <f>CF9</f>
        <v>0.40661550759588033</v>
      </c>
      <c r="N58" s="70">
        <f>CG9</f>
        <v>12.582428495690074</v>
      </c>
    </row>
    <row r="59" spans="7:14" x14ac:dyDescent="0.55000000000000004">
      <c r="G59">
        <f t="shared" ref="G59:H59" si="100">BT11</f>
        <v>9.7614390143345169</v>
      </c>
      <c r="H59">
        <f t="shared" si="100"/>
        <v>4.8807195071672584</v>
      </c>
      <c r="I59">
        <f>$B$34*G59^2+$C$34*G59+$D$34</f>
        <v>6.4320180185504068</v>
      </c>
      <c r="J59" s="70">
        <f>(H59-I59)/H59*100</f>
        <v>-31.784217656947739</v>
      </c>
      <c r="L59" s="70"/>
      <c r="N59" s="70"/>
    </row>
    <row r="60" spans="7:14" x14ac:dyDescent="0.55000000000000004">
      <c r="G60">
        <f t="shared" ref="G60:H60" si="101">BT12</f>
        <v>12.458235080615928</v>
      </c>
      <c r="H60">
        <f t="shared" si="101"/>
        <v>6.1482136583195217</v>
      </c>
      <c r="I60">
        <f>$B$34*G60^2+$C$34*G60+$D$34</f>
        <v>7.8610180726163552</v>
      </c>
      <c r="J60" s="70">
        <f>(H60-I60)/H60*100</f>
        <v>-27.858570138972539</v>
      </c>
      <c r="K60">
        <f>CD12</f>
        <v>0.50696562196907313</v>
      </c>
      <c r="L60" s="70">
        <f>CE12</f>
        <v>46.466375204377904</v>
      </c>
      <c r="M60">
        <f>CF12</f>
        <v>0.64759174674583775</v>
      </c>
      <c r="N60" s="70">
        <f>CG12</f>
        <v>-108.09753085921298</v>
      </c>
    </row>
    <row r="61" spans="7:14" x14ac:dyDescent="0.55000000000000004">
      <c r="G61">
        <f t="shared" ref="G61:H61" si="102">BT14</f>
        <v>22.454565398149221</v>
      </c>
      <c r="H61">
        <f t="shared" si="102"/>
        <v>9.8468558758068401</v>
      </c>
      <c r="I61">
        <f>$B$34*G61^2+$C$34*G61+$D$34</f>
        <v>12.503728299506417</v>
      </c>
      <c r="J61" s="70">
        <f>(H61-I61)/H61*100</f>
        <v>-26.98193674416785</v>
      </c>
      <c r="K61">
        <f>CD14</f>
        <v>0.81027265063622844</v>
      </c>
      <c r="L61" s="70">
        <f>CE14</f>
        <v>61.282350739948789</v>
      </c>
      <c r="M61">
        <f>CF14</f>
        <v>1.0272826292821418</v>
      </c>
      <c r="N61" s="70">
        <f>CG14</f>
        <v>-563.68590611487309</v>
      </c>
    </row>
    <row r="62" spans="7:14" x14ac:dyDescent="0.55000000000000004">
      <c r="G62">
        <f t="shared" ref="G62:H62" si="103">BT16</f>
        <v>33.124561208133208</v>
      </c>
      <c r="H62">
        <f t="shared" si="103"/>
        <v>12.194254954003316</v>
      </c>
      <c r="I62">
        <f>$B$34*G62^2+$C$34*G62+$D$34</f>
        <v>16.322354391846602</v>
      </c>
      <c r="J62" s="70">
        <f>(H62-I62)/H62*100</f>
        <v>-33.852822115122748</v>
      </c>
      <c r="K62">
        <f>CD16</f>
        <v>1.0020444711256713</v>
      </c>
      <c r="L62" s="70">
        <f>CE16</f>
        <v>61.801401231917275</v>
      </c>
      <c r="M62">
        <f>CF16</f>
        <v>1.3378020037710296</v>
      </c>
      <c r="N62" s="70">
        <f>CG16</f>
        <v>-1244.1146456000017</v>
      </c>
    </row>
  </sheetData>
  <mergeCells count="5">
    <mergeCell ref="C3:D3"/>
    <mergeCell ref="V3:W3"/>
    <mergeCell ref="AO3:AP3"/>
    <mergeCell ref="BH3:BI3"/>
    <mergeCell ref="BP3:BQ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Plots</vt:lpstr>
      <vt:lpstr>5-13 1130</vt:lpstr>
      <vt:lpstr>5-15 0830</vt:lpstr>
      <vt:lpstr>5-22 1045</vt:lpstr>
      <vt:lpstr>5-28 1430</vt:lpstr>
      <vt:lpstr>5-29 1500</vt:lpstr>
      <vt:lpstr>All data</vt:lpstr>
      <vt:lpstr>Plot data</vt:lpstr>
    </vt:vector>
  </TitlesOfParts>
  <Company>MWRD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Werth, Elisabeth</dc:creator>
  <cp:lastModifiedBy>Kate Newhart</cp:lastModifiedBy>
  <cp:lastPrinted>2019-05-29T19:40:07Z</cp:lastPrinted>
  <dcterms:created xsi:type="dcterms:W3CDTF">2019-05-13T15:50:12Z</dcterms:created>
  <dcterms:modified xsi:type="dcterms:W3CDTF">2019-06-05T00:23:51Z</dcterms:modified>
</cp:coreProperties>
</file>