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GitHub\MWR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I10" i="1" s="1"/>
  <c r="H11" i="1"/>
  <c r="H12" i="1"/>
  <c r="H13" i="1"/>
  <c r="H14" i="1"/>
  <c r="I14" i="1" s="1"/>
  <c r="H15" i="1"/>
  <c r="H16" i="1"/>
  <c r="H17" i="1"/>
  <c r="H18" i="1"/>
  <c r="I18" i="1" s="1"/>
  <c r="H19" i="1"/>
  <c r="H20" i="1"/>
  <c r="H21" i="1"/>
  <c r="H22" i="1"/>
  <c r="I22" i="1" s="1"/>
  <c r="H23" i="1"/>
  <c r="H24" i="1"/>
  <c r="H25" i="1"/>
  <c r="H26" i="1"/>
  <c r="I26" i="1" s="1"/>
  <c r="H27" i="1"/>
  <c r="H28" i="1"/>
  <c r="H29" i="1"/>
  <c r="H30" i="1"/>
  <c r="I30" i="1" s="1"/>
  <c r="H31" i="1"/>
  <c r="I31" i="1" s="1"/>
  <c r="H32" i="1"/>
  <c r="H33" i="1"/>
  <c r="H34" i="1"/>
  <c r="I34" i="1" s="1"/>
  <c r="H35" i="1"/>
  <c r="I35" i="1" s="1"/>
  <c r="H36" i="1"/>
  <c r="H37" i="1"/>
  <c r="H38" i="1"/>
  <c r="I38" i="1" s="1"/>
  <c r="H39" i="1"/>
  <c r="I39" i="1" s="1"/>
  <c r="H3" i="1"/>
  <c r="G30" i="1"/>
  <c r="G39" i="1"/>
  <c r="G38" i="1"/>
  <c r="G37" i="1"/>
  <c r="G36" i="1"/>
  <c r="G35" i="1"/>
  <c r="G34" i="1"/>
  <c r="G33" i="1"/>
  <c r="G32" i="1"/>
  <c r="G31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I23" i="1" l="1"/>
  <c r="I15" i="1"/>
  <c r="I11" i="1"/>
  <c r="I6" i="1"/>
  <c r="I37" i="1"/>
  <c r="I33" i="1"/>
  <c r="I29" i="1"/>
  <c r="I25" i="1"/>
  <c r="I21" i="1"/>
  <c r="I17" i="1"/>
  <c r="I13" i="1"/>
  <c r="I9" i="1"/>
  <c r="I5" i="1"/>
  <c r="I27" i="1"/>
  <c r="I19" i="1"/>
  <c r="I7" i="1"/>
  <c r="I3" i="1"/>
  <c r="I36" i="1"/>
  <c r="I32" i="1"/>
  <c r="I28" i="1"/>
  <c r="I24" i="1"/>
  <c r="I20" i="1"/>
  <c r="I16" i="1"/>
  <c r="I12" i="1"/>
  <c r="I8" i="1"/>
  <c r="I4" i="1"/>
  <c r="B32" i="1"/>
  <c r="B38" i="1" s="1"/>
  <c r="B4" i="1"/>
  <c r="B21" i="1" l="1"/>
  <c r="B9" i="1"/>
  <c r="B10" i="1" s="1"/>
  <c r="B11" i="1" l="1"/>
  <c r="B17" i="1" s="1"/>
  <c r="B29" i="1" s="1"/>
  <c r="B19" i="1" l="1"/>
  <c r="B22" i="1" s="1"/>
  <c r="B23" i="1" s="1"/>
  <c r="B35" i="1" l="1"/>
  <c r="B41" i="1" s="1"/>
  <c r="B33" i="1"/>
  <c r="B39" i="1" l="1"/>
  <c r="B42" i="1" s="1"/>
  <c r="B55" i="1" s="1"/>
  <c r="B56" i="1" s="1"/>
  <c r="B43" i="1" l="1"/>
  <c r="B49" i="1"/>
  <c r="B50" i="1" s="1"/>
  <c r="B53" i="1"/>
  <c r="B54" i="1" s="1"/>
  <c r="B45" i="1"/>
  <c r="B46" i="1" s="1"/>
  <c r="B51" i="1"/>
  <c r="B52" i="1" s="1"/>
  <c r="B47" i="1"/>
  <c r="B48" i="1" s="1"/>
</calcChain>
</file>

<file path=xl/comments1.xml><?xml version="1.0" encoding="utf-8"?>
<comments xmlns="http://schemas.openxmlformats.org/spreadsheetml/2006/main">
  <authors>
    <author>Freedman, Dan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Freedman, Dan:</t>
        </r>
        <r>
          <rPr>
            <sz val="9"/>
            <color indexed="81"/>
            <rFont val="Tahoma"/>
            <family val="2"/>
          </rPr>
          <t xml:space="preserve">
HRT from applied dose</t>
        </r>
      </text>
    </comment>
  </commentList>
</comments>
</file>

<file path=xl/sharedStrings.xml><?xml version="1.0" encoding="utf-8"?>
<sst xmlns="http://schemas.openxmlformats.org/spreadsheetml/2006/main" count="129" uniqueCount="81">
  <si>
    <t>Flow</t>
  </si>
  <si>
    <t>MGD</t>
  </si>
  <si>
    <t>gal</t>
  </si>
  <si>
    <t>Influent Conduit HRT</t>
  </si>
  <si>
    <t>min</t>
  </si>
  <si>
    <t>Contact Basin Vol</t>
  </si>
  <si>
    <t>Mgal</t>
  </si>
  <si>
    <t>Contact Basin HRT</t>
  </si>
  <si>
    <t>Parameter</t>
  </si>
  <si>
    <t>Value</t>
  </si>
  <si>
    <t>Units</t>
  </si>
  <si>
    <t>Notes</t>
  </si>
  <si>
    <t>Banana Weir Elev.</t>
  </si>
  <si>
    <t>ft</t>
  </si>
  <si>
    <t>Contact basin effluent weir</t>
  </si>
  <si>
    <t>Banana Weir Length</t>
  </si>
  <si>
    <t>Weir Coefficient</t>
  </si>
  <si>
    <t>Freefall Discharge, Q1=C*L*H^1.5</t>
  </si>
  <si>
    <t>cfs</t>
  </si>
  <si>
    <t>in</t>
  </si>
  <si>
    <t>Water Surface Elev.</t>
  </si>
  <si>
    <t>Weir Head</t>
  </si>
  <si>
    <t>CCB Floor Elev.</t>
  </si>
  <si>
    <t>CCB Surface Area</t>
  </si>
  <si>
    <t>sf</t>
  </si>
  <si>
    <t>Influent Conduit (Sloped Section) SA</t>
  </si>
  <si>
    <t>Influent Conduit (Horiz. Curve Section) Floor Elev.</t>
  </si>
  <si>
    <t>Influent Conduit (Horiz. Curve Section) Depth</t>
  </si>
  <si>
    <t>Influent Conduit (Horiz. Curve Section) SA</t>
  </si>
  <si>
    <t>Corrected WS EL</t>
  </si>
  <si>
    <t>WS EL Correction @ Low Flows</t>
  </si>
  <si>
    <t>WS EL Correction @ MMF (106 MGD)</t>
  </si>
  <si>
    <t>WS EL Correction @ PIF (200 MGD)</t>
  </si>
  <si>
    <t>WS EL Correction @ PHF (144 MGD)</t>
  </si>
  <si>
    <t>Determine Contact Basin Average Depth</t>
  </si>
  <si>
    <t>Determine Contact Basin HRT</t>
  </si>
  <si>
    <t>Determined from Drawing C-2 (PAR 302)</t>
  </si>
  <si>
    <t>Adjust the correction based on the flow input</t>
  </si>
  <si>
    <t>North Disinfection HRT Calculation</t>
  </si>
  <si>
    <t>Determine Influent Conduit Average Depth</t>
  </si>
  <si>
    <t>CCB Average Depth</t>
  </si>
  <si>
    <t>Influent Conduit (Sloped Section) Upstream Floor Elev.</t>
  </si>
  <si>
    <t>Influent Conduit (Sloped Section) Downstream Floor Elev.</t>
  </si>
  <si>
    <t>Influent Conduit (Sloped Section) Average Depth, Area 1</t>
  </si>
  <si>
    <t>If WS EL is greater than 5107, this depth is fixed at 3.5 ft</t>
  </si>
  <si>
    <t>Influent Conduit (Sloped Section) Average Depth, Area 2</t>
  </si>
  <si>
    <t>Max depth = 13 ft (fully submerged)</t>
  </si>
  <si>
    <t>Determine Influent Conduit HRT</t>
  </si>
  <si>
    <t>Determined from Drawing C-4 (PAR 302)</t>
  </si>
  <si>
    <t>Influent Conduit Vol, Area 1</t>
  </si>
  <si>
    <t>Influent Conduit Vol, Area 2</t>
  </si>
  <si>
    <t>Influent Conduit (Horiz. Curve Section) Vol</t>
  </si>
  <si>
    <t>Influent Conduit Vol, Total</t>
  </si>
  <si>
    <t>Additional depth above 5107, total max depth = 9.5 ft (fully submerged)</t>
  </si>
  <si>
    <t>Determine Water Surface Elevation at Weir</t>
  </si>
  <si>
    <t>Determine HRT from Applied Dose to Sample Locations</t>
  </si>
  <si>
    <t>Volume to 1-min grab location 012_712_1011</t>
  </si>
  <si>
    <t>HRT to 1-min grab location</t>
  </si>
  <si>
    <t>Volume to 10-min grab location 012_712_1012</t>
  </si>
  <si>
    <t>HRT to 10-min grab location</t>
  </si>
  <si>
    <t>Volume to 20-min grab location 012_712_1013</t>
  </si>
  <si>
    <t>HRT to 20-min grab location</t>
  </si>
  <si>
    <t>Volume to 30-min grab location 012_712_1021</t>
  </si>
  <si>
    <t>HRT to 30-min grab location</t>
  </si>
  <si>
    <t>Influent conduit plus static mixer plus first pass</t>
  </si>
  <si>
    <t>Influent conduit plus static mixer plus first and second passes</t>
  </si>
  <si>
    <t>Influent conduit plus total contact basin</t>
  </si>
  <si>
    <t>Influent conduit plus static mixer location</t>
  </si>
  <si>
    <t>Volume to online analyzer (AI_K826) location</t>
  </si>
  <si>
    <t>HRT to online analyzer location</t>
  </si>
  <si>
    <t>Actual sample location is downstream of weir, consider adding 1 min</t>
  </si>
  <si>
    <t>Flow (MGD)</t>
  </si>
  <si>
    <t>HRT (min)</t>
  </si>
  <si>
    <t>Apply to flows greater than or equal to 100 MGD</t>
  </si>
  <si>
    <t>Apply to flows greater than or equal to 140 MGD</t>
  </si>
  <si>
    <t>Apply to flows greater than or equal to 190 MGD</t>
  </si>
  <si>
    <t>Predicted HRT</t>
  </si>
  <si>
    <t>% Diff</t>
  </si>
  <si>
    <t>Volume to 1/2-basin location</t>
  </si>
  <si>
    <t>Influent conduit plus static mixer plus first pass and half of second pass</t>
  </si>
  <si>
    <t>HRT to 1/2-basin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</si>
</sst>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quotePrefix="1"/>
    <xf numFmtId="164" fontId="0" fillId="0" borderId="0" xfId="0" applyNumberFormat="1"/>
    <xf numFmtId="0" fontId="0" fillId="2" borderId="2" xfId="0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164" fontId="1" fillId="3" borderId="2" xfId="0" applyNumberFormat="1" applyFon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3" fontId="0" fillId="3" borderId="2" xfId="0" applyNumberFormat="1" applyFill="1" applyBorder="1" applyAlignment="1">
      <alignment horizontal="right"/>
    </xf>
    <xf numFmtId="3" fontId="0" fillId="2" borderId="2" xfId="0" applyNumberFormat="1" applyFill="1" applyBorder="1" applyAlignment="1">
      <alignment horizontal="right"/>
    </xf>
    <xf numFmtId="2" fontId="1" fillId="3" borderId="2" xfId="0" applyNumberFormat="1" applyFont="1" applyFill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HRT (min)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653583349137516"/>
                  <c:y val="-5.7813505168863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Sheet1!$F$3:$F$39</c:f>
              <c:numCache>
                <c:formatCode>General</c:formatCode>
                <c:ptCount val="3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</c:numCache>
            </c:numRef>
          </c:xVal>
          <c:yVal>
            <c:numRef>
              <c:f>Sheet1!$G$3:$G$39</c:f>
              <c:numCache>
                <c:formatCode>0.0</c:formatCode>
                <c:ptCount val="37"/>
                <c:pt idx="0">
                  <c:v>159.4</c:v>
                </c:pt>
                <c:pt idx="1">
                  <c:v>127.8</c:v>
                </c:pt>
                <c:pt idx="2">
                  <c:v>106.7</c:v>
                </c:pt>
                <c:pt idx="3">
                  <c:v>91.7</c:v>
                </c:pt>
                <c:pt idx="4">
                  <c:v>80.400000000000006</c:v>
                </c:pt>
                <c:pt idx="5">
                  <c:v>71.7</c:v>
                </c:pt>
                <c:pt idx="6">
                  <c:v>64.7</c:v>
                </c:pt>
                <c:pt idx="7">
                  <c:v>58.9</c:v>
                </c:pt>
                <c:pt idx="8">
                  <c:v>54.1</c:v>
                </c:pt>
                <c:pt idx="9">
                  <c:v>50</c:v>
                </c:pt>
                <c:pt idx="10">
                  <c:v>46.5</c:v>
                </c:pt>
                <c:pt idx="11">
                  <c:v>43.5</c:v>
                </c:pt>
                <c:pt idx="12">
                  <c:v>40.800000000000004</c:v>
                </c:pt>
                <c:pt idx="13">
                  <c:v>38.5</c:v>
                </c:pt>
                <c:pt idx="14">
                  <c:v>36.42</c:v>
                </c:pt>
                <c:pt idx="15">
                  <c:v>34.57</c:v>
                </c:pt>
                <c:pt idx="16">
                  <c:v>33.150000000000006</c:v>
                </c:pt>
                <c:pt idx="17">
                  <c:v>31.61</c:v>
                </c:pt>
                <c:pt idx="18">
                  <c:v>30.27</c:v>
                </c:pt>
                <c:pt idx="19">
                  <c:v>28.93</c:v>
                </c:pt>
                <c:pt idx="20">
                  <c:v>27.8</c:v>
                </c:pt>
                <c:pt idx="21">
                  <c:v>26.77</c:v>
                </c:pt>
                <c:pt idx="22">
                  <c:v>25.74</c:v>
                </c:pt>
                <c:pt idx="23">
                  <c:v>24.82</c:v>
                </c:pt>
                <c:pt idx="24">
                  <c:v>24.32</c:v>
                </c:pt>
                <c:pt idx="25">
                  <c:v>23.5</c:v>
                </c:pt>
                <c:pt idx="26">
                  <c:v>22.78</c:v>
                </c:pt>
                <c:pt idx="27">
                  <c:v>22.06</c:v>
                </c:pt>
                <c:pt idx="28">
                  <c:v>21.44</c:v>
                </c:pt>
                <c:pt idx="29">
                  <c:v>20.82</c:v>
                </c:pt>
                <c:pt idx="30">
                  <c:v>20.200000000000003</c:v>
                </c:pt>
                <c:pt idx="31">
                  <c:v>19.690000000000001</c:v>
                </c:pt>
                <c:pt idx="32">
                  <c:v>19.170000000000002</c:v>
                </c:pt>
                <c:pt idx="33">
                  <c:v>18.66</c:v>
                </c:pt>
                <c:pt idx="34">
                  <c:v>18.47</c:v>
                </c:pt>
                <c:pt idx="35">
                  <c:v>17.95</c:v>
                </c:pt>
                <c:pt idx="36">
                  <c:v>17.54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F-4AAD-895B-C1EE499DD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050687"/>
        <c:axId val="1032056927"/>
      </c:scatterChart>
      <c:valAx>
        <c:axId val="10320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(MGD)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56927"/>
        <c:crosses val="autoZero"/>
        <c:crossBetween val="midCat"/>
      </c:valAx>
      <c:valAx>
        <c:axId val="103205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HRT 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5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131668</xdr:colOff>
      <xdr:row>2</xdr:row>
      <xdr:rowOff>89647</xdr:rowOff>
    </xdr:from>
    <xdr:to>
      <xdr:col>20</xdr:col>
      <xdr:colOff>546287</xdr:colOff>
      <xdr:row>25</xdr:row>
      <xdr:rowOff>172571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tabSelected="1" zoomScale="70" zoomScaleNormal="70" workbookViewId="0">
      <selection activeCell="B52" sqref="B52"/>
    </sheetView>
  </sheetViews>
  <sheetFormatPr defaultRowHeight="15" x14ac:dyDescent="0.25"/>
  <cols>
    <col min="1" max="1" width="53.42578125" bestFit="1" customWidth="1"/>
    <col min="2" max="2" width="10.5703125" style="2" bestFit="1" customWidth="1"/>
    <col min="4" max="4" width="66.28515625" bestFit="1" customWidth="1"/>
    <col min="6" max="6" width="11.42578125" bestFit="1" customWidth="1"/>
    <col min="7" max="7" width="9.7109375" bestFit="1" customWidth="1"/>
    <col min="8" max="8" width="13.85546875" bestFit="1" customWidth="1"/>
  </cols>
  <sheetData>
    <row r="1" spans="1:9" x14ac:dyDescent="0.25">
      <c r="A1" s="1" t="s">
        <v>38</v>
      </c>
    </row>
    <row r="2" spans="1:9" x14ac:dyDescent="0.25">
      <c r="A2" s="4" t="s">
        <v>8</v>
      </c>
      <c r="B2" s="5" t="s">
        <v>9</v>
      </c>
      <c r="C2" s="4" t="s">
        <v>10</v>
      </c>
      <c r="D2" s="4" t="s">
        <v>11</v>
      </c>
      <c r="F2" t="s">
        <v>71</v>
      </c>
      <c r="G2" t="s">
        <v>72</v>
      </c>
      <c r="H2" t="s">
        <v>76</v>
      </c>
      <c r="I2" t="s">
        <v>77</v>
      </c>
    </row>
    <row r="3" spans="1:9" x14ac:dyDescent="0.25">
      <c r="A3" t="s">
        <v>0</v>
      </c>
      <c r="B3" s="8">
        <v>54.11</v>
      </c>
      <c r="C3" t="s">
        <v>1</v>
      </c>
      <c r="F3">
        <v>20</v>
      </c>
      <c r="G3" s="7">
        <f>155+4.4</f>
        <v>159.4</v>
      </c>
      <c r="H3" s="7">
        <f>2733.6*F3^-0.956</f>
        <v>155.93740040861834</v>
      </c>
      <c r="I3" s="17">
        <f>(H3-G3)/G3</f>
        <v>-2.1722707599634006E-2</v>
      </c>
    </row>
    <row r="4" spans="1:9" x14ac:dyDescent="0.25">
      <c r="B4" s="9">
        <f>B3*1.547</f>
        <v>83.708169999999996</v>
      </c>
      <c r="C4" t="s">
        <v>18</v>
      </c>
      <c r="F4">
        <v>25</v>
      </c>
      <c r="G4" s="7">
        <f>124.3+3.5</f>
        <v>127.8</v>
      </c>
      <c r="H4" s="7">
        <f t="shared" ref="H4:H39" si="0">2733.6*F4^-0.956</f>
        <v>125.98078712969404</v>
      </c>
      <c r="I4" s="17">
        <f t="shared" ref="I4:I39" si="1">(H4-G4)/G4</f>
        <v>-1.4234842490656971E-2</v>
      </c>
    </row>
    <row r="5" spans="1:9" x14ac:dyDescent="0.25">
      <c r="A5" s="1" t="s">
        <v>54</v>
      </c>
      <c r="B5" s="3"/>
      <c r="F5">
        <v>30</v>
      </c>
      <c r="G5" s="7">
        <f>103.8+2.9</f>
        <v>106.7</v>
      </c>
      <c r="H5" s="7">
        <f t="shared" si="0"/>
        <v>105.82957359341994</v>
      </c>
      <c r="I5" s="17">
        <f t="shared" si="1"/>
        <v>-8.1576982809753121E-3</v>
      </c>
    </row>
    <row r="6" spans="1:9" x14ac:dyDescent="0.25">
      <c r="A6" t="s">
        <v>12</v>
      </c>
      <c r="B6" s="8">
        <v>5109.8</v>
      </c>
      <c r="C6" t="s">
        <v>13</v>
      </c>
      <c r="D6" t="s">
        <v>14</v>
      </c>
      <c r="F6">
        <v>35</v>
      </c>
      <c r="G6" s="7">
        <f>89.2+2.5</f>
        <v>91.7</v>
      </c>
      <c r="H6" s="7">
        <f t="shared" si="0"/>
        <v>91.328413914305031</v>
      </c>
      <c r="I6" s="17">
        <f t="shared" si="1"/>
        <v>-4.0521928647216108E-3</v>
      </c>
    </row>
    <row r="7" spans="1:9" x14ac:dyDescent="0.25">
      <c r="A7" t="s">
        <v>15</v>
      </c>
      <c r="B7" s="8">
        <v>91</v>
      </c>
      <c r="C7" t="s">
        <v>13</v>
      </c>
      <c r="F7">
        <v>40</v>
      </c>
      <c r="G7" s="7">
        <f>78.2+2.2</f>
        <v>80.400000000000006</v>
      </c>
      <c r="H7" s="7">
        <f t="shared" si="0"/>
        <v>80.383259768251548</v>
      </c>
      <c r="I7" s="17">
        <f t="shared" si="1"/>
        <v>-2.0821183766737923E-4</v>
      </c>
    </row>
    <row r="8" spans="1:9" x14ac:dyDescent="0.25">
      <c r="A8" t="s">
        <v>16</v>
      </c>
      <c r="B8" s="8">
        <v>3.33</v>
      </c>
      <c r="F8">
        <v>45</v>
      </c>
      <c r="G8" s="7">
        <f>69.7+2</f>
        <v>71.7</v>
      </c>
      <c r="H8" s="7">
        <f t="shared" si="0"/>
        <v>71.82304320590751</v>
      </c>
      <c r="I8" s="17">
        <f t="shared" si="1"/>
        <v>1.7160837644003774E-3</v>
      </c>
    </row>
    <row r="9" spans="1:9" x14ac:dyDescent="0.25">
      <c r="A9" t="s">
        <v>21</v>
      </c>
      <c r="B9" s="10">
        <f>(B4/B8/B7)^(2/3)</f>
        <v>0.42415196292237778</v>
      </c>
      <c r="C9" t="s">
        <v>13</v>
      </c>
      <c r="D9" t="s">
        <v>17</v>
      </c>
      <c r="F9">
        <v>50</v>
      </c>
      <c r="G9" s="7">
        <f>62.9+1.8</f>
        <v>64.7</v>
      </c>
      <c r="H9" s="7">
        <f t="shared" si="0"/>
        <v>64.94110015377241</v>
      </c>
      <c r="I9" s="17">
        <f t="shared" si="1"/>
        <v>3.7264320521237645E-3</v>
      </c>
    </row>
    <row r="10" spans="1:9" x14ac:dyDescent="0.25">
      <c r="B10" s="11">
        <f>B9*12</f>
        <v>5.0898235550685333</v>
      </c>
      <c r="C10" t="s">
        <v>19</v>
      </c>
      <c r="F10">
        <v>55</v>
      </c>
      <c r="G10" s="7">
        <f>57.3+1.6</f>
        <v>58.9</v>
      </c>
      <c r="H10" s="7">
        <f t="shared" si="0"/>
        <v>59.285465555598023</v>
      </c>
      <c r="I10" s="17">
        <f t="shared" si="1"/>
        <v>6.5444067164350502E-3</v>
      </c>
    </row>
    <row r="11" spans="1:9" x14ac:dyDescent="0.25">
      <c r="A11" t="s">
        <v>20</v>
      </c>
      <c r="B11" s="12">
        <f>B6+B9</f>
        <v>5110.2241519629224</v>
      </c>
      <c r="C11" t="s">
        <v>13</v>
      </c>
      <c r="F11">
        <v>60</v>
      </c>
      <c r="G11" s="7">
        <f>52.6+1.5</f>
        <v>54.1</v>
      </c>
      <c r="H11" s="7">
        <f t="shared" si="0"/>
        <v>54.553468783188777</v>
      </c>
      <c r="I11" s="17">
        <f t="shared" si="1"/>
        <v>8.3820477484061948E-3</v>
      </c>
    </row>
    <row r="12" spans="1:9" x14ac:dyDescent="0.25">
      <c r="A12" s="1" t="s">
        <v>34</v>
      </c>
      <c r="B12" s="3"/>
      <c r="F12">
        <v>65</v>
      </c>
      <c r="G12" s="7">
        <f>48.6+1.4</f>
        <v>50</v>
      </c>
      <c r="H12" s="7">
        <f t="shared" si="0"/>
        <v>50.534712216841811</v>
      </c>
      <c r="I12" s="17">
        <f t="shared" si="1"/>
        <v>1.0694244336836221E-2</v>
      </c>
    </row>
    <row r="13" spans="1:9" x14ac:dyDescent="0.25">
      <c r="A13" t="s">
        <v>30</v>
      </c>
      <c r="B13" s="13">
        <v>0</v>
      </c>
      <c r="C13" t="s">
        <v>13</v>
      </c>
      <c r="F13">
        <v>70</v>
      </c>
      <c r="G13" s="7">
        <f>45.2+1.3</f>
        <v>46.5</v>
      </c>
      <c r="H13" s="7">
        <f t="shared" si="0"/>
        <v>47.078350675712805</v>
      </c>
      <c r="I13" s="17">
        <f t="shared" si="1"/>
        <v>1.2437648940060327E-2</v>
      </c>
    </row>
    <row r="14" spans="1:9" x14ac:dyDescent="0.25">
      <c r="A14" t="s">
        <v>31</v>
      </c>
      <c r="B14" s="13">
        <v>0.1</v>
      </c>
      <c r="C14" t="s">
        <v>13</v>
      </c>
      <c r="D14" t="s">
        <v>73</v>
      </c>
      <c r="F14">
        <v>75</v>
      </c>
      <c r="G14" s="7">
        <f>42.3+1.2</f>
        <v>43.5</v>
      </c>
      <c r="H14" s="7">
        <f t="shared" si="0"/>
        <v>44.073384062784982</v>
      </c>
      <c r="I14" s="17">
        <f t="shared" si="1"/>
        <v>1.3181242822643255E-2</v>
      </c>
    </row>
    <row r="15" spans="1:9" x14ac:dyDescent="0.25">
      <c r="A15" t="s">
        <v>33</v>
      </c>
      <c r="B15" s="13">
        <v>0.3</v>
      </c>
      <c r="C15" t="s">
        <v>13</v>
      </c>
      <c r="D15" t="s">
        <v>74</v>
      </c>
      <c r="F15">
        <v>80</v>
      </c>
      <c r="G15" s="7">
        <f>39.7+1.1</f>
        <v>40.800000000000004</v>
      </c>
      <c r="H15" s="7">
        <f t="shared" si="0"/>
        <v>41.436297091259554</v>
      </c>
      <c r="I15" s="17">
        <f t="shared" si="1"/>
        <v>1.5595516942636029E-2</v>
      </c>
    </row>
    <row r="16" spans="1:9" x14ac:dyDescent="0.25">
      <c r="A16" t="s">
        <v>32</v>
      </c>
      <c r="B16" s="13">
        <v>0.5</v>
      </c>
      <c r="C16" t="s">
        <v>13</v>
      </c>
      <c r="F16">
        <v>85</v>
      </c>
      <c r="G16" s="7">
        <f>37.4+1.1</f>
        <v>38.5</v>
      </c>
      <c r="H16" s="7">
        <f t="shared" si="0"/>
        <v>39.103035552683679</v>
      </c>
      <c r="I16" s="17">
        <f t="shared" si="1"/>
        <v>1.5663261108666976E-2</v>
      </c>
    </row>
    <row r="17" spans="1:9" x14ac:dyDescent="0.25">
      <c r="A17" t="s">
        <v>29</v>
      </c>
      <c r="B17" s="11">
        <f>B11+B13</f>
        <v>5110.2241519629224</v>
      </c>
      <c r="C17" t="s">
        <v>13</v>
      </c>
      <c r="D17" t="s">
        <v>37</v>
      </c>
      <c r="F17">
        <v>90</v>
      </c>
      <c r="G17" s="7">
        <f>35.4+1.02</f>
        <v>36.42</v>
      </c>
      <c r="H17" s="7">
        <f t="shared" si="0"/>
        <v>37.02364105235997</v>
      </c>
      <c r="I17" s="17">
        <f t="shared" si="1"/>
        <v>1.6574438560130928E-2</v>
      </c>
    </row>
    <row r="18" spans="1:9" x14ac:dyDescent="0.25">
      <c r="A18" t="s">
        <v>22</v>
      </c>
      <c r="B18" s="13">
        <v>5096.8</v>
      </c>
      <c r="C18" t="s">
        <v>13</v>
      </c>
      <c r="F18">
        <v>95</v>
      </c>
      <c r="G18" s="7">
        <f>33.6+0.97</f>
        <v>34.57</v>
      </c>
      <c r="H18" s="7">
        <f t="shared" si="0"/>
        <v>35.158569706720506</v>
      </c>
      <c r="I18" s="17">
        <f t="shared" si="1"/>
        <v>1.7025447113697013E-2</v>
      </c>
    </row>
    <row r="19" spans="1:9" x14ac:dyDescent="0.25">
      <c r="A19" t="s">
        <v>40</v>
      </c>
      <c r="B19" s="12">
        <f>B17-B18</f>
        <v>13.424151962922224</v>
      </c>
      <c r="C19" t="s">
        <v>13</v>
      </c>
      <c r="D19" s="7"/>
      <c r="F19">
        <v>100</v>
      </c>
      <c r="G19" s="7">
        <f>32.2+0.95</f>
        <v>33.150000000000006</v>
      </c>
      <c r="H19" s="7">
        <f t="shared" si="0"/>
        <v>33.476108423109373</v>
      </c>
      <c r="I19" s="17">
        <f t="shared" si="1"/>
        <v>9.8373581631785081E-3</v>
      </c>
    </row>
    <row r="20" spans="1:9" x14ac:dyDescent="0.25">
      <c r="A20" s="1" t="s">
        <v>35</v>
      </c>
      <c r="B20" s="3"/>
      <c r="D20" s="7"/>
      <c r="F20">
        <v>105</v>
      </c>
      <c r="G20" s="7">
        <f>30.7+0.91</f>
        <v>31.61</v>
      </c>
      <c r="H20" s="7">
        <f t="shared" si="0"/>
        <v>31.950524790310837</v>
      </c>
      <c r="I20" s="17">
        <f t="shared" si="1"/>
        <v>1.0772691879495018E-2</v>
      </c>
    </row>
    <row r="21" spans="1:9" x14ac:dyDescent="0.25">
      <c r="A21" t="s">
        <v>23</v>
      </c>
      <c r="B21" s="15">
        <f>470+7410+6945+6945</f>
        <v>21770</v>
      </c>
      <c r="C21" t="s">
        <v>24</v>
      </c>
      <c r="D21" t="s">
        <v>36</v>
      </c>
      <c r="F21">
        <v>110</v>
      </c>
      <c r="G21" s="7">
        <f>29.4+0.87</f>
        <v>30.27</v>
      </c>
      <c r="H21" s="7">
        <f t="shared" si="0"/>
        <v>30.56071837641062</v>
      </c>
      <c r="I21" s="17">
        <f t="shared" si="1"/>
        <v>9.6041749722702366E-3</v>
      </c>
    </row>
    <row r="22" spans="1:9" x14ac:dyDescent="0.25">
      <c r="A22" t="s">
        <v>5</v>
      </c>
      <c r="B22" s="10">
        <f>B19*B21*7.48/10^6</f>
        <v>2.1859835359814697</v>
      </c>
      <c r="C22" t="s">
        <v>6</v>
      </c>
      <c r="F22">
        <v>115</v>
      </c>
      <c r="G22" s="7">
        <f>28.1+0.83</f>
        <v>28.93</v>
      </c>
      <c r="H22" s="7">
        <f t="shared" si="0"/>
        <v>29.289221635802885</v>
      </c>
      <c r="I22" s="17">
        <f t="shared" si="1"/>
        <v>1.2416924846280182E-2</v>
      </c>
    </row>
    <row r="23" spans="1:9" x14ac:dyDescent="0.25">
      <c r="A23" t="s">
        <v>7</v>
      </c>
      <c r="B23" s="12">
        <f>B22/B3*24*60</f>
        <v>58.174390903960756</v>
      </c>
      <c r="C23" t="s">
        <v>4</v>
      </c>
      <c r="F23">
        <v>120</v>
      </c>
      <c r="G23" s="7">
        <f>27+0.8</f>
        <v>27.8</v>
      </c>
      <c r="H23" s="7">
        <f t="shared" si="0"/>
        <v>28.121448997914062</v>
      </c>
      <c r="I23" s="17">
        <f t="shared" si="1"/>
        <v>1.1562913594030968E-2</v>
      </c>
    </row>
    <row r="24" spans="1:9" x14ac:dyDescent="0.25">
      <c r="A24" s="1" t="s">
        <v>39</v>
      </c>
      <c r="B24" s="3"/>
      <c r="F24">
        <v>125</v>
      </c>
      <c r="G24" s="7">
        <f>26+0.77</f>
        <v>26.77</v>
      </c>
      <c r="H24" s="7">
        <f t="shared" si="0"/>
        <v>27.045125018957393</v>
      </c>
      <c r="I24" s="17">
        <f t="shared" si="1"/>
        <v>1.0277363427620211E-2</v>
      </c>
    </row>
    <row r="25" spans="1:9" x14ac:dyDescent="0.25">
      <c r="A25" t="s">
        <v>30</v>
      </c>
      <c r="B25" s="13">
        <v>0.6</v>
      </c>
      <c r="C25" t="s">
        <v>13</v>
      </c>
      <c r="F25">
        <v>130</v>
      </c>
      <c r="G25" s="7">
        <f>25+0.74</f>
        <v>25.74</v>
      </c>
      <c r="H25" s="7">
        <f t="shared" si="0"/>
        <v>26.049843647487936</v>
      </c>
      <c r="I25" s="17">
        <f t="shared" si="1"/>
        <v>1.2037437742344127E-2</v>
      </c>
    </row>
    <row r="26" spans="1:9" x14ac:dyDescent="0.25">
      <c r="A26" t="s">
        <v>31</v>
      </c>
      <c r="B26" s="13">
        <v>0.8</v>
      </c>
      <c r="C26" t="s">
        <v>13</v>
      </c>
      <c r="D26" t="s">
        <v>73</v>
      </c>
      <c r="F26">
        <v>135</v>
      </c>
      <c r="G26" s="7">
        <f>24.1+0.72</f>
        <v>24.82</v>
      </c>
      <c r="H26" s="7">
        <f t="shared" si="0"/>
        <v>25.126724795846613</v>
      </c>
      <c r="I26" s="17">
        <f t="shared" si="1"/>
        <v>1.2357969212192288E-2</v>
      </c>
    </row>
    <row r="27" spans="1:9" x14ac:dyDescent="0.25">
      <c r="A27" t="s">
        <v>33</v>
      </c>
      <c r="B27" s="13">
        <v>1</v>
      </c>
      <c r="C27" t="s">
        <v>13</v>
      </c>
      <c r="D27" t="s">
        <v>74</v>
      </c>
      <c r="F27">
        <v>140</v>
      </c>
      <c r="G27" s="7">
        <f>23.6+0.72</f>
        <v>24.32</v>
      </c>
      <c r="H27" s="7">
        <f t="shared" si="0"/>
        <v>24.268144023885601</v>
      </c>
      <c r="I27" s="17">
        <f t="shared" si="1"/>
        <v>-2.1322358599670946E-3</v>
      </c>
    </row>
    <row r="28" spans="1:9" x14ac:dyDescent="0.25">
      <c r="A28" t="s">
        <v>32</v>
      </c>
      <c r="B28" s="13">
        <v>1.2</v>
      </c>
      <c r="C28" t="s">
        <v>13</v>
      </c>
      <c r="D28" t="s">
        <v>75</v>
      </c>
      <c r="F28">
        <v>145</v>
      </c>
      <c r="G28" s="7">
        <f>22.8+0.7</f>
        <v>23.5</v>
      </c>
      <c r="H28" s="7">
        <f t="shared" si="0"/>
        <v>23.467517784100725</v>
      </c>
      <c r="I28" s="17">
        <f t="shared" si="1"/>
        <v>-1.3822219531606488E-3</v>
      </c>
    </row>
    <row r="29" spans="1:9" x14ac:dyDescent="0.25">
      <c r="A29" t="s">
        <v>29</v>
      </c>
      <c r="B29" s="11">
        <f>IF(B3&lt;100,B17+B25,IF(B3&lt;140,B17+B26,IF(B3&lt;190,B17+B27,B17+B28)))</f>
        <v>5110.8241519629228</v>
      </c>
      <c r="C29" t="s">
        <v>13</v>
      </c>
      <c r="D29" t="s">
        <v>37</v>
      </c>
      <c r="F29">
        <v>150</v>
      </c>
      <c r="G29" s="7">
        <f>22.1+0.68</f>
        <v>22.78</v>
      </c>
      <c r="H29" s="7">
        <f t="shared" si="0"/>
        <v>22.719131335403226</v>
      </c>
      <c r="I29" s="17">
        <f t="shared" si="1"/>
        <v>-2.6720221508680897E-3</v>
      </c>
    </row>
    <row r="30" spans="1:9" x14ac:dyDescent="0.25">
      <c r="A30" t="s">
        <v>41</v>
      </c>
      <c r="B30" s="13">
        <v>5107</v>
      </c>
      <c r="C30" t="s">
        <v>13</v>
      </c>
      <c r="F30">
        <v>155</v>
      </c>
      <c r="G30" s="7">
        <f>21.4+0.66</f>
        <v>22.06</v>
      </c>
      <c r="H30" s="7">
        <f t="shared" si="0"/>
        <v>22.017999744108366</v>
      </c>
      <c r="I30" s="17">
        <f t="shared" si="1"/>
        <v>-1.9039100585509082E-3</v>
      </c>
    </row>
    <row r="31" spans="1:9" x14ac:dyDescent="0.25">
      <c r="A31" t="s">
        <v>42</v>
      </c>
      <c r="B31" s="13">
        <v>5100</v>
      </c>
      <c r="C31" t="s">
        <v>13</v>
      </c>
      <c r="F31">
        <v>160</v>
      </c>
      <c r="G31" s="7">
        <f>20.8+0.64</f>
        <v>21.44</v>
      </c>
      <c r="H31" s="7">
        <f t="shared" si="0"/>
        <v>21.359754774628616</v>
      </c>
      <c r="I31" s="17">
        <f t="shared" si="1"/>
        <v>-3.742781034113117E-3</v>
      </c>
    </row>
    <row r="32" spans="1:9" x14ac:dyDescent="0.25">
      <c r="A32" t="s">
        <v>43</v>
      </c>
      <c r="B32" s="12">
        <f>(B30-B31)/2</f>
        <v>3.5</v>
      </c>
      <c r="C32" t="s">
        <v>13</v>
      </c>
      <c r="D32" t="s">
        <v>44</v>
      </c>
      <c r="F32">
        <v>165</v>
      </c>
      <c r="G32" s="7">
        <f>20.2+0.62</f>
        <v>20.82</v>
      </c>
      <c r="H32" s="7">
        <f t="shared" si="0"/>
        <v>20.740552208829705</v>
      </c>
      <c r="I32" s="17">
        <f t="shared" si="1"/>
        <v>-3.8159361753263951E-3</v>
      </c>
    </row>
    <row r="33" spans="1:10" x14ac:dyDescent="0.25">
      <c r="A33" t="s">
        <v>45</v>
      </c>
      <c r="B33" s="12">
        <f>B29-B30</f>
        <v>3.8241519629227696</v>
      </c>
      <c r="C33" t="s">
        <v>13</v>
      </c>
      <c r="D33" t="s">
        <v>53</v>
      </c>
      <c r="F33">
        <v>170</v>
      </c>
      <c r="G33" s="7">
        <f>19.6+0.6</f>
        <v>20.200000000000003</v>
      </c>
      <c r="H33" s="7">
        <f t="shared" si="0"/>
        <v>20.156995411761564</v>
      </c>
      <c r="I33" s="17">
        <f t="shared" si="1"/>
        <v>-2.1289400118039161E-3</v>
      </c>
    </row>
    <row r="34" spans="1:10" x14ac:dyDescent="0.25">
      <c r="A34" t="s">
        <v>26</v>
      </c>
      <c r="B34" s="13">
        <v>5100</v>
      </c>
      <c r="C34" t="s">
        <v>13</v>
      </c>
      <c r="F34">
        <v>175</v>
      </c>
      <c r="G34" s="7">
        <f>19.1+0.59</f>
        <v>19.690000000000001</v>
      </c>
      <c r="H34" s="7">
        <f t="shared" si="0"/>
        <v>19.606071912796331</v>
      </c>
      <c r="I34" s="17">
        <f t="shared" si="1"/>
        <v>-4.2624726868293692E-3</v>
      </c>
    </row>
    <row r="35" spans="1:10" x14ac:dyDescent="0.25">
      <c r="A35" t="s">
        <v>27</v>
      </c>
      <c r="B35" s="12">
        <f>B29-B34</f>
        <v>10.82415196292277</v>
      </c>
      <c r="C35" t="s">
        <v>13</v>
      </c>
      <c r="D35" t="s">
        <v>46</v>
      </c>
      <c r="F35">
        <v>180</v>
      </c>
      <c r="G35" s="7">
        <f>18.6+0.57</f>
        <v>19.170000000000002</v>
      </c>
      <c r="H35" s="7">
        <f t="shared" si="0"/>
        <v>19.085100485706647</v>
      </c>
      <c r="I35" s="17">
        <f t="shared" si="1"/>
        <v>-4.4287696553653947E-3</v>
      </c>
      <c r="J35" s="6"/>
    </row>
    <row r="36" spans="1:10" x14ac:dyDescent="0.25">
      <c r="A36" s="1" t="s">
        <v>47</v>
      </c>
      <c r="F36">
        <v>185</v>
      </c>
      <c r="G36" s="7">
        <f>18.1+0.56</f>
        <v>18.66</v>
      </c>
      <c r="H36" s="7">
        <f t="shared" si="0"/>
        <v>18.591686752662735</v>
      </c>
      <c r="I36" s="17">
        <f t="shared" si="1"/>
        <v>-3.6609457308287878E-3</v>
      </c>
      <c r="J36" s="6"/>
    </row>
    <row r="37" spans="1:10" x14ac:dyDescent="0.25">
      <c r="A37" t="s">
        <v>25</v>
      </c>
      <c r="B37" s="15">
        <v>685</v>
      </c>
      <c r="C37" t="s">
        <v>24</v>
      </c>
      <c r="D37" t="s">
        <v>48</v>
      </c>
      <c r="F37">
        <v>190</v>
      </c>
      <c r="G37" s="7">
        <f>17.9+0.57</f>
        <v>18.47</v>
      </c>
      <c r="H37" s="7">
        <f t="shared" si="0"/>
        <v>18.123685750883503</v>
      </c>
      <c r="I37" s="17">
        <f t="shared" si="1"/>
        <v>-1.8750094700405843E-2</v>
      </c>
      <c r="J37" s="6"/>
    </row>
    <row r="38" spans="1:10" x14ac:dyDescent="0.25">
      <c r="A38" t="s">
        <v>49</v>
      </c>
      <c r="B38" s="14">
        <f>B37*B32*7.48</f>
        <v>17933.3</v>
      </c>
      <c r="C38" t="s">
        <v>2</v>
      </c>
      <c r="F38">
        <v>195</v>
      </c>
      <c r="G38" s="7">
        <f>17.4+0.55</f>
        <v>17.95</v>
      </c>
      <c r="H38" s="7">
        <f t="shared" si="0"/>
        <v>17.679170219362874</v>
      </c>
      <c r="I38" s="17">
        <f t="shared" si="1"/>
        <v>-1.5088010063349616E-2</v>
      </c>
    </row>
    <row r="39" spans="1:10" x14ac:dyDescent="0.25">
      <c r="A39" t="s">
        <v>50</v>
      </c>
      <c r="B39" s="14">
        <f>B37*B33*7.48</f>
        <v>19594.18982762369</v>
      </c>
      <c r="C39" t="s">
        <v>2</v>
      </c>
      <c r="F39">
        <v>200</v>
      </c>
      <c r="G39" s="7">
        <f>17+0.54</f>
        <v>17.54</v>
      </c>
      <c r="H39" s="7">
        <f t="shared" si="0"/>
        <v>17.256403610382577</v>
      </c>
      <c r="I39" s="17">
        <f t="shared" si="1"/>
        <v>-1.6168551289476744E-2</v>
      </c>
    </row>
    <row r="40" spans="1:10" x14ac:dyDescent="0.25">
      <c r="A40" t="s">
        <v>28</v>
      </c>
      <c r="B40" s="15">
        <v>306</v>
      </c>
      <c r="C40" t="s">
        <v>24</v>
      </c>
      <c r="D40" t="s">
        <v>48</v>
      </c>
    </row>
    <row r="41" spans="1:10" x14ac:dyDescent="0.25">
      <c r="A41" t="s">
        <v>51</v>
      </c>
      <c r="B41" s="14">
        <f>B40*B35*7.48</f>
        <v>24775.18494489467</v>
      </c>
      <c r="C41" t="s">
        <v>2</v>
      </c>
    </row>
    <row r="42" spans="1:10" x14ac:dyDescent="0.25">
      <c r="A42" t="s">
        <v>52</v>
      </c>
      <c r="B42" s="14">
        <f>B38+B39+B41</f>
        <v>62302.674772518367</v>
      </c>
      <c r="C42" t="s">
        <v>2</v>
      </c>
    </row>
    <row r="43" spans="1:10" x14ac:dyDescent="0.25">
      <c r="A43" t="s">
        <v>3</v>
      </c>
      <c r="B43" s="16">
        <f>B42/B3*24*60/10^6</f>
        <v>1.6580271977901766</v>
      </c>
      <c r="C43" t="s">
        <v>4</v>
      </c>
    </row>
    <row r="44" spans="1:10" x14ac:dyDescent="0.25">
      <c r="A44" s="1" t="s">
        <v>55</v>
      </c>
    </row>
    <row r="45" spans="1:10" x14ac:dyDescent="0.25">
      <c r="A45" t="s">
        <v>56</v>
      </c>
      <c r="B45" s="10">
        <f>(B42/10^6)+(470*B19*7.48/10^6)</f>
        <v>0.10949662341336774</v>
      </c>
      <c r="C45" t="s">
        <v>6</v>
      </c>
      <c r="D45" t="s">
        <v>67</v>
      </c>
    </row>
    <row r="46" spans="1:10" x14ac:dyDescent="0.25">
      <c r="A46" t="s">
        <v>57</v>
      </c>
      <c r="B46" s="12">
        <f>B45/$B$3*24*60</f>
        <v>2.9139740845546025</v>
      </c>
      <c r="C46" t="s">
        <v>4</v>
      </c>
    </row>
    <row r="47" spans="1:10" x14ac:dyDescent="0.25">
      <c r="A47" t="s">
        <v>58</v>
      </c>
      <c r="B47" s="10">
        <f>(B42/10^6)+((470+7410)*B19*7.48/10^6)</f>
        <v>0.85355440943186522</v>
      </c>
      <c r="C47" t="s">
        <v>6</v>
      </c>
      <c r="D47" t="s">
        <v>64</v>
      </c>
    </row>
    <row r="48" spans="1:10" x14ac:dyDescent="0.25">
      <c r="A48" t="s">
        <v>59</v>
      </c>
      <c r="B48" s="12">
        <f>B47/$B$3*24*60</f>
        <v>22.715179256734174</v>
      </c>
      <c r="C48" t="s">
        <v>4</v>
      </c>
    </row>
    <row r="49" spans="1:4" x14ac:dyDescent="0.25">
      <c r="A49" t="s">
        <v>60</v>
      </c>
      <c r="B49" s="10">
        <f>(B42/10^6)+((470+7410+6945)*B19*7.48/10^6)</f>
        <v>1.550920310092927</v>
      </c>
      <c r="C49" t="s">
        <v>6</v>
      </c>
      <c r="D49" t="s">
        <v>65</v>
      </c>
    </row>
    <row r="50" spans="1:4" x14ac:dyDescent="0.25">
      <c r="A50" t="s">
        <v>61</v>
      </c>
      <c r="B50" s="12">
        <f>B49/$B$3*24*60</f>
        <v>41.27379867924256</v>
      </c>
      <c r="C50" t="s">
        <v>4</v>
      </c>
    </row>
    <row r="51" spans="1:4" x14ac:dyDescent="0.25">
      <c r="A51" t="s">
        <v>62</v>
      </c>
      <c r="B51" s="10">
        <f>(B42/10^6)+((470+7410+6945+6945)*B19*7.48/10^6)</f>
        <v>2.2482862107539878</v>
      </c>
      <c r="C51" t="s">
        <v>6</v>
      </c>
      <c r="D51" t="s">
        <v>66</v>
      </c>
    </row>
    <row r="52" spans="1:4" x14ac:dyDescent="0.25">
      <c r="A52" t="s">
        <v>63</v>
      </c>
      <c r="B52" s="12">
        <f>B51/$B$3*24*60</f>
        <v>59.832418101750925</v>
      </c>
      <c r="C52" t="s">
        <v>4</v>
      </c>
      <c r="D52" t="s">
        <v>70</v>
      </c>
    </row>
    <row r="53" spans="1:4" x14ac:dyDescent="0.25">
      <c r="A53" t="s">
        <v>68</v>
      </c>
      <c r="B53" s="10">
        <f>(B42/10^6)+((470+1760)*B19*7.48/10^6)</f>
        <v>0.28622289917484622</v>
      </c>
      <c r="C53" t="s">
        <v>6</v>
      </c>
    </row>
    <row r="54" spans="1:4" x14ac:dyDescent="0.25">
      <c r="A54" t="s">
        <v>69</v>
      </c>
      <c r="B54" s="12">
        <f>B53/$B$3*24*60</f>
        <v>7.61709434137458</v>
      </c>
      <c r="C54" t="s">
        <v>4</v>
      </c>
    </row>
    <row r="55" spans="1:4" x14ac:dyDescent="0.25">
      <c r="A55" t="s">
        <v>78</v>
      </c>
      <c r="B55" s="10">
        <f>(B42/10^6)+((470+7410+(6945/2))*B19*7.48/10^6)</f>
        <v>1.2022373597623961</v>
      </c>
      <c r="C55" t="s">
        <v>6</v>
      </c>
      <c r="D55" t="s">
        <v>79</v>
      </c>
    </row>
    <row r="56" spans="1:4" x14ac:dyDescent="0.25">
      <c r="A56" t="s">
        <v>80</v>
      </c>
      <c r="B56" s="12">
        <f>B55/$B$3*24*60</f>
        <v>31.994488967988367</v>
      </c>
      <c r="C56" t="s">
        <v>4</v>
      </c>
    </row>
  </sheetData>
  <conditionalFormatting sqref="B33">
    <cfRule type="cellIs" dxfId="2" priority="3" operator="greaterThan">
      <formula>6</formula>
    </cfRule>
  </conditionalFormatting>
  <conditionalFormatting sqref="B35">
    <cfRule type="cellIs" dxfId="1" priority="2" operator="greaterThan">
      <formula>13</formula>
    </cfRule>
  </conditionalFormatting>
  <conditionalFormatting sqref="B32">
    <cfRule type="cellIs" dxfId="0" priority="1" operator="greaterThan">
      <formula>6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Freedman, Dan</dc:creator>
  <cp:lastModifiedBy>Newhart, Kathryn</cp:lastModifiedBy>
  <dcterms:created xsi:type="dcterms:W3CDTF">2019-04-22T21:48:49Z</dcterms:created>
  <dcterms:modified xsi:type="dcterms:W3CDTF">2019-05-29T16:19:27Z</dcterms:modified>
</cp:coreProperties>
</file>