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GitHub\MWRD\"/>
    </mc:Choice>
  </mc:AlternateContent>
  <bookViews>
    <workbookView xWindow="0" yWindow="0" windowWidth="28800" windowHeight="12330" activeTab="1"/>
  </bookViews>
  <sheets>
    <sheet name="Sheet1" sheetId="1" r:id="rId1"/>
    <sheet name="old do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8" i="2" s="1"/>
  <c r="B21" i="2"/>
  <c r="B4" i="2"/>
  <c r="B9" i="2" s="1"/>
  <c r="B11" i="2" l="1"/>
  <c r="B10" i="2"/>
  <c r="H4" i="1"/>
  <c r="H5" i="1"/>
  <c r="H6" i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3" i="1"/>
  <c r="G3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29" i="2" l="1"/>
  <c r="B17" i="2"/>
  <c r="B19" i="2" s="1"/>
  <c r="B22" i="2" s="1"/>
  <c r="B23" i="2" s="1"/>
  <c r="I23" i="1"/>
  <c r="I15" i="1"/>
  <c r="I11" i="1"/>
  <c r="I6" i="1"/>
  <c r="I37" i="1"/>
  <c r="I33" i="1"/>
  <c r="I29" i="1"/>
  <c r="I25" i="1"/>
  <c r="I21" i="1"/>
  <c r="I17" i="1"/>
  <c r="I13" i="1"/>
  <c r="I9" i="1"/>
  <c r="I5" i="1"/>
  <c r="I27" i="1"/>
  <c r="I19" i="1"/>
  <c r="I7" i="1"/>
  <c r="I3" i="1"/>
  <c r="I36" i="1"/>
  <c r="I32" i="1"/>
  <c r="I28" i="1"/>
  <c r="I24" i="1"/>
  <c r="I20" i="1"/>
  <c r="I16" i="1"/>
  <c r="I12" i="1"/>
  <c r="I8" i="1"/>
  <c r="I4" i="1"/>
  <c r="B32" i="1"/>
  <c r="B38" i="1" s="1"/>
  <c r="B4" i="1"/>
  <c r="B35" i="2" l="1"/>
  <c r="B41" i="2" s="1"/>
  <c r="B33" i="2"/>
  <c r="B39" i="2" s="1"/>
  <c r="B21" i="1"/>
  <c r="B9" i="1"/>
  <c r="B10" i="1" s="1"/>
  <c r="B42" i="2" l="1"/>
  <c r="B43" i="2" s="1"/>
  <c r="B11" i="1"/>
  <c r="B49" i="2" l="1"/>
  <c r="B50" i="2" s="1"/>
  <c r="B55" i="2"/>
  <c r="B56" i="2" s="1"/>
  <c r="B45" i="2"/>
  <c r="B46" i="2" s="1"/>
  <c r="B47" i="2"/>
  <c r="B48" i="2" s="1"/>
  <c r="B51" i="2"/>
  <c r="B52" i="2" s="1"/>
  <c r="B53" i="2"/>
  <c r="B54" i="2" s="1"/>
  <c r="B17" i="1"/>
  <c r="B29" i="1" s="1"/>
  <c r="B19" i="1" l="1"/>
  <c r="B22" i="1" s="1"/>
  <c r="B23" i="1" s="1"/>
  <c r="B35" i="1"/>
  <c r="B41" i="1" s="1"/>
  <c r="B33" i="1"/>
  <c r="B39" i="1" l="1"/>
  <c r="B42" i="1" s="1"/>
  <c r="B55" i="1" s="1"/>
  <c r="B56" i="1" s="1"/>
  <c r="B43" i="1" l="1"/>
  <c r="B49" i="1"/>
  <c r="B50" i="1" s="1"/>
  <c r="B53" i="1"/>
  <c r="B54" i="1" s="1"/>
  <c r="B45" i="1"/>
  <c r="B46" i="1" s="1"/>
  <c r="B51" i="1"/>
  <c r="B52" i="1" s="1"/>
  <c r="B47" i="1"/>
  <c r="B48" i="1" s="1"/>
</calcChain>
</file>

<file path=xl/comments1.xml><?xml version="1.0" encoding="utf-8"?>
<comments xmlns="http://schemas.openxmlformats.org/spreadsheetml/2006/main">
  <authors>
    <author>Freedman, Dan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Freedman, Dan:</t>
        </r>
        <r>
          <rPr>
            <sz val="9"/>
            <color indexed="81"/>
            <rFont val="Tahoma"/>
            <family val="2"/>
          </rPr>
          <t xml:space="preserve">
HRT from applied dose</t>
        </r>
      </text>
    </comment>
  </commentList>
</comments>
</file>

<file path=xl/sharedStrings.xml><?xml version="1.0" encoding="utf-8"?>
<sst xmlns="http://schemas.openxmlformats.org/spreadsheetml/2006/main" count="263" uniqueCount="90">
  <si>
    <t>Flow</t>
  </si>
  <si>
    <t>MGD</t>
  </si>
  <si>
    <t>gal</t>
  </si>
  <si>
    <t>Influent Conduit HRT</t>
  </si>
  <si>
    <t>min</t>
  </si>
  <si>
    <t>Contact Basin Vol</t>
  </si>
  <si>
    <t>Mgal</t>
  </si>
  <si>
    <t>Contact Basin HRT</t>
  </si>
  <si>
    <t>Parameter</t>
  </si>
  <si>
    <t>Value</t>
  </si>
  <si>
    <t>Units</t>
  </si>
  <si>
    <t>Notes</t>
  </si>
  <si>
    <t>Banana Weir Elev.</t>
  </si>
  <si>
    <t>ft</t>
  </si>
  <si>
    <t>Contact basin effluent weir</t>
  </si>
  <si>
    <t>Banana Weir Length</t>
  </si>
  <si>
    <t>Weir Coefficient</t>
  </si>
  <si>
    <t>Freefall Discharge, Q1=C*L*H^1.5</t>
  </si>
  <si>
    <t>cfs</t>
  </si>
  <si>
    <t>in</t>
  </si>
  <si>
    <t>Water Surface Elev.</t>
  </si>
  <si>
    <t>Weir Head</t>
  </si>
  <si>
    <t>CCB Floor Elev.</t>
  </si>
  <si>
    <t>CCB Surface Area</t>
  </si>
  <si>
    <t>sf</t>
  </si>
  <si>
    <t>Influent Conduit (Sloped Section) SA</t>
  </si>
  <si>
    <t>Influent Conduit (Horiz. Curve Section) Floor Elev.</t>
  </si>
  <si>
    <t>Influent Conduit (Horiz. Curve Section) Depth</t>
  </si>
  <si>
    <t>Influent Conduit (Horiz. Curve Section) SA</t>
  </si>
  <si>
    <t>Corrected WS EL</t>
  </si>
  <si>
    <t>WS EL Correction @ Low Flows</t>
  </si>
  <si>
    <t>WS EL Correction @ MMF (106 MGD)</t>
  </si>
  <si>
    <t>WS EL Correction @ PIF (200 MGD)</t>
  </si>
  <si>
    <t>WS EL Correction @ PHF (144 MGD)</t>
  </si>
  <si>
    <t>Determine Contact Basin Average Depth</t>
  </si>
  <si>
    <t>Determine Contact Basin HRT</t>
  </si>
  <si>
    <t>Determined from Drawing C-2 (PAR 302)</t>
  </si>
  <si>
    <t>Adjust the correction based on the flow input</t>
  </si>
  <si>
    <t>North Disinfection HRT Calculation</t>
  </si>
  <si>
    <t>Determine Influent Conduit Average Depth</t>
  </si>
  <si>
    <t>CCB Average Depth</t>
  </si>
  <si>
    <t>Influent Conduit (Sloped Section) Upstream Floor Elev.</t>
  </si>
  <si>
    <t>Influent Conduit (Sloped Section) Downstream Floor Elev.</t>
  </si>
  <si>
    <t>Influent Conduit (Sloped Section) Average Depth, Area 1</t>
  </si>
  <si>
    <t>If WS EL is greater than 5107, this depth is fixed at 3.5 ft</t>
  </si>
  <si>
    <t>Influent Conduit (Sloped Section) Average Depth, Area 2</t>
  </si>
  <si>
    <t>Max depth = 13 ft (fully submerged)</t>
  </si>
  <si>
    <t>Determine Influent Conduit HRT</t>
  </si>
  <si>
    <t>Determined from Drawing C-4 (PAR 302)</t>
  </si>
  <si>
    <t>Influent Conduit Vol, Area 1</t>
  </si>
  <si>
    <t>Influent Conduit Vol, Area 2</t>
  </si>
  <si>
    <t>Influent Conduit (Horiz. Curve Section) Vol</t>
  </si>
  <si>
    <t>Influent Conduit Vol, Total</t>
  </si>
  <si>
    <t>Additional depth above 5107, total max depth = 9.5 ft (fully submerged)</t>
  </si>
  <si>
    <t>Determine Water Surface Elevation at Weir</t>
  </si>
  <si>
    <t>Determine HRT from Applied Dose to Sample Locations</t>
  </si>
  <si>
    <t>Volume to 1-min grab location 012_712_1011</t>
  </si>
  <si>
    <t>HRT to 1-min grab location</t>
  </si>
  <si>
    <t>Volume to 10-min grab location 012_712_1012</t>
  </si>
  <si>
    <t>HRT to 10-min grab location</t>
  </si>
  <si>
    <t>Volume to 20-min grab location 012_712_1013</t>
  </si>
  <si>
    <t>HRT to 20-min grab location</t>
  </si>
  <si>
    <t>Volume to 30-min grab location 012_712_1021</t>
  </si>
  <si>
    <t>HRT to 30-min grab location</t>
  </si>
  <si>
    <t>Influent conduit plus static mixer plus first pass</t>
  </si>
  <si>
    <t>Influent conduit plus static mixer plus first and second passes</t>
  </si>
  <si>
    <t>Influent conduit plus total contact basin</t>
  </si>
  <si>
    <t>Influent conduit plus static mixer location</t>
  </si>
  <si>
    <t>Volume to online analyzer (AI_K826) location</t>
  </si>
  <si>
    <t>HRT to online analyzer location</t>
  </si>
  <si>
    <t>Actual sample location is downstream of weir, consider adding 1 min</t>
  </si>
  <si>
    <t>Flow (MGD)</t>
  </si>
  <si>
    <t>HRT (min)</t>
  </si>
  <si>
    <t>Apply to flows greater than or equal to 100 MGD</t>
  </si>
  <si>
    <t>Apply to flows greater than or equal to 140 MGD</t>
  </si>
  <si>
    <t>Apply to flows greater than or equal to 190 MGD</t>
  </si>
  <si>
    <t>Predicted HRT</t>
  </si>
  <si>
    <t>% Diff</t>
  </si>
  <si>
    <t>Volume to 1/2-basin location</t>
  </si>
  <si>
    <t>Influent conduit plus static mixer plus first pass and half of second pass</t>
  </si>
  <si>
    <t>HRT to 1/2-basin location</t>
  </si>
  <si>
    <t>HRT 1 min</t>
  </si>
  <si>
    <t>HRT 1/2 basin</t>
  </si>
  <si>
    <t>HRT 10</t>
  </si>
  <si>
    <t>HRT 20</t>
  </si>
  <si>
    <t>HRT 30</t>
  </si>
  <si>
    <t>North Disinfection HRT Calculation - Old Dosing Point (Initial Pilot Dosing Point)</t>
  </si>
  <si>
    <t>HRT for new dosing location (original sodium hypo dosing location)</t>
  </si>
  <si>
    <t>1-min</t>
  </si>
  <si>
    <t>half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</si>
</sst>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2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right"/>
    </xf>
    <xf numFmtId="165" fontId="0" fillId="0" borderId="0" xfId="1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HRT 1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319421047515752"/>
                  <c:y val="-9.2755526804801699E-4"/>
                </c:manualLayout>
              </c:layout>
              <c:numFmt formatCode="#,##0.00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Sheet1!$J$3:$J$39</c:f>
              <c:numCache>
                <c:formatCode>General</c:formatCode>
                <c:ptCount val="37"/>
                <c:pt idx="0">
                  <c:v>7.7219048872160121</c:v>
                </c:pt>
                <c:pt idx="2">
                  <c:v>5.1835021979289069</c:v>
                </c:pt>
                <c:pt idx="4">
                  <c:v>3.9114354825318367</c:v>
                </c:pt>
                <c:pt idx="6">
                  <c:v>3.1466542772850512</c:v>
                </c:pt>
                <c:pt idx="8">
                  <c:v>2.6358520955689295</c:v>
                </c:pt>
                <c:pt idx="16">
                  <c:v>1.6476086013510338</c:v>
                </c:pt>
                <c:pt idx="26">
                  <c:v>1.1544192702610241</c:v>
                </c:pt>
                <c:pt idx="36">
                  <c:v>0.90614892573386385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A-429B-A66B-EF6043E15789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HRT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935961876493177"/>
                  <c:y val="-5.2210766719290105E-2"/>
                </c:manualLayout>
              </c:layout>
              <c:numFmt formatCode="General" sourceLinked="0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Sheet1!$K$3:$K$39</c:f>
              <c:numCache>
                <c:formatCode>General</c:formatCode>
                <c:ptCount val="37"/>
                <c:pt idx="0">
                  <c:v>60.473173413997998</c:v>
                </c:pt>
                <c:pt idx="2">
                  <c:v>40.531398631119707</c:v>
                </c:pt>
                <c:pt idx="4">
                  <c:v>30.543113085023172</c:v>
                </c:pt>
                <c:pt idx="6">
                  <c:v>24.540783939177842</c:v>
                </c:pt>
                <c:pt idx="8">
                  <c:v>20.533474771328713</c:v>
                </c:pt>
                <c:pt idx="16">
                  <c:v>12.613142369550129</c:v>
                </c:pt>
                <c:pt idx="26">
                  <c:v>8.6766838228209782</c:v>
                </c:pt>
                <c:pt idx="36">
                  <c:v>6.6982800468891908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9-4E59-811A-B676D1F8B4BF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HRT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756352821764319"/>
                  <c:y val="-9.0273011703189479E-2"/>
                </c:manualLayout>
              </c:layout>
              <c:numFmt formatCode="General" sourceLinked="0"/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Sheet1!$L$3:$L$39</c:f>
              <c:numCache>
                <c:formatCode>General</c:formatCode>
                <c:ptCount val="37"/>
                <c:pt idx="0">
                  <c:v>109.91413966480785</c:v>
                </c:pt>
                <c:pt idx="2">
                  <c:v>73.661107231458459</c:v>
                </c:pt>
                <c:pt idx="4">
                  <c:v>55.503572052540349</c:v>
                </c:pt>
                <c:pt idx="6">
                  <c:v>44.592367002854694</c:v>
                </c:pt>
                <c:pt idx="8">
                  <c:v>37.307967279176459</c:v>
                </c:pt>
                <c:pt idx="16">
                  <c:v>22.890555597639558</c:v>
                </c:pt>
                <c:pt idx="26">
                  <c:v>15.726903433823528</c:v>
                </c:pt>
                <c:pt idx="36">
                  <c:v>12.126937352749342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9-4E59-811A-B676D1F8B4BF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HRT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897399105320629"/>
                  <c:y val="-0.14255859210505095"/>
                </c:manualLayout>
              </c:layout>
              <c:numFmt formatCode="General" sourceLinked="0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Sheet1!$M$3:$M$39</c:f>
              <c:numCache>
                <c:formatCode>General</c:formatCode>
                <c:ptCount val="37"/>
                <c:pt idx="0">
                  <c:v>159.35510591561763</c:v>
                </c:pt>
                <c:pt idx="2">
                  <c:v>106.79081583179722</c:v>
                </c:pt>
                <c:pt idx="4">
                  <c:v>80.464031020057547</c:v>
                </c:pt>
                <c:pt idx="6">
                  <c:v>64.643950066531545</c:v>
                </c:pt>
                <c:pt idx="8">
                  <c:v>54.082459787024185</c:v>
                </c:pt>
                <c:pt idx="16">
                  <c:v>33.167968825728991</c:v>
                </c:pt>
                <c:pt idx="26">
                  <c:v>22.77712304482607</c:v>
                </c:pt>
                <c:pt idx="36">
                  <c:v>17.5555946586095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9-4E59-811A-B676D1F8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50687"/>
        <c:axId val="10320569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HRT (min)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7.1575622553975704E-2"/>
                        <c:y val="-6.96351869804480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Sheet1!$F$3:$F$39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Sheet1!$G$3:$G$39</c15:sqref>
                        </c15:formulaRef>
                      </c:ext>
                    </c:extLst>
                    <c:numCache>
                      <c:formatCode>0.0</c:formatCode>
                      <c:ptCount val="37"/>
                      <c:pt idx="0">
                        <c:v>159.4</c:v>
                      </c:pt>
                      <c:pt idx="1">
                        <c:v>127.8</c:v>
                      </c:pt>
                      <c:pt idx="2">
                        <c:v>106.7</c:v>
                      </c:pt>
                      <c:pt idx="3">
                        <c:v>91.7</c:v>
                      </c:pt>
                      <c:pt idx="4">
                        <c:v>80.400000000000006</c:v>
                      </c:pt>
                      <c:pt idx="5">
                        <c:v>71.7</c:v>
                      </c:pt>
                      <c:pt idx="6">
                        <c:v>64.7</c:v>
                      </c:pt>
                      <c:pt idx="7">
                        <c:v>58.9</c:v>
                      </c:pt>
                      <c:pt idx="8">
                        <c:v>54.1</c:v>
                      </c:pt>
                      <c:pt idx="9">
                        <c:v>50</c:v>
                      </c:pt>
                      <c:pt idx="10">
                        <c:v>46.5</c:v>
                      </c:pt>
                      <c:pt idx="11">
                        <c:v>43.5</c:v>
                      </c:pt>
                      <c:pt idx="12">
                        <c:v>40.800000000000004</c:v>
                      </c:pt>
                      <c:pt idx="13">
                        <c:v>38.5</c:v>
                      </c:pt>
                      <c:pt idx="14">
                        <c:v>36.42</c:v>
                      </c:pt>
                      <c:pt idx="15">
                        <c:v>34.57</c:v>
                      </c:pt>
                      <c:pt idx="16">
                        <c:v>33.150000000000006</c:v>
                      </c:pt>
                      <c:pt idx="17">
                        <c:v>31.61</c:v>
                      </c:pt>
                      <c:pt idx="18">
                        <c:v>30.27</c:v>
                      </c:pt>
                      <c:pt idx="19">
                        <c:v>28.93</c:v>
                      </c:pt>
                      <c:pt idx="20">
                        <c:v>27.8</c:v>
                      </c:pt>
                      <c:pt idx="21">
                        <c:v>26.77</c:v>
                      </c:pt>
                      <c:pt idx="22">
                        <c:v>25.74</c:v>
                      </c:pt>
                      <c:pt idx="23">
                        <c:v>24.82</c:v>
                      </c:pt>
                      <c:pt idx="24">
                        <c:v>24.32</c:v>
                      </c:pt>
                      <c:pt idx="25">
                        <c:v>23.5</c:v>
                      </c:pt>
                      <c:pt idx="26">
                        <c:v>22.78</c:v>
                      </c:pt>
                      <c:pt idx="27">
                        <c:v>22.06</c:v>
                      </c:pt>
                      <c:pt idx="28">
                        <c:v>21.44</c:v>
                      </c:pt>
                      <c:pt idx="29">
                        <c:v>20.82</c:v>
                      </c:pt>
                      <c:pt idx="30">
                        <c:v>20.200000000000003</c:v>
                      </c:pt>
                      <c:pt idx="31">
                        <c:v>19.690000000000001</c:v>
                      </c:pt>
                      <c:pt idx="32">
                        <c:v>19.170000000000002</c:v>
                      </c:pt>
                      <c:pt idx="33">
                        <c:v>18.66</c:v>
                      </c:pt>
                      <c:pt idx="34">
                        <c:v>18.47</c:v>
                      </c:pt>
                      <c:pt idx="35">
                        <c:v>17.95</c:v>
                      </c:pt>
                      <c:pt idx="36">
                        <c:v>17.54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7F-4AAD-895B-C1EE499DD8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HRT 1/2 basin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85.193656539402923</c:v>
                      </c:pt>
                      <c:pt idx="2">
                        <c:v>57.096252931289087</c:v>
                      </c:pt>
                      <c:pt idx="4">
                        <c:v>43.02334256878175</c:v>
                      </c:pt>
                      <c:pt idx="6">
                        <c:v>34.566575471016279</c:v>
                      </c:pt>
                      <c:pt idx="8">
                        <c:v>28.920721025252586</c:v>
                      </c:pt>
                      <c:pt idx="16">
                        <c:v>17.751848983594847</c:v>
                      </c:pt>
                      <c:pt idx="26">
                        <c:v>12.201793628322251</c:v>
                      </c:pt>
                      <c:pt idx="36">
                        <c:v>9.412608699819268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B0-49C3-99DE-B30D4450E66F}"/>
                  </c:ext>
                </c:extLst>
              </c15:ser>
            </c15:filteredScatterSeries>
          </c:ext>
        </c:extLst>
      </c:scatterChart>
      <c:valAx>
        <c:axId val="10320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(MGD)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6927"/>
        <c:crosses val="autoZero"/>
        <c:crossBetween val="midCat"/>
      </c:valAx>
      <c:valAx>
        <c:axId val="103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861001749781278"/>
                  <c:y val="-2.229950422863808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dose'!$L$2:$L$9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'old dose'!$M$2:$M$9</c:f>
              <c:numCache>
                <c:formatCode>General</c:formatCode>
                <c:ptCount val="8"/>
                <c:pt idx="0">
                  <c:v>7.7219048872160121</c:v>
                </c:pt>
                <c:pt idx="1">
                  <c:v>3.9114354825318367</c:v>
                </c:pt>
                <c:pt idx="2">
                  <c:v>2.6358520955689295</c:v>
                </c:pt>
                <c:pt idx="3">
                  <c:v>1.9957861558129295</c:v>
                </c:pt>
                <c:pt idx="4">
                  <c:v>1.6369343421509952</c:v>
                </c:pt>
                <c:pt idx="5">
                  <c:v>1.3749381839856922</c:v>
                </c:pt>
                <c:pt idx="6">
                  <c:v>1.1872939278529473</c:v>
                </c:pt>
                <c:pt idx="7">
                  <c:v>1.0462022636078059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F-4C28-8BEE-AA1245750B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583223972003499"/>
                  <c:y val="-6.074839603382901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dose'!$L$2:$L$9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'old dose'!$R$2:$R$9</c:f>
              <c:numCache>
                <c:formatCode>General</c:formatCode>
                <c:ptCount val="8"/>
                <c:pt idx="0">
                  <c:v>85.193656539402923</c:v>
                </c:pt>
                <c:pt idx="1">
                  <c:v>43.02334256878175</c:v>
                </c:pt>
                <c:pt idx="2">
                  <c:v>28.920721025252586</c:v>
                </c:pt>
                <c:pt idx="3">
                  <c:v>21.850195907909718</c:v>
                </c:pt>
                <c:pt idx="4">
                  <c:v>17.741174724394803</c:v>
                </c:pt>
                <c:pt idx="5">
                  <c:v>14.875779482564946</c:v>
                </c:pt>
                <c:pt idx="6">
                  <c:v>12.824809258743525</c:v>
                </c:pt>
                <c:pt idx="7">
                  <c:v>11.283552979700852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F-4C28-8BEE-AA124575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7056"/>
        <c:axId val="92351648"/>
      </c:scatterChart>
      <c:valAx>
        <c:axId val="923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1648"/>
        <c:crosses val="autoZero"/>
        <c:crossBetween val="midCat"/>
      </c:valAx>
      <c:valAx>
        <c:axId val="923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9203</xdr:colOff>
      <xdr:row>1</xdr:row>
      <xdr:rowOff>171289</xdr:rowOff>
    </xdr:from>
    <xdr:to>
      <xdr:col>27</xdr:col>
      <xdr:colOff>423822</xdr:colOff>
      <xdr:row>25</xdr:row>
      <xdr:rowOff>63713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11</xdr:row>
      <xdr:rowOff>152400</xdr:rowOff>
    </xdr:from>
    <xdr:to>
      <xdr:col>18</xdr:col>
      <xdr:colOff>552450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opLeftCell="E1" zoomScale="85" zoomScaleNormal="85" workbookViewId="0">
      <selection activeCell="Z36" sqref="Z36"/>
    </sheetView>
  </sheetViews>
  <sheetFormatPr defaultRowHeight="15" x14ac:dyDescent="0.25"/>
  <cols>
    <col min="1" max="1" width="53.42578125" bestFit="1" customWidth="1"/>
    <col min="2" max="2" width="10.5703125" style="2" bestFit="1" customWidth="1"/>
    <col min="4" max="4" width="66.28515625" bestFit="1" customWidth="1"/>
    <col min="6" max="6" width="11.42578125" bestFit="1" customWidth="1"/>
    <col min="7" max="7" width="9.7109375" bestFit="1" customWidth="1"/>
    <col min="8" max="8" width="13.85546875" bestFit="1" customWidth="1"/>
    <col min="10" max="10" width="12.28515625" bestFit="1" customWidth="1"/>
    <col min="11" max="13" width="12.28515625" customWidth="1"/>
    <col min="14" max="14" width="13.85546875" bestFit="1" customWidth="1"/>
  </cols>
  <sheetData>
    <row r="1" spans="1:14" x14ac:dyDescent="0.25">
      <c r="A1" s="1" t="s">
        <v>38</v>
      </c>
    </row>
    <row r="2" spans="1:14" x14ac:dyDescent="0.25">
      <c r="A2" s="4" t="s">
        <v>8</v>
      </c>
      <c r="B2" s="5" t="s">
        <v>9</v>
      </c>
      <c r="C2" s="4" t="s">
        <v>10</v>
      </c>
      <c r="D2" s="4" t="s">
        <v>11</v>
      </c>
      <c r="F2" t="s">
        <v>71</v>
      </c>
      <c r="G2" t="s">
        <v>72</v>
      </c>
      <c r="H2" t="s">
        <v>76</v>
      </c>
      <c r="I2" t="s">
        <v>77</v>
      </c>
      <c r="J2" s="18" t="s">
        <v>81</v>
      </c>
      <c r="K2" s="19" t="s">
        <v>83</v>
      </c>
      <c r="L2" s="20" t="s">
        <v>84</v>
      </c>
      <c r="M2" s="21" t="s">
        <v>85</v>
      </c>
      <c r="N2" t="s">
        <v>82</v>
      </c>
    </row>
    <row r="3" spans="1:14" x14ac:dyDescent="0.25">
      <c r="A3" t="s">
        <v>0</v>
      </c>
      <c r="B3" s="8">
        <v>20</v>
      </c>
      <c r="C3" t="s">
        <v>1</v>
      </c>
      <c r="F3">
        <v>20</v>
      </c>
      <c r="G3" s="7">
        <f>155+4.4</f>
        <v>159.4</v>
      </c>
      <c r="H3" s="7">
        <f>2733.6*F3^-0.956</f>
        <v>155.93740040861834</v>
      </c>
      <c r="I3" s="17">
        <f>(H3-G3)/G3</f>
        <v>-2.1722707599634006E-2</v>
      </c>
      <c r="J3">
        <v>7.7219048872160121</v>
      </c>
      <c r="K3">
        <v>60.473173413997998</v>
      </c>
      <c r="L3">
        <v>109.91413966480785</v>
      </c>
      <c r="M3">
        <v>159.35510591561763</v>
      </c>
      <c r="N3">
        <v>85.193656539402923</v>
      </c>
    </row>
    <row r="4" spans="1:14" x14ac:dyDescent="0.25">
      <c r="B4" s="9">
        <f>B3*1.547</f>
        <v>30.939999999999998</v>
      </c>
      <c r="C4" t="s">
        <v>18</v>
      </c>
      <c r="F4">
        <v>25</v>
      </c>
      <c r="G4" s="7">
        <f>124.3+3.5</f>
        <v>127.8</v>
      </c>
      <c r="H4" s="7">
        <f t="shared" ref="H4:H39" si="0">2733.6*F4^-0.956</f>
        <v>125.98078712969404</v>
      </c>
      <c r="I4" s="17">
        <f t="shared" ref="I4:I39" si="1">(H4-G4)/G4</f>
        <v>-1.4234842490656971E-2</v>
      </c>
    </row>
    <row r="5" spans="1:14" x14ac:dyDescent="0.25">
      <c r="A5" s="1" t="s">
        <v>54</v>
      </c>
      <c r="B5" s="3"/>
      <c r="F5">
        <v>30</v>
      </c>
      <c r="G5" s="7">
        <f>103.8+2.9</f>
        <v>106.7</v>
      </c>
      <c r="H5" s="7">
        <f t="shared" si="0"/>
        <v>105.82957359341994</v>
      </c>
      <c r="I5" s="17">
        <f t="shared" si="1"/>
        <v>-8.1576982809753121E-3</v>
      </c>
      <c r="J5">
        <v>5.1835021979289069</v>
      </c>
      <c r="K5">
        <v>40.531398631119707</v>
      </c>
      <c r="L5">
        <v>73.661107231458459</v>
      </c>
      <c r="M5">
        <v>106.79081583179722</v>
      </c>
      <c r="N5">
        <v>57.096252931289087</v>
      </c>
    </row>
    <row r="6" spans="1:14" x14ac:dyDescent="0.25">
      <c r="A6" t="s">
        <v>12</v>
      </c>
      <c r="B6" s="8">
        <v>5109.8</v>
      </c>
      <c r="C6" t="s">
        <v>13</v>
      </c>
      <c r="D6" t="s">
        <v>14</v>
      </c>
      <c r="F6">
        <v>35</v>
      </c>
      <c r="G6" s="7">
        <f>89.2+2.5</f>
        <v>91.7</v>
      </c>
      <c r="H6" s="7">
        <f t="shared" si="0"/>
        <v>91.328413914305031</v>
      </c>
      <c r="I6" s="17">
        <f t="shared" si="1"/>
        <v>-4.0521928647216108E-3</v>
      </c>
    </row>
    <row r="7" spans="1:14" x14ac:dyDescent="0.25">
      <c r="A7" t="s">
        <v>15</v>
      </c>
      <c r="B7" s="8">
        <v>91</v>
      </c>
      <c r="C7" t="s">
        <v>13</v>
      </c>
      <c r="F7">
        <v>40</v>
      </c>
      <c r="G7" s="7">
        <f>78.2+2.2</f>
        <v>80.400000000000006</v>
      </c>
      <c r="H7" s="7">
        <f t="shared" si="0"/>
        <v>80.383259768251548</v>
      </c>
      <c r="I7" s="17">
        <f t="shared" si="1"/>
        <v>-2.0821183766737923E-4</v>
      </c>
      <c r="J7">
        <v>3.9114354825318367</v>
      </c>
      <c r="K7">
        <v>30.543113085023172</v>
      </c>
      <c r="L7">
        <v>55.503572052540349</v>
      </c>
      <c r="M7">
        <v>80.464031020057547</v>
      </c>
      <c r="N7">
        <v>43.02334256878175</v>
      </c>
    </row>
    <row r="8" spans="1:14" x14ac:dyDescent="0.25">
      <c r="A8" t="s">
        <v>16</v>
      </c>
      <c r="B8" s="8">
        <v>3.33</v>
      </c>
      <c r="F8">
        <v>45</v>
      </c>
      <c r="G8" s="7">
        <f>69.7+2</f>
        <v>71.7</v>
      </c>
      <c r="H8" s="7">
        <f t="shared" si="0"/>
        <v>71.82304320590751</v>
      </c>
      <c r="I8" s="17">
        <f t="shared" si="1"/>
        <v>1.7160837644003774E-3</v>
      </c>
    </row>
    <row r="9" spans="1:14" x14ac:dyDescent="0.25">
      <c r="A9" t="s">
        <v>21</v>
      </c>
      <c r="B9" s="10">
        <f>(B4/B8/B7)^(2/3)</f>
        <v>0.21845221655243632</v>
      </c>
      <c r="C9" t="s">
        <v>13</v>
      </c>
      <c r="D9" t="s">
        <v>17</v>
      </c>
      <c r="F9">
        <v>50</v>
      </c>
      <c r="G9" s="7">
        <f>62.9+1.8</f>
        <v>64.7</v>
      </c>
      <c r="H9" s="7">
        <f t="shared" si="0"/>
        <v>64.94110015377241</v>
      </c>
      <c r="I9" s="17">
        <f t="shared" si="1"/>
        <v>3.7264320521237645E-3</v>
      </c>
      <c r="J9">
        <v>3.1466542772850512</v>
      </c>
      <c r="K9">
        <v>24.540783939177842</v>
      </c>
      <c r="L9">
        <v>44.592367002854694</v>
      </c>
      <c r="M9">
        <v>64.643950066531545</v>
      </c>
      <c r="N9">
        <v>34.566575471016279</v>
      </c>
    </row>
    <row r="10" spans="1:14" x14ac:dyDescent="0.25">
      <c r="B10" s="11">
        <f>B9*12</f>
        <v>2.621426598629236</v>
      </c>
      <c r="C10" t="s">
        <v>19</v>
      </c>
      <c r="F10">
        <v>55</v>
      </c>
      <c r="G10" s="7">
        <f>57.3+1.6</f>
        <v>58.9</v>
      </c>
      <c r="H10" s="7">
        <f t="shared" si="0"/>
        <v>59.285465555598023</v>
      </c>
      <c r="I10" s="17">
        <f t="shared" si="1"/>
        <v>6.5444067164350502E-3</v>
      </c>
    </row>
    <row r="11" spans="1:14" x14ac:dyDescent="0.25">
      <c r="A11" t="s">
        <v>20</v>
      </c>
      <c r="B11" s="12">
        <f>B6+B9</f>
        <v>5110.0184522165528</v>
      </c>
      <c r="C11" t="s">
        <v>13</v>
      </c>
      <c r="F11">
        <v>60</v>
      </c>
      <c r="G11" s="7">
        <f>52.6+1.5</f>
        <v>54.1</v>
      </c>
      <c r="H11" s="7">
        <f t="shared" si="0"/>
        <v>54.553468783188777</v>
      </c>
      <c r="I11" s="17">
        <f t="shared" si="1"/>
        <v>8.3820477484061948E-3</v>
      </c>
      <c r="J11">
        <v>2.6358520955689295</v>
      </c>
      <c r="K11">
        <v>20.533474771328713</v>
      </c>
      <c r="L11">
        <v>37.307967279176459</v>
      </c>
      <c r="M11">
        <v>54.082459787024185</v>
      </c>
      <c r="N11">
        <v>28.920721025252586</v>
      </c>
    </row>
    <row r="12" spans="1:14" x14ac:dyDescent="0.25">
      <c r="A12" s="1" t="s">
        <v>34</v>
      </c>
      <c r="B12" s="3"/>
      <c r="F12">
        <v>65</v>
      </c>
      <c r="G12" s="7">
        <f>48.6+1.4</f>
        <v>50</v>
      </c>
      <c r="H12" s="7">
        <f t="shared" si="0"/>
        <v>50.534712216841811</v>
      </c>
      <c r="I12" s="17">
        <f t="shared" si="1"/>
        <v>1.0694244336836221E-2</v>
      </c>
    </row>
    <row r="13" spans="1:14" x14ac:dyDescent="0.25">
      <c r="A13" t="s">
        <v>30</v>
      </c>
      <c r="B13" s="13">
        <v>0</v>
      </c>
      <c r="C13" t="s">
        <v>13</v>
      </c>
      <c r="F13">
        <v>70</v>
      </c>
      <c r="G13" s="7">
        <f>45.2+1.3</f>
        <v>46.5</v>
      </c>
      <c r="H13" s="7">
        <f t="shared" si="0"/>
        <v>47.078350675712805</v>
      </c>
      <c r="I13" s="17">
        <f t="shared" si="1"/>
        <v>1.2437648940060327E-2</v>
      </c>
    </row>
    <row r="14" spans="1:14" x14ac:dyDescent="0.25">
      <c r="A14" t="s">
        <v>31</v>
      </c>
      <c r="B14" s="13">
        <v>0.1</v>
      </c>
      <c r="C14" t="s">
        <v>13</v>
      </c>
      <c r="D14" t="s">
        <v>73</v>
      </c>
      <c r="F14">
        <v>75</v>
      </c>
      <c r="G14" s="7">
        <f>42.3+1.2</f>
        <v>43.5</v>
      </c>
      <c r="H14" s="7">
        <f t="shared" si="0"/>
        <v>44.073384062784982</v>
      </c>
      <c r="I14" s="17">
        <f t="shared" si="1"/>
        <v>1.3181242822643255E-2</v>
      </c>
    </row>
    <row r="15" spans="1:14" x14ac:dyDescent="0.25">
      <c r="A15" t="s">
        <v>33</v>
      </c>
      <c r="B15" s="13">
        <v>0.3</v>
      </c>
      <c r="C15" t="s">
        <v>13</v>
      </c>
      <c r="D15" t="s">
        <v>74</v>
      </c>
      <c r="F15">
        <v>80</v>
      </c>
      <c r="G15" s="7">
        <f>39.7+1.1</f>
        <v>40.800000000000004</v>
      </c>
      <c r="H15" s="7">
        <f t="shared" si="0"/>
        <v>41.436297091259554</v>
      </c>
      <c r="I15" s="17">
        <f t="shared" si="1"/>
        <v>1.5595516942636029E-2</v>
      </c>
    </row>
    <row r="16" spans="1:14" x14ac:dyDescent="0.25">
      <c r="A16" t="s">
        <v>32</v>
      </c>
      <c r="B16" s="13">
        <v>0.5</v>
      </c>
      <c r="C16" t="s">
        <v>13</v>
      </c>
      <c r="F16">
        <v>85</v>
      </c>
      <c r="G16" s="7">
        <f>37.4+1.1</f>
        <v>38.5</v>
      </c>
      <c r="H16" s="7">
        <f t="shared" si="0"/>
        <v>39.103035552683679</v>
      </c>
      <c r="I16" s="17">
        <f t="shared" si="1"/>
        <v>1.5663261108666976E-2</v>
      </c>
    </row>
    <row r="17" spans="1:14" x14ac:dyDescent="0.25">
      <c r="A17" t="s">
        <v>29</v>
      </c>
      <c r="B17" s="11">
        <f>IF(B3&lt;100,B11+B13,IF(B3&lt;140,B11+B14,IF(B3&lt;200,B11+B15,B11+B16)))</f>
        <v>5110.0184522165528</v>
      </c>
      <c r="C17" t="s">
        <v>13</v>
      </c>
      <c r="D17" t="s">
        <v>37</v>
      </c>
      <c r="F17">
        <v>90</v>
      </c>
      <c r="G17" s="7">
        <f>35.4+1.02</f>
        <v>36.42</v>
      </c>
      <c r="H17" s="7">
        <f t="shared" si="0"/>
        <v>37.02364105235997</v>
      </c>
      <c r="I17" s="17">
        <f t="shared" si="1"/>
        <v>1.6574438560130928E-2</v>
      </c>
    </row>
    <row r="18" spans="1:14" x14ac:dyDescent="0.25">
      <c r="A18" t="s">
        <v>22</v>
      </c>
      <c r="B18" s="13">
        <v>5096.8</v>
      </c>
      <c r="C18" t="s">
        <v>13</v>
      </c>
      <c r="F18">
        <v>95</v>
      </c>
      <c r="G18" s="7">
        <f>33.6+0.97</f>
        <v>34.57</v>
      </c>
      <c r="H18" s="7">
        <f t="shared" si="0"/>
        <v>35.158569706720506</v>
      </c>
      <c r="I18" s="17">
        <f t="shared" si="1"/>
        <v>1.7025447113697013E-2</v>
      </c>
    </row>
    <row r="19" spans="1:14" x14ac:dyDescent="0.25">
      <c r="A19" t="s">
        <v>40</v>
      </c>
      <c r="B19" s="12">
        <f>B17-B18</f>
        <v>13.218452216552578</v>
      </c>
      <c r="C19" t="s">
        <v>13</v>
      </c>
      <c r="D19" s="7"/>
      <c r="F19">
        <v>100</v>
      </c>
      <c r="G19" s="7">
        <f>32.2+0.95</f>
        <v>33.150000000000006</v>
      </c>
      <c r="H19" s="7">
        <f t="shared" si="0"/>
        <v>33.476108423109373</v>
      </c>
      <c r="I19" s="17">
        <f t="shared" si="1"/>
        <v>9.8373581631785081E-3</v>
      </c>
      <c r="J19">
        <v>1.6476086013510338</v>
      </c>
      <c r="K19">
        <v>12.613142369550129</v>
      </c>
      <c r="L19">
        <v>22.890555597639558</v>
      </c>
      <c r="M19">
        <v>33.167968825728991</v>
      </c>
      <c r="N19">
        <v>17.751848983594847</v>
      </c>
    </row>
    <row r="20" spans="1:14" x14ac:dyDescent="0.25">
      <c r="A20" s="1" t="s">
        <v>35</v>
      </c>
      <c r="B20" s="3"/>
      <c r="D20" s="7"/>
      <c r="F20">
        <v>105</v>
      </c>
      <c r="G20" s="7">
        <f>30.7+0.91</f>
        <v>31.61</v>
      </c>
      <c r="H20" s="7">
        <f t="shared" si="0"/>
        <v>31.950524790310837</v>
      </c>
      <c r="I20" s="17">
        <f t="shared" si="1"/>
        <v>1.0772691879495018E-2</v>
      </c>
    </row>
    <row r="21" spans="1:14" x14ac:dyDescent="0.25">
      <c r="A21" t="s">
        <v>23</v>
      </c>
      <c r="B21" s="15">
        <f>470+7410+6945+6945</f>
        <v>21770</v>
      </c>
      <c r="C21" t="s">
        <v>24</v>
      </c>
      <c r="D21" t="s">
        <v>36</v>
      </c>
      <c r="F21">
        <v>110</v>
      </c>
      <c r="G21" s="7">
        <f>29.4+0.87</f>
        <v>30.27</v>
      </c>
      <c r="H21" s="7">
        <f t="shared" si="0"/>
        <v>30.56071837641062</v>
      </c>
      <c r="I21" s="17">
        <f t="shared" si="1"/>
        <v>9.6041749722702366E-3</v>
      </c>
    </row>
    <row r="22" spans="1:14" x14ac:dyDescent="0.25">
      <c r="A22" t="s">
        <v>5</v>
      </c>
      <c r="B22" s="10">
        <f>B19*B21*7.48/10^6</f>
        <v>2.1524874715625351</v>
      </c>
      <c r="C22" t="s">
        <v>6</v>
      </c>
      <c r="F22">
        <v>115</v>
      </c>
      <c r="G22" s="7">
        <f>28.1+0.83</f>
        <v>28.93</v>
      </c>
      <c r="H22" s="7">
        <f t="shared" si="0"/>
        <v>29.289221635802885</v>
      </c>
      <c r="I22" s="17">
        <f t="shared" si="1"/>
        <v>1.2416924846280182E-2</v>
      </c>
    </row>
    <row r="23" spans="1:14" x14ac:dyDescent="0.25">
      <c r="A23" t="s">
        <v>7</v>
      </c>
      <c r="B23" s="12">
        <f>B22/B3*24*60</f>
        <v>154.97909795250251</v>
      </c>
      <c r="C23" t="s">
        <v>4</v>
      </c>
      <c r="F23">
        <v>120</v>
      </c>
      <c r="G23" s="7">
        <f>27+0.8</f>
        <v>27.8</v>
      </c>
      <c r="H23" s="7">
        <f t="shared" si="0"/>
        <v>28.121448997914062</v>
      </c>
      <c r="I23" s="17">
        <f t="shared" si="1"/>
        <v>1.1562913594030968E-2</v>
      </c>
    </row>
    <row r="24" spans="1:14" x14ac:dyDescent="0.25">
      <c r="A24" s="1" t="s">
        <v>39</v>
      </c>
      <c r="B24" s="3"/>
      <c r="F24">
        <v>125</v>
      </c>
      <c r="G24" s="7">
        <f>26+0.77</f>
        <v>26.77</v>
      </c>
      <c r="H24" s="7">
        <f t="shared" si="0"/>
        <v>27.045125018957393</v>
      </c>
      <c r="I24" s="17">
        <f t="shared" si="1"/>
        <v>1.0277363427620211E-2</v>
      </c>
    </row>
    <row r="25" spans="1:14" x14ac:dyDescent="0.25">
      <c r="A25" t="s">
        <v>30</v>
      </c>
      <c r="B25" s="13">
        <v>0.6</v>
      </c>
      <c r="C25" t="s">
        <v>13</v>
      </c>
      <c r="F25">
        <v>130</v>
      </c>
      <c r="G25" s="7">
        <f>25+0.74</f>
        <v>25.74</v>
      </c>
      <c r="H25" s="7">
        <f t="shared" si="0"/>
        <v>26.049843647487936</v>
      </c>
      <c r="I25" s="17">
        <f t="shared" si="1"/>
        <v>1.2037437742344127E-2</v>
      </c>
    </row>
    <row r="26" spans="1:14" x14ac:dyDescent="0.25">
      <c r="A26" t="s">
        <v>31</v>
      </c>
      <c r="B26" s="13">
        <v>0.8</v>
      </c>
      <c r="C26" t="s">
        <v>13</v>
      </c>
      <c r="D26" t="s">
        <v>73</v>
      </c>
      <c r="F26">
        <v>135</v>
      </c>
      <c r="G26" s="7">
        <f>24.1+0.72</f>
        <v>24.82</v>
      </c>
      <c r="H26" s="7">
        <f t="shared" si="0"/>
        <v>25.126724795846613</v>
      </c>
      <c r="I26" s="17">
        <f t="shared" si="1"/>
        <v>1.2357969212192288E-2</v>
      </c>
    </row>
    <row r="27" spans="1:14" x14ac:dyDescent="0.25">
      <c r="A27" t="s">
        <v>33</v>
      </c>
      <c r="B27" s="13">
        <v>1</v>
      </c>
      <c r="C27" t="s">
        <v>13</v>
      </c>
      <c r="D27" t="s">
        <v>74</v>
      </c>
      <c r="F27">
        <v>140</v>
      </c>
      <c r="G27" s="7">
        <f>23.6+0.72</f>
        <v>24.32</v>
      </c>
      <c r="H27" s="7">
        <f t="shared" si="0"/>
        <v>24.268144023885601</v>
      </c>
      <c r="I27" s="17">
        <f t="shared" si="1"/>
        <v>-2.1322358599670946E-3</v>
      </c>
    </row>
    <row r="28" spans="1:14" x14ac:dyDescent="0.25">
      <c r="A28" t="s">
        <v>32</v>
      </c>
      <c r="B28" s="13">
        <v>1.2</v>
      </c>
      <c r="C28" t="s">
        <v>13</v>
      </c>
      <c r="D28" t="s">
        <v>75</v>
      </c>
      <c r="F28">
        <v>145</v>
      </c>
      <c r="G28" s="7">
        <f>22.8+0.7</f>
        <v>23.5</v>
      </c>
      <c r="H28" s="7">
        <f t="shared" si="0"/>
        <v>23.467517784100725</v>
      </c>
      <c r="I28" s="17">
        <f t="shared" si="1"/>
        <v>-1.3822219531606488E-3</v>
      </c>
    </row>
    <row r="29" spans="1:14" x14ac:dyDescent="0.25">
      <c r="A29" t="s">
        <v>29</v>
      </c>
      <c r="B29" s="11">
        <f>IF(B3&lt;100,B17+B25,IF(B3&lt;140,B17+B26,IF(B3&lt;190,B17+B27,B17+B28)))</f>
        <v>5110.6184522165531</v>
      </c>
      <c r="C29" t="s">
        <v>13</v>
      </c>
      <c r="D29" t="s">
        <v>37</v>
      </c>
      <c r="F29">
        <v>150</v>
      </c>
      <c r="G29" s="7">
        <f>22.1+0.68</f>
        <v>22.78</v>
      </c>
      <c r="H29" s="7">
        <f t="shared" si="0"/>
        <v>22.719131335403226</v>
      </c>
      <c r="I29" s="17">
        <f t="shared" si="1"/>
        <v>-2.6720221508680897E-3</v>
      </c>
      <c r="J29">
        <v>1.1544192702610241</v>
      </c>
      <c r="K29">
        <v>8.6766838228209782</v>
      </c>
      <c r="L29">
        <v>15.726903433823528</v>
      </c>
      <c r="M29">
        <v>22.77712304482607</v>
      </c>
      <c r="N29">
        <v>12.201793628322251</v>
      </c>
    </row>
    <row r="30" spans="1:14" x14ac:dyDescent="0.25">
      <c r="A30" t="s">
        <v>41</v>
      </c>
      <c r="B30" s="13">
        <v>5107</v>
      </c>
      <c r="C30" t="s">
        <v>13</v>
      </c>
      <c r="F30">
        <v>155</v>
      </c>
      <c r="G30" s="7">
        <f>21.4+0.66</f>
        <v>22.06</v>
      </c>
      <c r="H30" s="7">
        <f t="shared" si="0"/>
        <v>22.017999744108366</v>
      </c>
      <c r="I30" s="17">
        <f t="shared" si="1"/>
        <v>-1.9039100585509082E-3</v>
      </c>
    </row>
    <row r="31" spans="1:14" x14ac:dyDescent="0.25">
      <c r="A31" t="s">
        <v>42</v>
      </c>
      <c r="B31" s="13">
        <v>5100</v>
      </c>
      <c r="C31" t="s">
        <v>13</v>
      </c>
      <c r="F31">
        <v>160</v>
      </c>
      <c r="G31" s="7">
        <f>20.8+0.64</f>
        <v>21.44</v>
      </c>
      <c r="H31" s="7">
        <f t="shared" si="0"/>
        <v>21.359754774628616</v>
      </c>
      <c r="I31" s="17">
        <f t="shared" si="1"/>
        <v>-3.742781034113117E-3</v>
      </c>
    </row>
    <row r="32" spans="1:14" x14ac:dyDescent="0.25">
      <c r="A32" t="s">
        <v>43</v>
      </c>
      <c r="B32" s="12">
        <f>(B30-B31)/2</f>
        <v>3.5</v>
      </c>
      <c r="C32" t="s">
        <v>13</v>
      </c>
      <c r="D32" t="s">
        <v>44</v>
      </c>
      <c r="F32">
        <v>165</v>
      </c>
      <c r="G32" s="7">
        <f>20.2+0.62</f>
        <v>20.82</v>
      </c>
      <c r="H32" s="7">
        <f t="shared" si="0"/>
        <v>20.740552208829705</v>
      </c>
      <c r="I32" s="17">
        <f t="shared" si="1"/>
        <v>-3.8159361753263951E-3</v>
      </c>
    </row>
    <row r="33" spans="1:14" x14ac:dyDescent="0.25">
      <c r="A33" t="s">
        <v>45</v>
      </c>
      <c r="B33" s="12">
        <f>B29-B30</f>
        <v>3.6184522165531234</v>
      </c>
      <c r="C33" t="s">
        <v>13</v>
      </c>
      <c r="D33" t="s">
        <v>53</v>
      </c>
      <c r="F33">
        <v>170</v>
      </c>
      <c r="G33" s="7">
        <f>19.6+0.6</f>
        <v>20.200000000000003</v>
      </c>
      <c r="H33" s="7">
        <f t="shared" si="0"/>
        <v>20.156995411761564</v>
      </c>
      <c r="I33" s="17">
        <f t="shared" si="1"/>
        <v>-2.1289400118039161E-3</v>
      </c>
    </row>
    <row r="34" spans="1:14" x14ac:dyDescent="0.25">
      <c r="A34" t="s">
        <v>26</v>
      </c>
      <c r="B34" s="13">
        <v>5100</v>
      </c>
      <c r="C34" t="s">
        <v>13</v>
      </c>
      <c r="F34">
        <v>175</v>
      </c>
      <c r="G34" s="7">
        <f>19.1+0.59</f>
        <v>19.690000000000001</v>
      </c>
      <c r="H34" s="7">
        <f t="shared" si="0"/>
        <v>19.606071912796331</v>
      </c>
      <c r="I34" s="17">
        <f t="shared" si="1"/>
        <v>-4.2624726868293692E-3</v>
      </c>
    </row>
    <row r="35" spans="1:14" x14ac:dyDescent="0.25">
      <c r="A35" t="s">
        <v>27</v>
      </c>
      <c r="B35" s="12">
        <f>B29-B34</f>
        <v>10.618452216553123</v>
      </c>
      <c r="C35" t="s">
        <v>13</v>
      </c>
      <c r="D35" t="s">
        <v>46</v>
      </c>
      <c r="F35">
        <v>180</v>
      </c>
      <c r="G35" s="7">
        <f>18.6+0.57</f>
        <v>19.170000000000002</v>
      </c>
      <c r="H35" s="7">
        <f t="shared" si="0"/>
        <v>19.085100485706647</v>
      </c>
      <c r="I35" s="17">
        <f t="shared" si="1"/>
        <v>-4.4287696553653947E-3</v>
      </c>
      <c r="J35" s="6"/>
      <c r="K35" s="6"/>
      <c r="L35" s="6"/>
      <c r="M35" s="6"/>
    </row>
    <row r="36" spans="1:14" x14ac:dyDescent="0.25">
      <c r="A36" s="1" t="s">
        <v>47</v>
      </c>
      <c r="F36">
        <v>185</v>
      </c>
      <c r="G36" s="7">
        <f>18.1+0.56</f>
        <v>18.66</v>
      </c>
      <c r="H36" s="7">
        <f t="shared" si="0"/>
        <v>18.591686752662735</v>
      </c>
      <c r="I36" s="17">
        <f t="shared" si="1"/>
        <v>-3.6609457308287878E-3</v>
      </c>
      <c r="J36" s="6"/>
      <c r="K36" s="6"/>
      <c r="L36" s="6"/>
      <c r="M36" s="6"/>
    </row>
    <row r="37" spans="1:14" x14ac:dyDescent="0.25">
      <c r="A37" t="s">
        <v>25</v>
      </c>
      <c r="B37" s="15">
        <v>685</v>
      </c>
      <c r="C37" t="s">
        <v>24</v>
      </c>
      <c r="D37" t="s">
        <v>48</v>
      </c>
      <c r="F37">
        <v>190</v>
      </c>
      <c r="G37" s="7">
        <f>17.9+0.57</f>
        <v>18.47</v>
      </c>
      <c r="H37" s="7">
        <f t="shared" si="0"/>
        <v>18.123685750883503</v>
      </c>
      <c r="I37" s="17">
        <f t="shared" si="1"/>
        <v>-1.8750094700405843E-2</v>
      </c>
      <c r="J37" s="6"/>
      <c r="K37" s="6"/>
      <c r="L37" s="6"/>
      <c r="M37" s="6"/>
    </row>
    <row r="38" spans="1:14" x14ac:dyDescent="0.25">
      <c r="A38" t="s">
        <v>49</v>
      </c>
      <c r="B38" s="14">
        <f>B37*B32*7.48</f>
        <v>17933.3</v>
      </c>
      <c r="C38" t="s">
        <v>2</v>
      </c>
      <c r="F38">
        <v>195</v>
      </c>
      <c r="G38" s="7">
        <f>17.4+0.55</f>
        <v>17.95</v>
      </c>
      <c r="H38" s="7">
        <f t="shared" si="0"/>
        <v>17.679170219362874</v>
      </c>
      <c r="I38" s="17">
        <f t="shared" si="1"/>
        <v>-1.5088010063349616E-2</v>
      </c>
    </row>
    <row r="39" spans="1:14" x14ac:dyDescent="0.25">
      <c r="A39" t="s">
        <v>50</v>
      </c>
      <c r="B39" s="14">
        <f>B37*B33*7.48</f>
        <v>18540.225467174896</v>
      </c>
      <c r="C39" t="s">
        <v>2</v>
      </c>
      <c r="F39">
        <v>200</v>
      </c>
      <c r="G39" s="7">
        <f>17+0.54</f>
        <v>17.54</v>
      </c>
      <c r="H39" s="7">
        <f t="shared" si="0"/>
        <v>17.256403610382577</v>
      </c>
      <c r="I39" s="17">
        <f t="shared" si="1"/>
        <v>-1.6168551289476744E-2</v>
      </c>
      <c r="J39">
        <v>0.90614892573386385</v>
      </c>
      <c r="K39">
        <v>6.6982800468891908</v>
      </c>
      <c r="L39">
        <v>12.126937352749342</v>
      </c>
      <c r="M39">
        <v>17.5555946586095</v>
      </c>
      <c r="N39">
        <v>9.412608699819268</v>
      </c>
    </row>
    <row r="40" spans="1:14" x14ac:dyDescent="0.25">
      <c r="A40" t="s">
        <v>28</v>
      </c>
      <c r="B40" s="15">
        <v>306</v>
      </c>
      <c r="C40" t="s">
        <v>24</v>
      </c>
      <c r="D40" t="s">
        <v>48</v>
      </c>
    </row>
    <row r="41" spans="1:14" x14ac:dyDescent="0.25">
      <c r="A41" t="s">
        <v>51</v>
      </c>
      <c r="B41" s="14">
        <f>B40*B35*7.48</f>
        <v>24304.362909424115</v>
      </c>
      <c r="C41" t="s">
        <v>2</v>
      </c>
    </row>
    <row r="42" spans="1:14" x14ac:dyDescent="0.25">
      <c r="A42" t="s">
        <v>52</v>
      </c>
      <c r="B42" s="14">
        <f>B38+B39+B41</f>
        <v>60777.888376599018</v>
      </c>
      <c r="C42" t="s">
        <v>2</v>
      </c>
    </row>
    <row r="43" spans="1:14" x14ac:dyDescent="0.25">
      <c r="A43" t="s">
        <v>3</v>
      </c>
      <c r="B43" s="16">
        <f>B42/B3*24*60/10^6</f>
        <v>4.3760079631151294</v>
      </c>
      <c r="C43" t="s">
        <v>4</v>
      </c>
    </row>
    <row r="44" spans="1:14" x14ac:dyDescent="0.25">
      <c r="A44" s="1" t="s">
        <v>55</v>
      </c>
    </row>
    <row r="45" spans="1:14" x14ac:dyDescent="0.25">
      <c r="A45" t="s">
        <v>56</v>
      </c>
      <c r="B45" s="10">
        <f>(B42/10^6)+(470*B19*7.48/10^6)</f>
        <v>0.10724867898911127</v>
      </c>
      <c r="C45" t="s">
        <v>6</v>
      </c>
      <c r="D45" t="s">
        <v>67</v>
      </c>
    </row>
    <row r="46" spans="1:14" x14ac:dyDescent="0.25">
      <c r="A46" t="s">
        <v>57</v>
      </c>
      <c r="B46" s="12">
        <f>B45/$B$3*24*60</f>
        <v>7.7219048872160121</v>
      </c>
      <c r="C46" t="s">
        <v>4</v>
      </c>
    </row>
    <row r="47" spans="1:14" x14ac:dyDescent="0.25">
      <c r="A47" t="s">
        <v>58</v>
      </c>
      <c r="B47" s="10">
        <f>(B42/10^6)+((470+7410)*B19*7.48/10^6)</f>
        <v>0.83990518630552768</v>
      </c>
      <c r="C47" t="s">
        <v>6</v>
      </c>
      <c r="D47" t="s">
        <v>64</v>
      </c>
    </row>
    <row r="48" spans="1:14" x14ac:dyDescent="0.25">
      <c r="A48" t="s">
        <v>59</v>
      </c>
      <c r="B48" s="12">
        <f>B47/$B$3*24*60</f>
        <v>60.473173413997998</v>
      </c>
      <c r="C48" t="s">
        <v>4</v>
      </c>
    </row>
    <row r="49" spans="1:4" x14ac:dyDescent="0.25">
      <c r="A49" t="s">
        <v>60</v>
      </c>
      <c r="B49" s="10">
        <f>(B42/10^6)+((470+7410+6945)*B19*7.48/10^6)</f>
        <v>1.5265852731223311</v>
      </c>
      <c r="C49" t="s">
        <v>6</v>
      </c>
      <c r="D49" t="s">
        <v>65</v>
      </c>
    </row>
    <row r="50" spans="1:4" x14ac:dyDescent="0.25">
      <c r="A50" t="s">
        <v>61</v>
      </c>
      <c r="B50" s="12">
        <f>B49/$B$3*24*60</f>
        <v>109.91413966480785</v>
      </c>
      <c r="C50" t="s">
        <v>4</v>
      </c>
    </row>
    <row r="51" spans="1:4" x14ac:dyDescent="0.25">
      <c r="A51" t="s">
        <v>62</v>
      </c>
      <c r="B51" s="10">
        <f>(B42/10^6)+((470+7410+6945+6945)*B19*7.48/10^6)</f>
        <v>2.2132653599391339</v>
      </c>
      <c r="C51" t="s">
        <v>6</v>
      </c>
      <c r="D51" t="s">
        <v>66</v>
      </c>
    </row>
    <row r="52" spans="1:4" x14ac:dyDescent="0.25">
      <c r="A52" t="s">
        <v>63</v>
      </c>
      <c r="B52" s="12">
        <f>B51/$B$3*24*60</f>
        <v>159.35510591561763</v>
      </c>
      <c r="C52" t="s">
        <v>4</v>
      </c>
      <c r="D52" t="s">
        <v>70</v>
      </c>
    </row>
    <row r="53" spans="1:4" x14ac:dyDescent="0.25">
      <c r="A53" t="s">
        <v>68</v>
      </c>
      <c r="B53" s="10">
        <f>(B42/10^6)+((470+1760)*B19*7.48/10^6)</f>
        <v>0.28126695872958263</v>
      </c>
      <c r="C53" t="s">
        <v>6</v>
      </c>
    </row>
    <row r="54" spans="1:4" x14ac:dyDescent="0.25">
      <c r="A54" t="s">
        <v>69</v>
      </c>
      <c r="B54" s="12">
        <f>B53/$B$3*24*60</f>
        <v>20.251221028529947</v>
      </c>
      <c r="C54" t="s">
        <v>4</v>
      </c>
    </row>
    <row r="55" spans="1:4" x14ac:dyDescent="0.25">
      <c r="A55" t="s">
        <v>78</v>
      </c>
      <c r="B55" s="10">
        <f>(B42/10^6)+((470+7410+(6945/2))*B19*7.48/10^6)</f>
        <v>1.1832452297139295</v>
      </c>
      <c r="C55" t="s">
        <v>6</v>
      </c>
      <c r="D55" t="s">
        <v>79</v>
      </c>
    </row>
    <row r="56" spans="1:4" x14ac:dyDescent="0.25">
      <c r="A56" t="s">
        <v>80</v>
      </c>
      <c r="B56" s="12">
        <f>B55/$B$3*24*60</f>
        <v>85.193656539402923</v>
      </c>
      <c r="C56" t="s">
        <v>4</v>
      </c>
    </row>
  </sheetData>
  <conditionalFormatting sqref="B33">
    <cfRule type="cellIs" dxfId="5" priority="3" operator="greaterThan">
      <formula>6</formula>
    </cfRule>
  </conditionalFormatting>
  <conditionalFormatting sqref="B35">
    <cfRule type="cellIs" dxfId="4" priority="2" operator="greaterThan">
      <formula>13</formula>
    </cfRule>
  </conditionalFormatting>
  <conditionalFormatting sqref="B32">
    <cfRule type="cellIs" dxfId="3" priority="1" operator="greaterThan">
      <formula>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B1" workbookViewId="0">
      <selection activeCell="J30" sqref="J30"/>
    </sheetView>
  </sheetViews>
  <sheetFormatPr defaultRowHeight="15" x14ac:dyDescent="0.25"/>
  <cols>
    <col min="1" max="1" width="73" bestFit="1" customWidth="1"/>
  </cols>
  <sheetData>
    <row r="1" spans="1:18" x14ac:dyDescent="0.25">
      <c r="A1" s="1" t="s">
        <v>86</v>
      </c>
      <c r="B1" s="2"/>
      <c r="M1" t="s">
        <v>88</v>
      </c>
      <c r="R1" t="s">
        <v>89</v>
      </c>
    </row>
    <row r="2" spans="1:18" x14ac:dyDescent="0.25">
      <c r="A2" s="4" t="s">
        <v>8</v>
      </c>
      <c r="B2" s="5" t="s">
        <v>9</v>
      </c>
      <c r="C2" s="4" t="s">
        <v>10</v>
      </c>
      <c r="D2" s="4" t="s">
        <v>11</v>
      </c>
      <c r="L2">
        <v>20</v>
      </c>
      <c r="M2">
        <v>7.7219048872160121</v>
      </c>
      <c r="N2">
        <v>60.473173413997998</v>
      </c>
      <c r="O2">
        <v>109.91413966480785</v>
      </c>
      <c r="P2">
        <v>159.35510591561763</v>
      </c>
      <c r="Q2">
        <v>20.251221028529947</v>
      </c>
      <c r="R2">
        <v>85.193656539402923</v>
      </c>
    </row>
    <row r="3" spans="1:18" x14ac:dyDescent="0.25">
      <c r="A3" t="s">
        <v>0</v>
      </c>
      <c r="B3" s="8">
        <v>160</v>
      </c>
      <c r="C3" t="s">
        <v>1</v>
      </c>
      <c r="L3">
        <v>40</v>
      </c>
      <c r="M3">
        <v>3.9114354825318367</v>
      </c>
      <c r="N3">
        <v>30.543113085023172</v>
      </c>
      <c r="O3">
        <v>55.503572052540349</v>
      </c>
      <c r="P3">
        <v>80.464031020057547</v>
      </c>
      <c r="Q3">
        <v>10.236908165444758</v>
      </c>
      <c r="R3">
        <v>43.02334256878175</v>
      </c>
    </row>
    <row r="4" spans="1:18" x14ac:dyDescent="0.25">
      <c r="B4" s="9">
        <f>B3*1.547</f>
        <v>247.51999999999998</v>
      </c>
      <c r="C4" t="s">
        <v>18</v>
      </c>
      <c r="L4">
        <v>60</v>
      </c>
      <c r="M4">
        <v>2.6358520955689295</v>
      </c>
      <c r="N4">
        <v>20.533474771328713</v>
      </c>
      <c r="O4">
        <v>37.307967279176459</v>
      </c>
      <c r="P4">
        <v>54.082459787024185</v>
      </c>
      <c r="Q4">
        <v>6.8868393977736826</v>
      </c>
      <c r="R4">
        <v>28.920721025252586</v>
      </c>
    </row>
    <row r="5" spans="1:18" x14ac:dyDescent="0.25">
      <c r="A5" s="1" t="s">
        <v>54</v>
      </c>
      <c r="B5" s="3"/>
      <c r="L5">
        <v>80</v>
      </c>
      <c r="M5">
        <v>1.9957861558129295</v>
      </c>
      <c r="N5">
        <v>15.5148466899767</v>
      </c>
      <c r="O5">
        <v>28.185545125842747</v>
      </c>
      <c r="P5">
        <v>40.856243561708794</v>
      </c>
      <c r="Q5">
        <v>5.2067910870043246</v>
      </c>
      <c r="R5">
        <v>21.850195907909718</v>
      </c>
    </row>
    <row r="6" spans="1:18" x14ac:dyDescent="0.25">
      <c r="A6" t="s">
        <v>12</v>
      </c>
      <c r="B6" s="8">
        <v>5109.8</v>
      </c>
      <c r="C6" t="s">
        <v>13</v>
      </c>
      <c r="D6" t="s">
        <v>14</v>
      </c>
      <c r="L6">
        <v>100</v>
      </c>
      <c r="M6">
        <v>1.6369343421509952</v>
      </c>
      <c r="N6">
        <v>12.60246811035009</v>
      </c>
      <c r="O6">
        <v>22.879881338439521</v>
      </c>
      <c r="P6">
        <v>33.157294566528954</v>
      </c>
      <c r="Q6">
        <v>4.2414335907380938</v>
      </c>
      <c r="R6">
        <v>17.741174724394803</v>
      </c>
    </row>
    <row r="7" spans="1:18" x14ac:dyDescent="0.25">
      <c r="A7" t="s">
        <v>15</v>
      </c>
      <c r="B7" s="8">
        <v>91</v>
      </c>
      <c r="C7" t="s">
        <v>13</v>
      </c>
      <c r="L7">
        <v>120</v>
      </c>
      <c r="M7">
        <v>1.3749381839856922</v>
      </c>
      <c r="N7">
        <v>10.567792217752958</v>
      </c>
      <c r="O7">
        <v>19.183766747376936</v>
      </c>
      <c r="P7">
        <v>27.799741277000916</v>
      </c>
      <c r="Q7">
        <v>3.5583960921409408</v>
      </c>
      <c r="R7">
        <v>14.875779482564946</v>
      </c>
    </row>
    <row r="8" spans="1:18" x14ac:dyDescent="0.25">
      <c r="A8" t="s">
        <v>16</v>
      </c>
      <c r="B8" s="8">
        <v>3.33</v>
      </c>
      <c r="L8">
        <v>140</v>
      </c>
      <c r="M8">
        <v>1.1872939278529473</v>
      </c>
      <c r="N8">
        <v>9.1113912034696867</v>
      </c>
      <c r="O8">
        <v>16.538227314017359</v>
      </c>
      <c r="P8">
        <v>23.965063424565031</v>
      </c>
      <c r="Q8">
        <v>3.0694007031681245</v>
      </c>
      <c r="R8">
        <v>12.824809258743525</v>
      </c>
    </row>
    <row r="9" spans="1:18" x14ac:dyDescent="0.25">
      <c r="A9" t="s">
        <v>21</v>
      </c>
      <c r="B9" s="10">
        <f>(B4/B8/B7)^(2/3)</f>
        <v>0.87380886620974518</v>
      </c>
      <c r="C9" t="s">
        <v>13</v>
      </c>
      <c r="D9" t="s">
        <v>17</v>
      </c>
      <c r="L9">
        <v>160</v>
      </c>
      <c r="M9">
        <v>1.0462022636078059</v>
      </c>
      <c r="N9">
        <v>8.0169138469985235</v>
      </c>
      <c r="O9">
        <v>14.550192112403186</v>
      </c>
      <c r="P9">
        <v>21.083470377807846</v>
      </c>
      <c r="Q9">
        <v>2.7018638542647109</v>
      </c>
      <c r="R9">
        <v>11.283552979700852</v>
      </c>
    </row>
    <row r="10" spans="1:18" x14ac:dyDescent="0.25">
      <c r="B10" s="11">
        <f>B9*12</f>
        <v>10.485706394516942</v>
      </c>
      <c r="C10" t="s">
        <v>19</v>
      </c>
    </row>
    <row r="11" spans="1:18" x14ac:dyDescent="0.25">
      <c r="A11" t="s">
        <v>20</v>
      </c>
      <c r="B11" s="12">
        <f>B6+B9</f>
        <v>5110.6738088662096</v>
      </c>
      <c r="C11" t="s">
        <v>13</v>
      </c>
    </row>
    <row r="12" spans="1:18" x14ac:dyDescent="0.25">
      <c r="A12" s="1" t="s">
        <v>34</v>
      </c>
      <c r="B12" s="3"/>
    </row>
    <row r="13" spans="1:18" x14ac:dyDescent="0.25">
      <c r="A13" t="s">
        <v>30</v>
      </c>
      <c r="B13" s="13">
        <v>0</v>
      </c>
      <c r="C13" t="s">
        <v>13</v>
      </c>
    </row>
    <row r="14" spans="1:18" x14ac:dyDescent="0.25">
      <c r="A14" t="s">
        <v>31</v>
      </c>
      <c r="B14" s="13">
        <v>0.1</v>
      </c>
      <c r="C14" t="s">
        <v>13</v>
      </c>
      <c r="D14" t="s">
        <v>73</v>
      </c>
    </row>
    <row r="15" spans="1:18" x14ac:dyDescent="0.25">
      <c r="A15" t="s">
        <v>33</v>
      </c>
      <c r="B15" s="13">
        <v>0.3</v>
      </c>
      <c r="C15" t="s">
        <v>13</v>
      </c>
      <c r="D15" t="s">
        <v>74</v>
      </c>
    </row>
    <row r="16" spans="1:18" x14ac:dyDescent="0.25">
      <c r="A16" t="s">
        <v>32</v>
      </c>
      <c r="B16" s="13">
        <v>0.5</v>
      </c>
      <c r="C16" t="s">
        <v>13</v>
      </c>
      <c r="D16" t="s">
        <v>75</v>
      </c>
    </row>
    <row r="17" spans="1:4" x14ac:dyDescent="0.25">
      <c r="A17" t="s">
        <v>29</v>
      </c>
      <c r="B17" s="11">
        <f>IF($B$3&gt;=100, B11+B14, IF($B$3&gt;=140, B11+B15, IF($B$3&gt;=190, B11+B16, B11+B13)))</f>
        <v>5110.7738088662099</v>
      </c>
      <c r="C17" t="s">
        <v>13</v>
      </c>
      <c r="D17" t="s">
        <v>37</v>
      </c>
    </row>
    <row r="18" spans="1:4" x14ac:dyDescent="0.25">
      <c r="A18" t="s">
        <v>22</v>
      </c>
      <c r="B18" s="13">
        <v>5096.8</v>
      </c>
      <c r="C18" t="s">
        <v>13</v>
      </c>
    </row>
    <row r="19" spans="1:4" x14ac:dyDescent="0.25">
      <c r="A19" t="s">
        <v>40</v>
      </c>
      <c r="B19" s="12">
        <f>B17-B18</f>
        <v>13.973808866209765</v>
      </c>
      <c r="C19" t="s">
        <v>13</v>
      </c>
      <c r="D19" s="7"/>
    </row>
    <row r="20" spans="1:4" x14ac:dyDescent="0.25">
      <c r="A20" s="1" t="s">
        <v>35</v>
      </c>
      <c r="B20" s="3"/>
      <c r="D20" s="7"/>
    </row>
    <row r="21" spans="1:4" x14ac:dyDescent="0.25">
      <c r="A21" t="s">
        <v>23</v>
      </c>
      <c r="B21" s="15">
        <f>470+7410+6945+6945</f>
        <v>21770</v>
      </c>
      <c r="C21" t="s">
        <v>24</v>
      </c>
      <c r="D21" t="s">
        <v>36</v>
      </c>
    </row>
    <row r="22" spans="1:4" x14ac:dyDescent="0.25">
      <c r="A22" t="s">
        <v>5</v>
      </c>
      <c r="B22" s="10">
        <f>B19*B21*7.48/10^6</f>
        <v>2.2754894462500519</v>
      </c>
      <c r="C22" t="s">
        <v>6</v>
      </c>
    </row>
    <row r="23" spans="1:4" x14ac:dyDescent="0.25">
      <c r="A23" t="s">
        <v>7</v>
      </c>
      <c r="B23" s="12">
        <f>B22/B3*24*60</f>
        <v>20.479405016250467</v>
      </c>
      <c r="C23" t="s">
        <v>4</v>
      </c>
      <c r="D23" t="s">
        <v>87</v>
      </c>
    </row>
    <row r="24" spans="1:4" x14ac:dyDescent="0.25">
      <c r="A24" s="1" t="s">
        <v>39</v>
      </c>
      <c r="B24" s="3"/>
    </row>
    <row r="25" spans="1:4" x14ac:dyDescent="0.25">
      <c r="A25" t="s">
        <v>30</v>
      </c>
      <c r="B25" s="13">
        <v>0.6</v>
      </c>
      <c r="C25" t="s">
        <v>13</v>
      </c>
    </row>
    <row r="26" spans="1:4" x14ac:dyDescent="0.25">
      <c r="A26" t="s">
        <v>31</v>
      </c>
      <c r="B26" s="13">
        <v>0.8</v>
      </c>
      <c r="C26" t="s">
        <v>13</v>
      </c>
      <c r="D26" t="s">
        <v>73</v>
      </c>
    </row>
    <row r="27" spans="1:4" x14ac:dyDescent="0.25">
      <c r="A27" t="s">
        <v>33</v>
      </c>
      <c r="B27" s="13">
        <v>1</v>
      </c>
      <c r="C27" t="s">
        <v>13</v>
      </c>
      <c r="D27" t="s">
        <v>74</v>
      </c>
    </row>
    <row r="28" spans="1:4" x14ac:dyDescent="0.25">
      <c r="A28" t="s">
        <v>32</v>
      </c>
      <c r="B28" s="13">
        <v>1.2</v>
      </c>
      <c r="C28" t="s">
        <v>13</v>
      </c>
      <c r="D28" t="s">
        <v>75</v>
      </c>
    </row>
    <row r="29" spans="1:4" x14ac:dyDescent="0.25">
      <c r="A29" t="s">
        <v>29</v>
      </c>
      <c r="B29" s="11">
        <f>IF($B$3&gt;=100, B11+B26, IF($B$3&gt;=140, B11+B27, IF($B$3&gt;=190, B11+B28, B11+B25)))</f>
        <v>5111.4738088662098</v>
      </c>
      <c r="C29" t="s">
        <v>13</v>
      </c>
      <c r="D29" t="s">
        <v>37</v>
      </c>
    </row>
    <row r="30" spans="1:4" x14ac:dyDescent="0.25">
      <c r="A30" t="s">
        <v>41</v>
      </c>
      <c r="B30" s="13">
        <v>5107</v>
      </c>
      <c r="C30" t="s">
        <v>13</v>
      </c>
    </row>
    <row r="31" spans="1:4" x14ac:dyDescent="0.25">
      <c r="A31" t="s">
        <v>42</v>
      </c>
      <c r="B31" s="13">
        <v>5100</v>
      </c>
      <c r="C31" t="s">
        <v>13</v>
      </c>
    </row>
    <row r="32" spans="1:4" x14ac:dyDescent="0.25">
      <c r="A32" t="s">
        <v>43</v>
      </c>
      <c r="B32" s="12">
        <f>(B30-B31)/2</f>
        <v>3.5</v>
      </c>
      <c r="C32" t="s">
        <v>13</v>
      </c>
      <c r="D32" t="s">
        <v>44</v>
      </c>
    </row>
    <row r="33" spans="1:4" x14ac:dyDescent="0.25">
      <c r="A33" t="s">
        <v>45</v>
      </c>
      <c r="B33" s="12">
        <f>B29-B30</f>
        <v>4.4738088662097653</v>
      </c>
      <c r="C33" t="s">
        <v>13</v>
      </c>
      <c r="D33" t="s">
        <v>53</v>
      </c>
    </row>
    <row r="34" spans="1:4" x14ac:dyDescent="0.25">
      <c r="A34" t="s">
        <v>26</v>
      </c>
      <c r="B34" s="13">
        <v>5100</v>
      </c>
      <c r="C34" t="s">
        <v>13</v>
      </c>
    </row>
    <row r="35" spans="1:4" x14ac:dyDescent="0.25">
      <c r="A35" t="s">
        <v>27</v>
      </c>
      <c r="B35" s="12">
        <f>B29-B34</f>
        <v>11.473808866209765</v>
      </c>
      <c r="C35" t="s">
        <v>13</v>
      </c>
      <c r="D35" t="s">
        <v>46</v>
      </c>
    </row>
    <row r="36" spans="1:4" x14ac:dyDescent="0.25">
      <c r="A36" s="1" t="s">
        <v>47</v>
      </c>
      <c r="B36" s="2"/>
    </row>
    <row r="37" spans="1:4" x14ac:dyDescent="0.25">
      <c r="A37" t="s">
        <v>25</v>
      </c>
      <c r="B37" s="15">
        <v>685</v>
      </c>
      <c r="C37" t="s">
        <v>24</v>
      </c>
      <c r="D37" t="s">
        <v>48</v>
      </c>
    </row>
    <row r="38" spans="1:4" x14ac:dyDescent="0.25">
      <c r="A38" t="s">
        <v>49</v>
      </c>
      <c r="B38" s="14">
        <f>B37*B32*7.48</f>
        <v>17933.3</v>
      </c>
      <c r="C38" t="s">
        <v>2</v>
      </c>
    </row>
    <row r="39" spans="1:4" x14ac:dyDescent="0.25">
      <c r="A39" t="s">
        <v>50</v>
      </c>
      <c r="B39" s="14">
        <f>B37*B33*7.48</f>
        <v>22922.901868685596</v>
      </c>
      <c r="C39" t="s">
        <v>2</v>
      </c>
    </row>
    <row r="40" spans="1:4" x14ac:dyDescent="0.25">
      <c r="A40" t="s">
        <v>28</v>
      </c>
      <c r="B40" s="15">
        <v>306</v>
      </c>
      <c r="C40" t="s">
        <v>24</v>
      </c>
      <c r="D40" t="s">
        <v>48</v>
      </c>
    </row>
    <row r="41" spans="1:4" x14ac:dyDescent="0.25">
      <c r="A41" t="s">
        <v>51</v>
      </c>
      <c r="B41" s="14">
        <f>B40*B35*7.48</f>
        <v>26262.171637690208</v>
      </c>
      <c r="C41" t="s">
        <v>2</v>
      </c>
    </row>
    <row r="42" spans="1:4" x14ac:dyDescent="0.25">
      <c r="A42" t="s">
        <v>52</v>
      </c>
      <c r="B42" s="14">
        <f>B38+B39+B41</f>
        <v>67118.373506375807</v>
      </c>
      <c r="C42" t="s">
        <v>2</v>
      </c>
    </row>
    <row r="43" spans="1:4" x14ac:dyDescent="0.25">
      <c r="A43" t="s">
        <v>3</v>
      </c>
      <c r="B43" s="16">
        <f>B42/B3*24*60/10^6</f>
        <v>0.60406536155738244</v>
      </c>
      <c r="C43" t="s">
        <v>4</v>
      </c>
    </row>
    <row r="44" spans="1:4" x14ac:dyDescent="0.25">
      <c r="A44" s="1" t="s">
        <v>55</v>
      </c>
      <c r="B44" s="2"/>
    </row>
    <row r="45" spans="1:4" x14ac:dyDescent="0.25">
      <c r="A45" t="s">
        <v>56</v>
      </c>
      <c r="B45" s="10">
        <f>(B42/10^6)+(470*B19*7.48/10^6)</f>
        <v>0.11624469595642287</v>
      </c>
      <c r="C45" t="s">
        <v>6</v>
      </c>
      <c r="D45" t="s">
        <v>67</v>
      </c>
    </row>
    <row r="46" spans="1:4" x14ac:dyDescent="0.25">
      <c r="A46" t="s">
        <v>57</v>
      </c>
      <c r="B46" s="16">
        <f>B45/$B$3*24*60</f>
        <v>1.0462022636078059</v>
      </c>
      <c r="C46" t="s">
        <v>4</v>
      </c>
    </row>
    <row r="47" spans="1:4" x14ac:dyDescent="0.25">
      <c r="A47" t="s">
        <v>58</v>
      </c>
      <c r="B47" s="10">
        <f>(B42/10^6)+((470+7410)*B19*7.48/10^6)</f>
        <v>0.89076820522205824</v>
      </c>
      <c r="C47" t="s">
        <v>6</v>
      </c>
      <c r="D47" t="s">
        <v>64</v>
      </c>
    </row>
    <row r="48" spans="1:4" x14ac:dyDescent="0.25">
      <c r="A48" t="s">
        <v>59</v>
      </c>
      <c r="B48" s="12">
        <f>B47/$B$3*24*60</f>
        <v>8.0169138469985235</v>
      </c>
      <c r="C48" t="s">
        <v>4</v>
      </c>
    </row>
    <row r="49" spans="1:4" x14ac:dyDescent="0.25">
      <c r="A49" t="s">
        <v>60</v>
      </c>
      <c r="B49" s="10">
        <f>(B42/10^6)+((470+7410+6945)*B19*7.48/10^6)</f>
        <v>1.6166880124892431</v>
      </c>
      <c r="C49" t="s">
        <v>6</v>
      </c>
      <c r="D49" t="s">
        <v>65</v>
      </c>
    </row>
    <row r="50" spans="1:4" x14ac:dyDescent="0.25">
      <c r="A50" t="s">
        <v>61</v>
      </c>
      <c r="B50" s="12">
        <f>B49/$B$3*24*60</f>
        <v>14.550192112403186</v>
      </c>
      <c r="C50" t="s">
        <v>4</v>
      </c>
    </row>
    <row r="51" spans="1:4" x14ac:dyDescent="0.25">
      <c r="A51" t="s">
        <v>62</v>
      </c>
      <c r="B51" s="10">
        <f>(B42/10^6)+((470+7410+6945+6945)*B19*7.48/10^6)</f>
        <v>2.3426078197564277</v>
      </c>
      <c r="C51" t="s">
        <v>6</v>
      </c>
      <c r="D51" t="s">
        <v>66</v>
      </c>
    </row>
    <row r="52" spans="1:4" x14ac:dyDescent="0.25">
      <c r="A52" t="s">
        <v>63</v>
      </c>
      <c r="B52" s="12">
        <f>B51/$B$3*24*60</f>
        <v>21.083470377807846</v>
      </c>
      <c r="C52" t="s">
        <v>4</v>
      </c>
      <c r="D52" t="s">
        <v>70</v>
      </c>
    </row>
    <row r="53" spans="1:4" x14ac:dyDescent="0.25">
      <c r="A53" t="s">
        <v>68</v>
      </c>
      <c r="B53" s="10">
        <f>(B42/10^6)+((470+1760)*B19*7.48/10^6)</f>
        <v>0.30020709491830122</v>
      </c>
      <c r="C53" t="s">
        <v>6</v>
      </c>
    </row>
    <row r="54" spans="1:4" x14ac:dyDescent="0.25">
      <c r="A54" t="s">
        <v>69</v>
      </c>
      <c r="B54" s="12">
        <f>B53/$B$3*24*60</f>
        <v>2.7018638542647109</v>
      </c>
      <c r="C54" t="s">
        <v>4</v>
      </c>
    </row>
    <row r="55" spans="1:4" x14ac:dyDescent="0.25">
      <c r="A55" t="s">
        <v>78</v>
      </c>
      <c r="B55" s="10">
        <f>(B42/10^6)+((470+7410+(6945/2))*B19*7.48/10^6)</f>
        <v>1.2537281088556504</v>
      </c>
      <c r="C55" t="s">
        <v>6</v>
      </c>
      <c r="D55" t="s">
        <v>79</v>
      </c>
    </row>
    <row r="56" spans="1:4" x14ac:dyDescent="0.25">
      <c r="A56" t="s">
        <v>80</v>
      </c>
      <c r="B56" s="12">
        <f>B55/$B$3*24*60</f>
        <v>11.283552979700852</v>
      </c>
      <c r="C56" t="s">
        <v>4</v>
      </c>
    </row>
  </sheetData>
  <conditionalFormatting sqref="B33">
    <cfRule type="cellIs" dxfId="2" priority="3" operator="greaterThan">
      <formula>6</formula>
    </cfRule>
  </conditionalFormatting>
  <conditionalFormatting sqref="B35">
    <cfRule type="cellIs" dxfId="1" priority="2" operator="greaterThan">
      <formula>13</formula>
    </cfRule>
  </conditionalFormatting>
  <conditionalFormatting sqref="B32">
    <cfRule type="cellIs" dxfId="0" priority="1" operator="greaterThan">
      <formula>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Freedman, Dan</dc:creator>
  <cp:lastModifiedBy>Newhart, Kathryn</cp:lastModifiedBy>
  <dcterms:created xsi:type="dcterms:W3CDTF">2019-04-22T21:48:49Z</dcterms:created>
  <dcterms:modified xsi:type="dcterms:W3CDTF">2019-12-11T21:37:23Z</dcterms:modified>
</cp:coreProperties>
</file>