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0240" yWindow="3400" windowWidth="23260" windowHeight="14020" tabRatio="797" firstSheet="1" activeTab="2" autoFilterDateGrouping="1"/>
  </bookViews>
  <sheets>
    <sheet name="COVER" sheetId="1" state="visible" r:id="rId1"/>
    <sheet name="Dynamo all" sheetId="2" state="visible" r:id="rId2"/>
    <sheet name="Cycle Time ZIppy 6" sheetId="3" state="visible" r:id="rId3"/>
    <sheet name="Cycle Time ZIppy 10" sheetId="4" state="visible" r:id="rId4"/>
    <sheet name="Cycle Time ZIppy 30" sheetId="5" state="visible" r:id="rId5"/>
    <sheet name="Cycle Time ZIppy 40" sheetId="6" state="visible" r:id="rId6"/>
    <sheet name="Veloce" sheetId="7" state="visible" r:id="rId7"/>
    <sheet name="SortIE" sheetId="8" state="visible" r:id="rId8"/>
    <sheet name="RGV" sheetId="9" state="visible" r:id="rId9"/>
    <sheet name="Miniload" sheetId="10" state="visible" r:id="rId10"/>
    <sheet name="Pallet ASRS Crane" sheetId="11" state="visible" r:id="rId11"/>
    <sheet name="GTP" sheetId="12" state="visible" r:id="rId12"/>
    <sheet name="PTL" sheetId="13" state="visible" r:id="rId13"/>
    <sheet name="Decanting" sheetId="14" state="visible" r:id="rId14"/>
    <sheet name="Pallet autolift" sheetId="15" state="visible" r:id="rId15"/>
    <sheet name="Multipro in&amp;out frm diff side" sheetId="16" state="visible" r:id="rId16"/>
    <sheet name="Quadron DD in&amp;out frm diff" sheetId="17" state="visible" r:id="rId17"/>
    <sheet name="Multi pro TP" sheetId="18" state="visible" r:id="rId18"/>
    <sheet name="Multi pro Area" sheetId="19" state="visible" r:id="rId19"/>
    <sheet name="Multi Pro Input OutPut" sheetId="20" state="visible" r:id="rId20"/>
    <sheet name="Quadron Double deep TP" sheetId="21" state="visible" r:id="rId21"/>
    <sheet name="Quadron Area" sheetId="22" state="visible" r:id="rId22"/>
    <sheet name="Quadron Input Output" sheetId="23" state="visible" r:id="rId23"/>
    <sheet name="Medius TP" sheetId="24" state="visible" r:id="rId24"/>
    <sheet name="Medius Area" sheetId="25" state="visible" r:id="rId25"/>
    <sheet name="Medius Input Output" sheetId="26" state="visible" r:id="rId26"/>
    <sheet name="BOM Master List " sheetId="27" state="hidden" r:id="rId27"/>
    <sheet name="Area ASRS Stacker Crane" sheetId="28" state="visible" r:id="rId28"/>
    <sheet name="Area Veloce" sheetId="29" state="visible" r:id="rId29"/>
    <sheet name="Non std" sheetId="30" state="visible" r:id="rId30"/>
    <sheet name="4 Way shuttle" sheetId="31" state="hidden" r:id="rId31"/>
    <sheet name="Master List" sheetId="32" state="visible" r:id="rId32"/>
  </sheets>
  <definedNames>
    <definedName name="__________________________________EFF1">#REF!</definedName>
    <definedName name="__________________________________EFF2">#REF!</definedName>
    <definedName name="__________________________________EFF3">#REF!</definedName>
    <definedName name="__________________________________EFF4">#REF!</definedName>
    <definedName name="__________________________________EFF5">#REF!</definedName>
    <definedName name="__________________________________REJ1">#REF!</definedName>
    <definedName name="__________________________________REJ2">#REF!</definedName>
    <definedName name="__________________________________REJ3">#REF!</definedName>
    <definedName name="__________________________________REJ4">#REF!</definedName>
    <definedName name="__________________________________REJ5">#REF!</definedName>
    <definedName name="_________________________________EFF1">#REF!</definedName>
    <definedName name="_________________________________EFF2">#REF!</definedName>
    <definedName name="_________________________________EFF3">#REF!</definedName>
    <definedName name="_________________________________EFF4">#REF!</definedName>
    <definedName name="_________________________________EFF5">#REF!</definedName>
    <definedName name="_________________________________REJ1">#REF!</definedName>
    <definedName name="_________________________________REJ2">#REF!</definedName>
    <definedName name="_________________________________REJ3">#REF!</definedName>
    <definedName name="_________________________________REJ4">#REF!</definedName>
    <definedName name="_________________________________REJ5">#REF!</definedName>
    <definedName name="________________________________EFF1">#REF!</definedName>
    <definedName name="________________________________EFF2">#REF!</definedName>
    <definedName name="________________________________EFF3">#REF!</definedName>
    <definedName name="________________________________EFF4">#REF!</definedName>
    <definedName name="________________________________EFF5">#REF!</definedName>
    <definedName name="________________________________REJ1">#REF!</definedName>
    <definedName name="________________________________REJ2">#REF!</definedName>
    <definedName name="________________________________REJ3">#REF!</definedName>
    <definedName name="________________________________REJ4">#REF!</definedName>
    <definedName name="________________________________REJ5">#REF!</definedName>
    <definedName name="_______________________________EFF1">#REF!</definedName>
    <definedName name="_______________________________EFF2">#REF!</definedName>
    <definedName name="_______________________________EFF3">#REF!</definedName>
    <definedName name="_______________________________EFF4">#REF!</definedName>
    <definedName name="_______________________________EFF5">#REF!</definedName>
    <definedName name="_______________________________REJ1">#REF!</definedName>
    <definedName name="_______________________________REJ2">#REF!</definedName>
    <definedName name="_______________________________REJ3">#REF!</definedName>
    <definedName name="_______________________________REJ4">#REF!</definedName>
    <definedName name="_______________________________REJ5">#REF!</definedName>
    <definedName name="______________________________EFF1">#REF!</definedName>
    <definedName name="______________________________EFF2">#REF!</definedName>
    <definedName name="______________________________EFF3">#REF!</definedName>
    <definedName name="______________________________EFF4">#REF!</definedName>
    <definedName name="______________________________EFF5">#REF!</definedName>
    <definedName name="______________________________REJ1">#REF!</definedName>
    <definedName name="______________________________REJ2">#REF!</definedName>
    <definedName name="______________________________REJ3">#REF!</definedName>
    <definedName name="______________________________REJ4">#REF!</definedName>
    <definedName name="______________________________REJ5">#REF!</definedName>
    <definedName name="_____________________________EFF1">#REF!</definedName>
    <definedName name="_____________________________EFF2">#REF!</definedName>
    <definedName name="_____________________________EFF3">#REF!</definedName>
    <definedName name="_____________________________EFF4">#REF!</definedName>
    <definedName name="_____________________________EFF5">#REF!</definedName>
    <definedName name="_____________________________REJ1">#REF!</definedName>
    <definedName name="_____________________________REJ2">#REF!</definedName>
    <definedName name="_____________________________REJ3">#REF!</definedName>
    <definedName name="_____________________________REJ4">#REF!</definedName>
    <definedName name="_____________________________REJ5">#REF!</definedName>
    <definedName name="____________________________EFF1">#REF!</definedName>
    <definedName name="____________________________EFF2">#REF!</definedName>
    <definedName name="____________________________EFF3">#REF!</definedName>
    <definedName name="____________________________EFF4">#REF!</definedName>
    <definedName name="____________________________EFF5">#REF!</definedName>
    <definedName name="____________________________REJ1">#REF!</definedName>
    <definedName name="____________________________REJ2">#REF!</definedName>
    <definedName name="____________________________REJ3">#REF!</definedName>
    <definedName name="____________________________REJ4">#REF!</definedName>
    <definedName name="____________________________REJ5">#REF!</definedName>
    <definedName name="___________________________EFF1">#REF!</definedName>
    <definedName name="___________________________EFF2">#REF!</definedName>
    <definedName name="___________________________EFF3">#REF!</definedName>
    <definedName name="___________________________EFF4">#REF!</definedName>
    <definedName name="___________________________EFF5">#REF!</definedName>
    <definedName name="___________________________REJ1">#REF!</definedName>
    <definedName name="___________________________REJ2">#REF!</definedName>
    <definedName name="___________________________REJ3">#REF!</definedName>
    <definedName name="___________________________REJ4">#REF!</definedName>
    <definedName name="___________________________REJ5">#REF!</definedName>
    <definedName name="__________________________EFF1">#REF!</definedName>
    <definedName name="__________________________EFF2">#REF!</definedName>
    <definedName name="__________________________EFF3">#REF!</definedName>
    <definedName name="__________________________EFF4">#REF!</definedName>
    <definedName name="__________________________EFF5">#REF!</definedName>
    <definedName name="__________________________REJ1">#REF!</definedName>
    <definedName name="__________________________REJ2">#REF!</definedName>
    <definedName name="__________________________REJ3">#REF!</definedName>
    <definedName name="__________________________REJ4">#REF!</definedName>
    <definedName name="__________________________REJ5">#REF!</definedName>
    <definedName name="_________________________EFF1">#REF!</definedName>
    <definedName name="_________________________EFF2">#REF!</definedName>
    <definedName name="_________________________EFF3">#REF!</definedName>
    <definedName name="_________________________EFF4">#REF!</definedName>
    <definedName name="_________________________EFF5">#REF!</definedName>
    <definedName name="_________________________REJ1">#REF!</definedName>
    <definedName name="_________________________REJ2">#REF!</definedName>
    <definedName name="_________________________REJ3">#REF!</definedName>
    <definedName name="_________________________REJ4">#REF!</definedName>
    <definedName name="_________________________REJ5">#REF!</definedName>
    <definedName name="_________________________vvv1" hidden="1">{"bbtday",#N/A,FALSE,"ban0930";"banksday",#N/A,FALSE,"ban0930";"compday",#N/A,FALSE,"ban0930"}</definedName>
    <definedName name="_________________________x1" hidden="1">{"compweek",#N/A,FALSE,"ban0930";"bankweek",#N/A,FALSE,"ban0930"}</definedName>
    <definedName name="_________________________y1" hidden="1">{"bbtday",#N/A,FALSE,"ban0930";"banksday",#N/A,FALSE,"ban0930";"compday",#N/A,FALSE,"ban0930"}</definedName>
    <definedName name="________________________EFF1">#REF!</definedName>
    <definedName name="________________________EFF2">#REF!</definedName>
    <definedName name="________________________EFF3">#REF!</definedName>
    <definedName name="________________________EFF4">#REF!</definedName>
    <definedName name="________________________EFF5">#REF!</definedName>
    <definedName name="________________________REJ1">#REF!</definedName>
    <definedName name="________________________REJ2">#REF!</definedName>
    <definedName name="________________________REJ3">#REF!</definedName>
    <definedName name="________________________REJ4">#REF!</definedName>
    <definedName name="________________________REJ5">#REF!</definedName>
    <definedName name="________________________vvv1" hidden="1">{"bbtday",#N/A,FALSE,"ban0930";"banksday",#N/A,FALSE,"ban0930";"compday",#N/A,FALSE,"ban0930"}</definedName>
    <definedName name="________________________x1" hidden="1">{"compweek",#N/A,FALSE,"ban0930";"bankweek",#N/A,FALSE,"ban0930"}</definedName>
    <definedName name="________________________y1" hidden="1">{"bbtday",#N/A,FALSE,"ban0930";"banksday",#N/A,FALSE,"ban0930";"compday",#N/A,FALSE,"ban0930"}</definedName>
    <definedName name="_______________________EFF1">#REF!</definedName>
    <definedName name="_______________________EFF2">#REF!</definedName>
    <definedName name="_______________________EFF3">#REF!</definedName>
    <definedName name="_______________________EFF4">#REF!</definedName>
    <definedName name="_______________________EFF5">#REF!</definedName>
    <definedName name="_______________________REJ1">#REF!</definedName>
    <definedName name="_______________________REJ2">#REF!</definedName>
    <definedName name="_______________________REJ3">#REF!</definedName>
    <definedName name="_______________________REJ4">#REF!</definedName>
    <definedName name="_______________________REJ5">#REF!</definedName>
    <definedName name="_______________________vvv1" hidden="1">{"bbtday",#N/A,FALSE,"ban0930";"banksday",#N/A,FALSE,"ban0930";"compday",#N/A,FALSE,"ban0930"}</definedName>
    <definedName name="_______________________x1" hidden="1">{"compweek",#N/A,FALSE,"ban0930";"bankweek",#N/A,FALSE,"ban0930"}</definedName>
    <definedName name="_______________________y1" hidden="1">{"bbtday",#N/A,FALSE,"ban0930";"banksday",#N/A,FALSE,"ban0930";"compday",#N/A,FALSE,"ban0930"}</definedName>
    <definedName name="______________________EFF1">#REF!</definedName>
    <definedName name="______________________EFF2">#REF!</definedName>
    <definedName name="______________________EFF3">#REF!</definedName>
    <definedName name="______________________EFF4">#REF!</definedName>
    <definedName name="______________________EFF5">#REF!</definedName>
    <definedName name="______________________REJ1">#REF!</definedName>
    <definedName name="______________________REJ2">#REF!</definedName>
    <definedName name="______________________REJ3">#REF!</definedName>
    <definedName name="______________________REJ4">#REF!</definedName>
    <definedName name="______________________REJ5">#REF!</definedName>
    <definedName name="_____________________EFF1">#REF!</definedName>
    <definedName name="_____________________EFF2">#REF!</definedName>
    <definedName name="_____________________EFF3">#REF!</definedName>
    <definedName name="_____________________EFF4">#REF!</definedName>
    <definedName name="_____________________EFF5">#REF!</definedName>
    <definedName name="_____________________REJ1">#REF!</definedName>
    <definedName name="_____________________REJ2">#REF!</definedName>
    <definedName name="_____________________REJ3">#REF!</definedName>
    <definedName name="_____________________REJ4">#REF!</definedName>
    <definedName name="_____________________REJ5">#REF!</definedName>
    <definedName name="_____________________vvv1" hidden="1">{"bbtday",#N/A,FALSE,"ban0930";"banksday",#N/A,FALSE,"ban0930";"compday",#N/A,FALSE,"ban0930"}</definedName>
    <definedName name="_____________________x1" hidden="1">{"compweek",#N/A,FALSE,"ban0930";"bankweek",#N/A,FALSE,"ban0930"}</definedName>
    <definedName name="_____________________y1" hidden="1">{"bbtday",#N/A,FALSE,"ban0930";"banksday",#N/A,FALSE,"ban0930";"compday",#N/A,FALSE,"ban0930"}</definedName>
    <definedName name="____________________EFF1">#REF!</definedName>
    <definedName name="____________________EFF2">#REF!</definedName>
    <definedName name="____________________EFF3">#REF!</definedName>
    <definedName name="____________________EFF4">#REF!</definedName>
    <definedName name="____________________EFF5">#REF!</definedName>
    <definedName name="____________________REJ1">#REF!</definedName>
    <definedName name="____________________REJ2">#REF!</definedName>
    <definedName name="____________________REJ3">#REF!</definedName>
    <definedName name="____________________REJ4">#REF!</definedName>
    <definedName name="____________________REJ5">#REF!</definedName>
    <definedName name="___________________EFF1">#REF!</definedName>
    <definedName name="___________________EFF2">#REF!</definedName>
    <definedName name="___________________EFF3">#REF!</definedName>
    <definedName name="___________________EFF4">#REF!</definedName>
    <definedName name="___________________EFF5">#REF!</definedName>
    <definedName name="___________________REJ1">#REF!</definedName>
    <definedName name="___________________REJ2">#REF!</definedName>
    <definedName name="___________________REJ3">#REF!</definedName>
    <definedName name="___________________REJ4">#REF!</definedName>
    <definedName name="___________________REJ5">#REF!</definedName>
    <definedName name="___________________vvv1" hidden="1">{"bbtday",#N/A,FALSE,"ban0930";"banksday",#N/A,FALSE,"ban0930";"compday",#N/A,FALSE,"ban0930"}</definedName>
    <definedName name="___________________x1" hidden="1">{"compweek",#N/A,FALSE,"ban0930";"bankweek",#N/A,FALSE,"ban0930"}</definedName>
    <definedName name="___________________y1" hidden="1">{"bbtday",#N/A,FALSE,"ban0930";"banksday",#N/A,FALSE,"ban0930";"compday",#N/A,FALSE,"ban0930"}</definedName>
    <definedName name="__________________EFF1">#REF!</definedName>
    <definedName name="__________________EFF2">#REF!</definedName>
    <definedName name="__________________EFF3">#REF!</definedName>
    <definedName name="__________________EFF4">#REF!</definedName>
    <definedName name="__________________EFF5">#REF!</definedName>
    <definedName name="__________________REJ1">#REF!</definedName>
    <definedName name="__________________REJ2">#REF!</definedName>
    <definedName name="__________________REJ3">#REF!</definedName>
    <definedName name="__________________REJ4">#REF!</definedName>
    <definedName name="__________________REJ5">#REF!</definedName>
    <definedName name="_________________EFF1">#REF!</definedName>
    <definedName name="_________________EFF2">#REF!</definedName>
    <definedName name="_________________EFF3">#REF!</definedName>
    <definedName name="_________________EFF4">#REF!</definedName>
    <definedName name="_________________EFF5">#REF!</definedName>
    <definedName name="_________________REJ1">#REF!</definedName>
    <definedName name="_________________REJ2">#REF!</definedName>
    <definedName name="_________________REJ3">#REF!</definedName>
    <definedName name="_________________REJ4">#REF!</definedName>
    <definedName name="_________________REJ5">#REF!</definedName>
    <definedName name="_________________vvv1" hidden="1">{"bbtday",#N/A,FALSE,"ban0930";"banksday",#N/A,FALSE,"ban0930";"compday",#N/A,FALSE,"ban0930"}</definedName>
    <definedName name="_________________x1" hidden="1">{"compweek",#N/A,FALSE,"ban0930";"bankweek",#N/A,FALSE,"ban0930"}</definedName>
    <definedName name="_________________y1" hidden="1">{"bbtday",#N/A,FALSE,"ban0930";"banksday",#N/A,FALSE,"ban0930";"compday",#N/A,FALSE,"ban0930"}</definedName>
    <definedName name="________________EFF1">#REF!</definedName>
    <definedName name="________________EFF2">#REF!</definedName>
    <definedName name="________________EFF3">#REF!</definedName>
    <definedName name="________________EFF4">#REF!</definedName>
    <definedName name="________________EFF5">#REF!</definedName>
    <definedName name="________________REJ1">#REF!</definedName>
    <definedName name="________________REJ2">#REF!</definedName>
    <definedName name="________________REJ3">#REF!</definedName>
    <definedName name="________________REJ4">#REF!</definedName>
    <definedName name="________________REJ5">#REF!</definedName>
    <definedName name="_______________EFF1">#REF!</definedName>
    <definedName name="_______________EFF2">#REF!</definedName>
    <definedName name="_______________EFF3">#REF!</definedName>
    <definedName name="_______________EFF4">#REF!</definedName>
    <definedName name="_______________EFF5">#REF!</definedName>
    <definedName name="_______________REJ1">#REF!</definedName>
    <definedName name="_______________REJ2">#REF!</definedName>
    <definedName name="_______________REJ3">#REF!</definedName>
    <definedName name="_______________REJ4">#REF!</definedName>
    <definedName name="_______________REJ5">#REF!</definedName>
    <definedName name="_______________vvv1" hidden="1">{"bbtday",#N/A,FALSE,"ban0930";"banksday",#N/A,FALSE,"ban0930";"compday",#N/A,FALSE,"ban0930"}</definedName>
    <definedName name="_______________x1" hidden="1">{"compweek",#N/A,FALSE,"ban0930";"bankweek",#N/A,FALSE,"ban0930"}</definedName>
    <definedName name="_______________y1" hidden="1">{"bbtday",#N/A,FALSE,"ban0930";"banksday",#N/A,FALSE,"ban0930";"compday",#N/A,FALSE,"ban0930"}</definedName>
    <definedName name="______________EFF1">#REF!</definedName>
    <definedName name="______________EFF2">#REF!</definedName>
    <definedName name="______________EFF3">#REF!</definedName>
    <definedName name="______________EFF4">#REF!</definedName>
    <definedName name="______________EFF5">#REF!</definedName>
    <definedName name="______________REJ1">#REF!</definedName>
    <definedName name="______________REJ2">#REF!</definedName>
    <definedName name="______________REJ3">#REF!</definedName>
    <definedName name="______________REJ4">#REF!</definedName>
    <definedName name="______________REJ5">#REF!</definedName>
    <definedName name="_____________EFF1">#REF!</definedName>
    <definedName name="_____________EFF2">#REF!</definedName>
    <definedName name="_____________EFF3">#REF!</definedName>
    <definedName name="_____________EFF4">#REF!</definedName>
    <definedName name="_____________EFF5">#REF!</definedName>
    <definedName name="_____________REJ1">#REF!</definedName>
    <definedName name="_____________REJ2">#REF!</definedName>
    <definedName name="_____________REJ3">#REF!</definedName>
    <definedName name="_____________REJ4">#REF!</definedName>
    <definedName name="_____________REJ5">#REF!</definedName>
    <definedName name="_____________vvv1" hidden="1">{"bbtday",#N/A,FALSE,"ban0930";"banksday",#N/A,FALSE,"ban0930";"compday",#N/A,FALSE,"ban0930"}</definedName>
    <definedName name="_____________x1" hidden="1">{"compweek",#N/A,FALSE,"ban0930";"bankweek",#N/A,FALSE,"ban0930"}</definedName>
    <definedName name="_____________y1" hidden="1">{"bbtday",#N/A,FALSE,"ban0930";"banksday",#N/A,FALSE,"ban0930";"compday",#N/A,FALSE,"ban0930"}</definedName>
    <definedName name="____________EFF1">#REF!</definedName>
    <definedName name="____________EFF2">#REF!</definedName>
    <definedName name="____________EFF3">#REF!</definedName>
    <definedName name="____________EFF4">#REF!</definedName>
    <definedName name="____________EFF5">#REF!</definedName>
    <definedName name="____________REJ1">#REF!</definedName>
    <definedName name="____________REJ2">#REF!</definedName>
    <definedName name="____________REJ3">#REF!</definedName>
    <definedName name="____________REJ4">#REF!</definedName>
    <definedName name="____________REJ5">#REF!</definedName>
    <definedName name="___________EFF1">#REF!</definedName>
    <definedName name="___________EFF2">#REF!</definedName>
    <definedName name="___________EFF3">#REF!</definedName>
    <definedName name="___________EFF4">#REF!</definedName>
    <definedName name="___________EFF5">#REF!</definedName>
    <definedName name="___________REJ1">#REF!</definedName>
    <definedName name="___________REJ2">#REF!</definedName>
    <definedName name="___________REJ3">#REF!</definedName>
    <definedName name="___________REJ4">#REF!</definedName>
    <definedName name="___________REJ5">#REF!</definedName>
    <definedName name="___________vvv1" hidden="1">{"bbtday",#N/A,FALSE,"ban0930";"banksday",#N/A,FALSE,"ban0930";"compday",#N/A,FALSE,"ban0930"}</definedName>
    <definedName name="___________x1" hidden="1">{"compweek",#N/A,FALSE,"ban0930";"bankweek",#N/A,FALSE,"ban0930"}</definedName>
    <definedName name="___________y1" hidden="1">{"bbtday",#N/A,FALSE,"ban0930";"banksday",#N/A,FALSE,"ban0930";"compday",#N/A,FALSE,"ban0930"}</definedName>
    <definedName name="__________EFF1">#REF!</definedName>
    <definedName name="__________EFF2">#REF!</definedName>
    <definedName name="__________EFF3">#REF!</definedName>
    <definedName name="__________EFF4">#REF!</definedName>
    <definedName name="__________EFF5">#REF!</definedName>
    <definedName name="__________REJ1">#REF!</definedName>
    <definedName name="__________REJ2">#REF!</definedName>
    <definedName name="__________REJ3">#REF!</definedName>
    <definedName name="__________REJ4">#REF!</definedName>
    <definedName name="__________REJ5">#REF!</definedName>
    <definedName name="_________EFF1">#REF!</definedName>
    <definedName name="_________EFF2">#REF!</definedName>
    <definedName name="_________EFF3">#REF!</definedName>
    <definedName name="_________EFF4">#REF!</definedName>
    <definedName name="_________EFF5">#REF!</definedName>
    <definedName name="_________REJ1">#REF!</definedName>
    <definedName name="_________REJ2">#REF!</definedName>
    <definedName name="_________REJ3">#REF!</definedName>
    <definedName name="_________REJ4">#REF!</definedName>
    <definedName name="_________REJ5">#REF!</definedName>
    <definedName name="_________vvv1" hidden="1">{"bbtday",#N/A,FALSE,"ban0930";"banksday",#N/A,FALSE,"ban0930";"compday",#N/A,FALSE,"ban0930"}</definedName>
    <definedName name="_________x1" hidden="1">{"compweek",#N/A,FALSE,"ban0930";"bankweek",#N/A,FALSE,"ban0930"}</definedName>
    <definedName name="_________y1" hidden="1">{"bbtday",#N/A,FALSE,"ban0930";"banksday",#N/A,FALSE,"ban0930";"compday",#N/A,FALSE,"ban0930"}</definedName>
    <definedName name="________EFF1">#REF!</definedName>
    <definedName name="________EFF2">#REF!</definedName>
    <definedName name="________EFF3">#REF!</definedName>
    <definedName name="________EFF4">#REF!</definedName>
    <definedName name="________EFF5">#REF!</definedName>
    <definedName name="________REJ1">#REF!</definedName>
    <definedName name="________REJ2">#REF!</definedName>
    <definedName name="________REJ3">#REF!</definedName>
    <definedName name="________REJ4">#REF!</definedName>
    <definedName name="________REJ5">#REF!</definedName>
    <definedName name="________vvv1" hidden="1">{"bbtday",#N/A,FALSE,"ban0930";"banksday",#N/A,FALSE,"ban0930";"compday",#N/A,FALSE,"ban0930"}</definedName>
    <definedName name="________x1" hidden="1">{"compweek",#N/A,FALSE,"ban0930";"bankweek",#N/A,FALSE,"ban0930"}</definedName>
    <definedName name="________y1" hidden="1">{"bbtday",#N/A,FALSE,"ban0930";"banksday",#N/A,FALSE,"ban0930";"compday",#N/A,FALSE,"ban0930"}</definedName>
    <definedName name="_______EFF1">#REF!</definedName>
    <definedName name="_______EFF2">#REF!</definedName>
    <definedName name="_______EFF3">#REF!</definedName>
    <definedName name="_______EFF4">#REF!</definedName>
    <definedName name="_______EFF5">#REF!</definedName>
    <definedName name="_______REJ1">#REF!</definedName>
    <definedName name="_______REJ2">#REF!</definedName>
    <definedName name="_______REJ3">#REF!</definedName>
    <definedName name="_______REJ4">#REF!</definedName>
    <definedName name="_______REJ5">#REF!</definedName>
    <definedName name="_______vvv1" hidden="1">{"bbtday",#N/A,FALSE,"ban0930";"banksday",#N/A,FALSE,"ban0930";"compday",#N/A,FALSE,"ban0930"}</definedName>
    <definedName name="_______x1" hidden="1">{"compweek",#N/A,FALSE,"ban0930";"bankweek",#N/A,FALSE,"ban0930"}</definedName>
    <definedName name="_______y1" hidden="1">{"bbtday",#N/A,FALSE,"ban0930";"banksday",#N/A,FALSE,"ban0930";"compday",#N/A,FALSE,"ban0930"}</definedName>
    <definedName name="______EFF1">#REF!</definedName>
    <definedName name="______EFF2">#REF!</definedName>
    <definedName name="______EFF3">#REF!</definedName>
    <definedName name="______EFF4">#REF!</definedName>
    <definedName name="______EFF5">#REF!</definedName>
    <definedName name="______REJ1">#REF!</definedName>
    <definedName name="______REJ2">#REF!</definedName>
    <definedName name="______REJ3">#REF!</definedName>
    <definedName name="______REJ4">#REF!</definedName>
    <definedName name="______REJ5">#REF!</definedName>
    <definedName name="_____EFF1">#REF!</definedName>
    <definedName name="_____EFF2">#REF!</definedName>
    <definedName name="_____EFF3">#REF!</definedName>
    <definedName name="_____EFF4">#REF!</definedName>
    <definedName name="_____EFF5">#REF!</definedName>
    <definedName name="_____REJ1">#REF!</definedName>
    <definedName name="_____REJ2">#REF!</definedName>
    <definedName name="_____REJ3">#REF!</definedName>
    <definedName name="_____REJ4">#REF!</definedName>
    <definedName name="_____REJ5">#REF!</definedName>
    <definedName name="_____vvv1" hidden="1">{"bbtday",#N/A,FALSE,"ban0930";"banksday",#N/A,FALSE,"ban0930";"compday",#N/A,FALSE,"ban0930"}</definedName>
    <definedName name="_____x1" hidden="1">{"compweek",#N/A,FALSE,"ban0930";"bankweek",#N/A,FALSE,"ban0930"}</definedName>
    <definedName name="_____y1" hidden="1">{"bbtday",#N/A,FALSE,"ban0930";"banksday",#N/A,FALSE,"ban0930";"compday",#N/A,FALSE,"ban0930"}</definedName>
    <definedName name="____aaa13">#REF!</definedName>
    <definedName name="____BAS1">#REF!</definedName>
    <definedName name="____C">#REF!</definedName>
    <definedName name="____EFF1">#REF!</definedName>
    <definedName name="____EFF2">#REF!</definedName>
    <definedName name="____EFF3">#REF!</definedName>
    <definedName name="____EFF4">#REF!</definedName>
    <definedName name="____EFF5">#REF!</definedName>
    <definedName name="____ll15">#REF!</definedName>
    <definedName name="____REJ1">#REF!</definedName>
    <definedName name="____REJ2">#REF!</definedName>
    <definedName name="____REJ3">#REF!</definedName>
    <definedName name="____REJ4">#REF!</definedName>
    <definedName name="____REJ5">#REF!</definedName>
    <definedName name="____vvv1" hidden="1">{"bbtday",#N/A,FALSE,"ban0930";"banksday",#N/A,FALSE,"ban0930";"compday",#N/A,FALSE,"ban0930"}</definedName>
    <definedName name="____x1" hidden="1">{"compweek",#N/A,FALSE,"ban0930";"bankweek",#N/A,FALSE,"ban0930"}</definedName>
    <definedName name="____y1" hidden="1">{"bbtday",#N/A,FALSE,"ban0930";"banksday",#N/A,FALSE,"ban0930";"compday",#N/A,FALSE,"ban0930"}</definedName>
    <definedName name="___1__123Graph_ACHART_1" hidden="1">#REF!</definedName>
    <definedName name="___2__123Graph_BCHART_1" hidden="1">#REF!</definedName>
    <definedName name="___3__123Graph_CCHART_1" hidden="1">#REF!</definedName>
    <definedName name="___4__123Graph_DCHART_1" hidden="1">#REF!</definedName>
    <definedName name="___5__123Graph_LBL_ACHART_1" hidden="1">#REF!</definedName>
    <definedName name="___6__123Graph_LBL_BCHART_1" hidden="1">#REF!</definedName>
    <definedName name="___aaa13">#REF!</definedName>
    <definedName name="___BAS1">#REF!</definedName>
    <definedName name="___C">#REF!</definedName>
    <definedName name="___EFF1">#REF!</definedName>
    <definedName name="___EFF2">#REF!</definedName>
    <definedName name="___EFF3">#REF!</definedName>
    <definedName name="___EFF4">#REF!</definedName>
    <definedName name="___EFF5">#REF!</definedName>
    <definedName name="___ll15">#REF!</definedName>
    <definedName name="___REJ1">#REF!</definedName>
    <definedName name="___REJ2">#REF!</definedName>
    <definedName name="___REJ3">#REF!</definedName>
    <definedName name="___REJ4">#REF!</definedName>
    <definedName name="___REJ5">#REF!</definedName>
    <definedName name="___vvv1" hidden="1">{"bbtday",#N/A,FALSE,"ban0930";"banksday",#N/A,FALSE,"ban0930";"compday",#N/A,FALSE,"ban0930"}</definedName>
    <definedName name="___x1" hidden="1">{"compweek",#N/A,FALSE,"ban0930";"bankweek",#N/A,FALSE,"ban0930"}</definedName>
    <definedName name="___y1" hidden="1">{"bbtday",#N/A,FALSE,"ban0930";"banksday",#N/A,FALSE,"ban0930";"compday",#N/A,FALSE,"ban0930"}</definedName>
    <definedName name="__1__123Graph_ACHART_1" hidden="1">#REF!</definedName>
    <definedName name="__123Graph_A" hidden="1">#REF!</definedName>
    <definedName name="__123Graph_B" hidden="1">#REF!</definedName>
    <definedName name="__123Graph_LBL_A" hidden="1">#REF!</definedName>
    <definedName name="__123Graph_X" hidden="1">#REF!</definedName>
    <definedName name="__2__123Graph_BCHART_1" hidden="1">#REF!</definedName>
    <definedName name="__3__123Graph_CCHART_1" hidden="1">#REF!</definedName>
    <definedName name="__4__123Graph_DCHART_1" hidden="1">#REF!</definedName>
    <definedName name="__5__123Graph_LBL_ACHART_1" hidden="1">#REF!</definedName>
    <definedName name="__6__123Graph_LBL_BCHART_1" hidden="1">#REF!</definedName>
    <definedName name="__aaa13">#REF!</definedName>
    <definedName name="__AAS44">#REF!</definedName>
    <definedName name="__ASP2">#REF!</definedName>
    <definedName name="__BAS1">#REF!</definedName>
    <definedName name="__C">#REF!</definedName>
    <definedName name="__EFF1">#REF!</definedName>
    <definedName name="__EFF2">#REF!</definedName>
    <definedName name="__EFF3">#REF!</definedName>
    <definedName name="__EFF4">#REF!</definedName>
    <definedName name="__EFF5">#REF!</definedName>
    <definedName name="__HIP1">#REF!</definedName>
    <definedName name="__IntlFixup" hidden="1">TRUE</definedName>
    <definedName name="__ll15">#REF!</definedName>
    <definedName name="__PG1">#REF!</definedName>
    <definedName name="__REJ1">#REF!</definedName>
    <definedName name="__REJ2">#REF!</definedName>
    <definedName name="__REJ3">#REF!</definedName>
    <definedName name="__REJ4">#REF!</definedName>
    <definedName name="__REJ5">#REF!</definedName>
    <definedName name="__sww2" hidden="1">{"bbtday",#N/A,FALSE,"ban0930";"banksday",#N/A,FALSE,"ban0930";"compday",#N/A,FALSE,"ban0930"}</definedName>
    <definedName name="__UP1">#REF!</definedName>
    <definedName name="__UP2">#REF!</definedName>
    <definedName name="__UP3">#REF!</definedName>
    <definedName name="__UP4">#REF!</definedName>
    <definedName name="__vvv1" hidden="1">{"bbtday",#N/A,FALSE,"ban0930";"banksday",#N/A,FALSE,"ban0930";"compday",#N/A,FALSE,"ban0930"}</definedName>
    <definedName name="__vvv2" hidden="1">{"bbtday",#N/A,FALSE,"ban0930";"banksday",#N/A,FALSE,"ban0930";"compday",#N/A,FALSE,"ban0930"}</definedName>
    <definedName name="__WS1">#REF!</definedName>
    <definedName name="__x1" hidden="1">{"compweek",#N/A,FALSE,"ban0930";"bankweek",#N/A,FALSE,"ban0930"}</definedName>
    <definedName name="__y1" hidden="1">{"bbtday",#N/A,FALSE,"ban0930";"banksday",#N/A,FALSE,"ban0930";"compday",#N/A,FALSE,"ban0930"}</definedName>
    <definedName name="__YN1">#REF!</definedName>
    <definedName name="_1__123Graph_ACHART_1" hidden="1">#REF!</definedName>
    <definedName name="_1998_Total">#REF!,#REF!</definedName>
    <definedName name="_1998_Total_Units">#REF!,#REF!</definedName>
    <definedName name="_2__123Graph_BCHART_1" hidden="1">#REF!</definedName>
    <definedName name="_3__123Graph_CCHART_1" hidden="1">#REF!</definedName>
    <definedName name="_4__123Graph_DCHART_1" hidden="1">#REF!</definedName>
    <definedName name="_5__123Graph_LBL_ACHART_1" hidden="1">#REF!</definedName>
    <definedName name="_6__123Graph_LBL_BCHART_1" hidden="1">#REF!</definedName>
    <definedName name="_aaa13">#REF!</definedName>
    <definedName name="_AAS44">#REF!</definedName>
    <definedName name="_ASP2">#REF!</definedName>
    <definedName name="_BAS1">#REF!</definedName>
    <definedName name="_C">#REF!</definedName>
    <definedName name="_EFF1">#REF!</definedName>
    <definedName name="_EFF2">#REF!</definedName>
    <definedName name="_EFF3">#REF!</definedName>
    <definedName name="_EFF4">#REF!</definedName>
    <definedName name="_EFF5">#REF!</definedName>
    <definedName name="_Example" hidden="1">#REF!</definedName>
    <definedName name="_Fill" hidden="1">#REF!</definedName>
    <definedName name="_get2">#REF!</definedName>
    <definedName name="_HIP1">#REF!</definedName>
    <definedName name="_Key1" hidden="1">#REF!</definedName>
    <definedName name="_Key2" hidden="1">#REF!</definedName>
    <definedName name="_ll15">#REF!</definedName>
    <definedName name="_Look" hidden="1">#REF!</definedName>
    <definedName name="_Order1" hidden="1">255</definedName>
    <definedName name="_Order1A" hidden="1">0</definedName>
    <definedName name="_Order2" hidden="1">255</definedName>
    <definedName name="_PG1">#REF!</definedName>
    <definedName name="_Regression_Int" hidden="1">1</definedName>
    <definedName name="_REJ1">#REF!</definedName>
    <definedName name="_REJ2">#REF!</definedName>
    <definedName name="_REJ3">#REF!</definedName>
    <definedName name="_REJ4">#REF!</definedName>
    <definedName name="_REJ5">#REF!</definedName>
    <definedName name="_Series" hidden="1">#REF!</definedName>
    <definedName name="_Shading" hidden="1">#REF!</definedName>
    <definedName name="_Sort" hidden="1">#REF!</definedName>
    <definedName name="_sww2" hidden="1">{"bbtday",#N/A,FALSE,"ban0930";"banksday",#N/A,FALSE,"ban0930";"compday",#N/A,FALSE,"ban0930"}</definedName>
    <definedName name="_UP1">#REF!</definedName>
    <definedName name="_UP2">#REF!</definedName>
    <definedName name="_UP3">#REF!</definedName>
    <definedName name="_UP4">#REF!</definedName>
    <definedName name="_vvv1" hidden="1">{"bbtday",#N/A,FALSE,"ban0930";"banksday",#N/A,FALSE,"ban0930";"compday",#N/A,FALSE,"ban0930"}</definedName>
    <definedName name="_vvv2" hidden="1">{"bbtday",#N/A,FALSE,"ban0930";"banksday",#N/A,FALSE,"ban0930";"compday",#N/A,FALSE,"ban0930"}</definedName>
    <definedName name="_WS1">#REF!</definedName>
    <definedName name="_X" hidden="1">#REF!</definedName>
    <definedName name="_x1" hidden="1">{"compweek",#N/A,FALSE,"ban0930";"bankweek",#N/A,FALSE,"ban0930"}</definedName>
    <definedName name="_y1" hidden="1">{"bbtday",#N/A,FALSE,"ban0930";"banksday",#N/A,FALSE,"ban0930";"compday",#N/A,FALSE,"ban0930"}</definedName>
    <definedName name="_YN1">#REF!</definedName>
    <definedName name="\a">#N/A</definedName>
    <definedName name="\b">#N/A</definedName>
    <definedName name="\C">#N/A</definedName>
    <definedName name="\d">#REF!</definedName>
    <definedName name="\g">#REF!</definedName>
    <definedName name="\H">#REF!</definedName>
    <definedName name="\m">#REF!</definedName>
    <definedName name="\p">#N/A</definedName>
    <definedName name="\r">#REF!</definedName>
    <definedName name="\S">#REF!</definedName>
    <definedName name="\t">#REF!</definedName>
    <definedName name="\u">#REF!</definedName>
    <definedName name="\x">#REF!</definedName>
    <definedName name="\z">#REF!</definedName>
    <definedName name="a" hidden="1">{"Rates_Summ",#N/A,TRUE,"Rates";"I_Poriginal",#N/A,TRUE,"I_P";"Pctgs_original",#N/A,TRUE,"Pctgs";"Rates_Main",#N/A,TRUE,"Rates"}</definedName>
    <definedName name="A_données_générales">#REF!</definedName>
    <definedName name="aa" hidden="1">{"Rates_Summ",#N/A,TRUE,"Rates";"I_Poriginal",#N/A,TRUE,"I_P";"Pctgs_original",#N/A,TRUE,"Pctgs";"Rates_Main",#N/A,TRUE,"Rates"}</definedName>
    <definedName name="AA13_">#REF!</definedName>
    <definedName name="aaa">#REF!</definedName>
    <definedName name="aab">#REF!</definedName>
    <definedName name="aac">#REF!</definedName>
    <definedName name="aad">#REF!</definedName>
    <definedName name="aae">#REF!</definedName>
    <definedName name="aaf">#REF!</definedName>
    <definedName name="AAOCARE">#REF!</definedName>
    <definedName name="AAOCOLOR">#REF!</definedName>
    <definedName name="AAVAN">#REF!</definedName>
    <definedName name="ABC" hidden="1">{"Rates_Summ",#N/A,TRUE,"Rates";"I_Poriginal",#N/A,TRUE,"I_P";"Pctgs_original",#N/A,TRUE,"Pctgs";"Rates_Main",#N/A,TRUE,"Rates"}</definedName>
    <definedName name="ABELL">#REF!</definedName>
    <definedName name="Absolute8">#REF!</definedName>
    <definedName name="ACAST">#REF!</definedName>
    <definedName name="AccountList">#REF!</definedName>
    <definedName name="Acctg_Unit">#REF!</definedName>
    <definedName name="Act" hidden="1">#REF!</definedName>
    <definedName name="act99vs00bud">#REF!</definedName>
    <definedName name="ActualData">#REF!</definedName>
    <definedName name="ACVP">#REF!</definedName>
    <definedName name="ADVT_NAME">#N/A</definedName>
    <definedName name="AEXB">#REF!</definedName>
    <definedName name="AEXC">#REF!</definedName>
    <definedName name="AFVP">#REF!</definedName>
    <definedName name="AHVP">#REF!</definedName>
    <definedName name="AIDS_GS_94">#REF!</definedName>
    <definedName name="AIDS_NS_92">#REF!</definedName>
    <definedName name="ALL">#N/A</definedName>
    <definedName name="Amort_Flag">#REF!</definedName>
    <definedName name="Amount">#REF!</definedName>
    <definedName name="ANNEE">#REF!</definedName>
    <definedName name="Annual_Salary_Increase">#REF!</definedName>
    <definedName name="Annual_salary_increase_offshore_brazil">#REF!</definedName>
    <definedName name="aocarU96T2">#REF!</definedName>
    <definedName name="aocarU96T5">#REF!</definedName>
    <definedName name="aocarU97P">#REF!</definedName>
    <definedName name="aocarU98P">#REF!</definedName>
    <definedName name="aocarU99P">#REF!</definedName>
    <definedName name="APERM">#N/A</definedName>
    <definedName name="approvaltype">#REF!</definedName>
    <definedName name="APREF">#REF!</definedName>
    <definedName name="APVP">#REF!</definedName>
    <definedName name="area">#REF!</definedName>
    <definedName name="AREA080502">#REF!</definedName>
    <definedName name="ASALCON">#REF!</definedName>
    <definedName name="ASDASDDA" hidden="1">{#N/A,#N/A,FALSE,"Consolide";#N/A,#N/A,FALSE,"OAC";#N/A,#N/A,FALSE,"OAP";#N/A,#N/A,FALSE,"P&amp;B"}</definedName>
    <definedName name="ASDASDSA" hidden="1">{#N/A,#N/A,FALSE,"Consolide";#N/A,#N/A,FALSE,"OAC";#N/A,#N/A,FALSE,"LTP";#N/A,#N/A,FALSE,"Kerastase";#N/A,#N/A,FALSE,"OAP";#N/A,#N/A,FALSE,"P&amp;B";#N/A,#N/A,FALSE,"Lancome";#N/A,#N/A,FALSE,"PCI";#N/A,#N/A,FALSE,"Guy Laroche";#N/A,#N/A,FALSE,"Cacharel";#N/A,#N/A,FALSE,"Armani";#N/A,#N/A,FALSE,"Paloma";#N/A,#N/A,FALSE,"Ralph Lauren";#N/A,#N/A,FALSE,"HR"}</definedName>
    <definedName name="ASE">#REF!</definedName>
    <definedName name="ASP">#REF!</definedName>
    <definedName name="AssetComArrg">#REF!</definedName>
    <definedName name="ATOTCOL">#REF!</definedName>
    <definedName name="ATOTDIV">#REF!</definedName>
    <definedName name="ATOTLOR">#REF!</definedName>
    <definedName name="ATOTPERF">#REF!</definedName>
    <definedName name="ATOTSTUD">#REF!</definedName>
    <definedName name="AVCLI" hidden="1">{#N/A,#N/A,FALSE,"Flash 1º"}</definedName>
    <definedName name="b" hidden="1">{"Rates_Summ",#N/A,TRUE,"Rates";"I_Poriginal",#N/A,TRUE,"I_P";"Pctgs_original",#N/A,TRUE,"Pctgs";"Rates_Main",#N/A,TRUE,"Rates"}</definedName>
    <definedName name="B_Direction_Usine">#REF!</definedName>
    <definedName name="b.absenteisme">#REF!</definedName>
    <definedName name="b.ct_ac">#REF!</definedName>
    <definedName name="b.ct_amo_eq">#REF!</definedName>
    <definedName name="b.ct_aut_frais">#REF!</definedName>
    <definedName name="b.ct_mod_stc">#REF!</definedName>
    <definedName name="b.ct_moi_int">#REF!</definedName>
    <definedName name="b.ct_moi_stat">#REF!</definedName>
    <definedName name="b.ct_mp">#REF!</definedName>
    <definedName name="b.ct_prest">#REF!</definedName>
    <definedName name="b.ct_sts">#REF!</definedName>
    <definedName name="b.eff">#REF!</definedName>
    <definedName name="b.eff_hpri_cdd">#REF!</definedName>
    <definedName name="b.eff_hpri_cdi">#REF!</definedName>
    <definedName name="b.eff_hpri_int">#REF!</definedName>
    <definedName name="b.eff_mod_cdd">#REF!</definedName>
    <definedName name="b.eff_mod_cdi">#REF!</definedName>
    <definedName name="b.eff_mod_hesup">#REF!</definedName>
    <definedName name="b.eff_mod_int">#REF!</definedName>
    <definedName name="b.eff_moi_hesup">#REF!</definedName>
    <definedName name="b.eff_moige_cdd">#REF!</definedName>
    <definedName name="b.eff_moige_cdi">#REF!</definedName>
    <definedName name="b.eff_moige_int">#REF!</definedName>
    <definedName name="b.eff_moiup_cdd">#REF!</definedName>
    <definedName name="b.eff_moiup_cdi">#REF!</definedName>
    <definedName name="b.eff_moiup_int">#REF!</definedName>
    <definedName name="b.h_prod">#REF!</definedName>
    <definedName name="b.invest">#REF!</definedName>
    <definedName name="b.invest_bat">#REF!</definedName>
    <definedName name="b.invest_info">#REF!</definedName>
    <definedName name="b.mos_n_mod">#REF!</definedName>
    <definedName name="b.tx_improd">#REF!</definedName>
    <definedName name="b.unit_sts">#REF!</definedName>
    <definedName name="b.unit_usin">#REF!</definedName>
    <definedName name="b.va">#REF!</definedName>
    <definedName name="b.va_indus">#REF!</definedName>
    <definedName name="b.val_prod">#REF!</definedName>
    <definedName name="B64CLKAFF">#N/A</definedName>
    <definedName name="BACCENT">#REF!</definedName>
    <definedName name="BANTIFRIZ">#N/A</definedName>
    <definedName name="BAOCARE">#REF!</definedName>
    <definedName name="BAOCOLOR">#REF!</definedName>
    <definedName name="BAS">#REF!</definedName>
    <definedName name="base">#N/A</definedName>
    <definedName name="BAVAN">#REF!</definedName>
    <definedName name="BAVAR">#REF!</definedName>
    <definedName name="bb" hidden="1">{"Rates_Summ",#N/A,TRUE,"Rates";"I_Poriginal",#N/A,TRUE,"I_P";"Pctgs_original",#N/A,TRUE,"Pctgs";"Rates_Main",#N/A,TRUE,"Rates"}</definedName>
    <definedName name="bbb" hidden="1">{"Rates_Summ",#N/A,TRUE,"Rates";"I_Poriginal",#N/A,TRUE,"I_P";"Pctgs_original",#N/A,TRUE,"Pctgs";"Rates_Main",#N/A,TRUE,"Rates"}</definedName>
    <definedName name="bbbbbb" hidden="1">#REF!</definedName>
    <definedName name="BBELL">#REF!</definedName>
    <definedName name="BBELLE">#REF!</definedName>
    <definedName name="BBOSCH">#REF!</definedName>
    <definedName name="bc96T2">#REF!</definedName>
    <definedName name="bc96T5">#REF!</definedName>
    <definedName name="bc97P">#REF!</definedName>
    <definedName name="bc98P">#REF!</definedName>
    <definedName name="bc99P">#REF!</definedName>
    <definedName name="BCAST">#REF!</definedName>
    <definedName name="BCASTING">#REF!</definedName>
    <definedName name="BCFROST">#REF!</definedName>
    <definedName name="BCM">#REF!</definedName>
    <definedName name="BCVP">#REF!</definedName>
    <definedName name="BCVPCDFAM">#REF!</definedName>
    <definedName name="BCVPCND">#REF!</definedName>
    <definedName name="BCVPDCS">#REF!</definedName>
    <definedName name="BCVPDD">#REF!</definedName>
    <definedName name="BCVPDISC">#REF!</definedName>
    <definedName name="BCVPISB">#N/A</definedName>
    <definedName name="BCVPLEAVE">#N/A</definedName>
    <definedName name="BCVPNT">#N/A</definedName>
    <definedName name="BCVPSH">#REF!</definedName>
    <definedName name="BCVPSHCND">#N/A</definedName>
    <definedName name="BCVPSHFAM">#REF!</definedName>
    <definedName name="BCVPSS">#REF!</definedName>
    <definedName name="BCW">#REF!</definedName>
    <definedName name="BDISCCARE">#N/A</definedName>
    <definedName name="BDRABBER">#REF!</definedName>
    <definedName name="bdrep">#REF!</definedName>
    <definedName name="BENEFIT">#REF!</definedName>
    <definedName name="BEXB">#REF!</definedName>
    <definedName name="BEXC">#REF!</definedName>
    <definedName name="BEXCLIQ">#N/A</definedName>
    <definedName name="bf">#REF!</definedName>
    <definedName name="BF_D">#REF!</definedName>
    <definedName name="BFH">#N/A</definedName>
    <definedName name="BFVP">#REF!</definedName>
    <definedName name="BFVPCDFAM">#REF!</definedName>
    <definedName name="BFVPCOND">#REF!</definedName>
    <definedName name="BFVPPCKTS">#REF!</definedName>
    <definedName name="BFVPSHAM">#REF!</definedName>
    <definedName name="BFVPSHFAM">#REF!</definedName>
    <definedName name="BGELCRL">#N/A</definedName>
    <definedName name="BHCPUMP">#N/A</definedName>
    <definedName name="BHVP">#REF!</definedName>
    <definedName name="BHVPCDFAM">#REF!</definedName>
    <definedName name="BHVPCOND">#REF!</definedName>
    <definedName name="BHVPFOAM">#REF!</definedName>
    <definedName name="BHVPLEAVE">#N/A</definedName>
    <definedName name="BHVPMASQ">#REF!</definedName>
    <definedName name="BHVPPCKTS">#REF!</definedName>
    <definedName name="BHVPSC">#REF!</definedName>
    <definedName name="BHVPSHAM">#REF!</definedName>
    <definedName name="BHVPSHFAM">#REF!</definedName>
    <definedName name="BHVPSS">#REF!</definedName>
    <definedName name="BILL_TO_ADDRESS">#REF!</definedName>
    <definedName name="BILL_TO_NAME">#REF!</definedName>
    <definedName name="BIO">#REF!</definedName>
    <definedName name="BITEX">#N/A</definedName>
    <definedName name="BITMEGA">#N/A</definedName>
    <definedName name="BLANK">#REF!</definedName>
    <definedName name="BLIGHTSTEP">#N/A</definedName>
    <definedName name="BMGEL">#N/A</definedName>
    <definedName name="BMMAERO">#N/A</definedName>
    <definedName name="BMMOUSSE">#N/A</definedName>
    <definedName name="BMMPUMP">#N/A</definedName>
    <definedName name="BMSPRITZ">#N/A</definedName>
    <definedName name="BNATURAL">#REF!</definedName>
    <definedName name="BORDER">#REF!</definedName>
    <definedName name="BPERM">#N/A</definedName>
    <definedName name="BPERMNEW">#N/A</definedName>
    <definedName name="BPREF">#REF!</definedName>
    <definedName name="BPREFERENCE">#REF!</definedName>
    <definedName name="BPUMP">#N/A</definedName>
    <definedName name="BPVP">#REF!</definedName>
    <definedName name="BPVPANTI">#N/A</definedName>
    <definedName name="BPVPCND">#REF!</definedName>
    <definedName name="BPVPCURL">#N/A</definedName>
    <definedName name="BPVPDISC">#REF!</definedName>
    <definedName name="BPVPSH">#REF!</definedName>
    <definedName name="BRANDS">#N/A</definedName>
    <definedName name="Broker">#REF!</definedName>
    <definedName name="Broker_Price">#REF!</definedName>
    <definedName name="Broker_Switch">#REF!</definedName>
    <definedName name="BSALCON">#REF!</definedName>
    <definedName name="BSB">#REF!</definedName>
    <definedName name="BSE">#REF!</definedName>
    <definedName name="BSEDISC">#REF!</definedName>
    <definedName name="BSIMPGEL">#N/A</definedName>
    <definedName name="BSIMPMOUS">#N/A</definedName>
    <definedName name="BSIMPSPRY">#N/A</definedName>
    <definedName name="BSPRINGCL">#N/A</definedName>
    <definedName name="BSPRITZ">#N/A</definedName>
    <definedName name="BSTUDCONTG">#N/A</definedName>
    <definedName name="BSTUDCONTS">#N/A</definedName>
    <definedName name="BSTUDDISC">#N/A</definedName>
    <definedName name="BSTUDHS">#N/A</definedName>
    <definedName name="BSTUDNEW">#N/A</definedName>
    <definedName name="BSTUDSPGL">#N/A</definedName>
    <definedName name="BSTUDSS">#N/A</definedName>
    <definedName name="BSUMSOLEIL">#REF!</definedName>
    <definedName name="BSUMSPRITZ">#REF!</definedName>
    <definedName name="BTOTCOL">#REF!</definedName>
    <definedName name="BTOTDIV">#REF!</definedName>
    <definedName name="BTOTGEL">#N/A</definedName>
    <definedName name="BTOTLOR">#REF!</definedName>
    <definedName name="BTOTPERF">#REF!</definedName>
    <definedName name="BTOTSTUD">#REF!</definedName>
    <definedName name="BTOUCHGEL">#N/A</definedName>
    <definedName name="BTOUCHMOUS">#N/A</definedName>
    <definedName name="BTOUCHSPRAY">#N/A</definedName>
    <definedName name="BUD99vsLE">#REF!</definedName>
    <definedName name="BURCOND">#N/A</definedName>
    <definedName name="BURSH">#N/A</definedName>
    <definedName name="BWAVESALL">#N/A</definedName>
    <definedName name="BWAVESHP">#N/A</definedName>
    <definedName name="BWAVESLIQ">#N/A</definedName>
    <definedName name="C_">#REF!</definedName>
    <definedName name="C_Dir.Administrative">#REF!</definedName>
    <definedName name="Campus">#REF!</definedName>
    <definedName name="can">#N/A</definedName>
    <definedName name="CAOCARE">#REF!</definedName>
    <definedName name="CAOCOLOR">#REF!</definedName>
    <definedName name="capital">#REF!</definedName>
    <definedName name="CAR">#REF!</definedName>
    <definedName name="CAVAN">#REF!</definedName>
    <definedName name="cb" hidden="1">{"Rates_Summ",#N/A,TRUE,"Rates";"I_Poriginal",#N/A,TRUE,"I_P";"Pctgs_original",#N/A,TRUE,"Pctgs";"Rates_Main",#N/A,TRUE,"Rates"}</definedName>
    <definedName name="CBELL">#REF!</definedName>
    <definedName name="CCAST">#REF!</definedName>
    <definedName name="CCVP">#REF!</definedName>
    <definedName name="CEXB">#REF!</definedName>
    <definedName name="CEXC">#REF!</definedName>
    <definedName name="CF">#REF!</definedName>
    <definedName name="CFG_SECTION">#REF!</definedName>
    <definedName name="CFG_SUBTOTAL_ALL">#REF!</definedName>
    <definedName name="CFG_SUBTOTAL_HW">#REF!</definedName>
    <definedName name="CFG_SUBTOTAL_MW">#REF!</definedName>
    <definedName name="CFG_SUBTOTAL_PS">#REF!</definedName>
    <definedName name="CFG_SUBTOTAL_SECTION">#REF!</definedName>
    <definedName name="CFG_SUBTOTAL_SW">#REF!</definedName>
    <definedName name="CFG_TITLE_FLD_CFG_NAME">#REF!</definedName>
    <definedName name="CFG_TITLE_SECTION">#REF!</definedName>
    <definedName name="CFORM">#REF!</definedName>
    <definedName name="CFVP">#REF!</definedName>
    <definedName name="CHVP">#REF!</definedName>
    <definedName name="Clark04">#REF!</definedName>
    <definedName name="Clark05">#REF!</definedName>
    <definedName name="Clark06">#REF!</definedName>
    <definedName name="Coffee_Bar___for_NY_Cafeteria">#REF!</definedName>
    <definedName name="colorU96T2">#REF!</definedName>
    <definedName name="colorU96T5">#REF!</definedName>
    <definedName name="colorU97P">#REF!</definedName>
    <definedName name="colorU98P">#REF!</definedName>
    <definedName name="colorU99P">#REF!</definedName>
    <definedName name="COMP2000vs01">#REF!</definedName>
    <definedName name="COMP2001vs02">#REF!</definedName>
    <definedName name="comp97vs98">#REF!</definedName>
    <definedName name="comp98vs99b">#REF!</definedName>
    <definedName name="comp99budvs99t6">#REF!</definedName>
    <definedName name="COMPT6vs2000">#REF!</definedName>
    <definedName name="CONFLICT">#REF!</definedName>
    <definedName name="CONSPRINT">#REF!,#REF!,#REF!,#REF!,#REF!,#REF!,#REF!,#REF!,#REF!</definedName>
    <definedName name="Contract_term">#REF!</definedName>
    <definedName name="contractlength">#REF!</definedName>
    <definedName name="contracttype">#REF!</definedName>
    <definedName name="Copy8">#REF!</definedName>
    <definedName name="CoreGrowthRate">#REF!</definedName>
    <definedName name="Cost_Center_Burden">#REF!</definedName>
    <definedName name="Cost_of_Capital">#REF!</definedName>
    <definedName name="cosU93">#REF!</definedName>
    <definedName name="cosU94">#REF!</definedName>
    <definedName name="cosU95">#REF!</definedName>
    <definedName name="cosU96B">#REF!</definedName>
    <definedName name="cosU96T2">#REF!</definedName>
    <definedName name="cosU96T5">#REF!</definedName>
    <definedName name="cosU97P">#REF!</definedName>
    <definedName name="cosU98P">#REF!</definedName>
    <definedName name="cosU99P">#REF!</definedName>
    <definedName name="CPERM">#N/A</definedName>
    <definedName name="CPREF">#REF!</definedName>
    <definedName name="CPVP">#REF!</definedName>
    <definedName name="cres" hidden="1">{#N/A,#N/A,FALSE,"Unites";#N/A,#N/A,FALSE,"Unites PCI";#N/A,#N/A,FALSE,"CA Net";#N/A,#N/A,FALSE,"CA Net PCI";#N/A,#N/A,FALSE,"P. Moyen";#N/A,#N/A,FALSE,"P. Moyen PCI";#N/A,#N/A,FALSE,"CA US$";#N/A,#N/A,FALSE,"CA US$ PCI";#N/A,#N/A,FALSE,"P.Moyen US$";#N/A,#N/A,FALSE,"CA Net FF PCI";#N/A,#N/A,FALSE,"P.Moyen FF";#N/A,#N/A,FALSE,"CA FF"}</definedName>
    <definedName name="CSALCON">#REF!</definedName>
    <definedName name="CSE">#REF!</definedName>
    <definedName name="CSI_FLD_CSI_DESCRIPTION">#REF!</definedName>
    <definedName name="CSI_FLD_CSI_NAME">#REF!</definedName>
    <definedName name="CSI_LABEL_HEADERS">#REF!</definedName>
    <definedName name="CSI_LINE_HW">#REF!</definedName>
    <definedName name="CSI_LINE_MW">#REF!</definedName>
    <definedName name="CSI_LINE_PS">#REF!</definedName>
    <definedName name="CSI_LINE_SW">#REF!</definedName>
    <definedName name="CSI_SECTION_HW_ALL">#REF!</definedName>
    <definedName name="CSI_SECTION_HW_BOT">#REF!</definedName>
    <definedName name="CSI_SECTION_HW_TOP">#REF!</definedName>
    <definedName name="CSI_SECTION_MW_ALL">#REF!</definedName>
    <definedName name="CSI_SECTION_MW_BOT">#REF!</definedName>
    <definedName name="CSI_SECTION_MW_TOP">#REF!</definedName>
    <definedName name="CSI_SECTION_PS_ALL">#REF!</definedName>
    <definedName name="CSI_SECTION_PS_BOT">#REF!</definedName>
    <definedName name="CSI_SECTION_PS_TOP">#REF!</definedName>
    <definedName name="CSI_SECTION_SW_ALL">#REF!</definedName>
    <definedName name="CSI_SECTION_SW_BOT">#REF!</definedName>
    <definedName name="CSI_SECTION_SW_TOP">#REF!</definedName>
    <definedName name="CSI_SECTION_TITLE">#REF!</definedName>
    <definedName name="CSI_SUBTOTAL_HW">#REF!</definedName>
    <definedName name="CSI_SUBTOTAL_MW">#REF!</definedName>
    <definedName name="CSI_SUBTOTAL_PS">#REF!</definedName>
    <definedName name="CSI_SUBTOTAL_SW">#REF!</definedName>
    <definedName name="CTOTCOL">#REF!</definedName>
    <definedName name="CTOTDIV">#REF!</definedName>
    <definedName name="CTOTLOR">#REF!</definedName>
    <definedName name="CTOTPERF">#REF!</definedName>
    <definedName name="CTOTSTUD">#REF!</definedName>
    <definedName name="CumCreditScore">#REF!</definedName>
    <definedName name="Current_Month">#REF!</definedName>
    <definedName name="customer">#REF!</definedName>
    <definedName name="D">#REF!</definedName>
    <definedName name="D_Magasins_AC_PF">#REF!</definedName>
    <definedName name="DAOCARE">#REF!</definedName>
    <definedName name="DAOCOLOR">#REF!</definedName>
    <definedName name="DATA_01" hidden="1">#REF!</definedName>
    <definedName name="DATA_02" hidden="1">#REF!</definedName>
    <definedName name="DATA_03" hidden="1">#REF!</definedName>
    <definedName name="DATA_04" hidden="1">#REF!</definedName>
    <definedName name="DATA_05" hidden="1">#REF!</definedName>
    <definedName name="DATA_06" hidden="1">#REF!</definedName>
    <definedName name="DATA_07" hidden="1">#REF!</definedName>
    <definedName name="DATA_08" hidden="1">#REF!</definedName>
    <definedName name="DATA_09" hidden="1">#REF!</definedName>
    <definedName name="DATA_10" hidden="1">#REF!</definedName>
    <definedName name="DATA_11" hidden="1">#REF!</definedName>
    <definedName name="DATA1">#REF!</definedName>
    <definedName name="DATA13">#REF!</definedName>
    <definedName name="DATA14">#REF!</definedName>
    <definedName name="DATA17">#REF!</definedName>
    <definedName name="DATA18">#REF!</definedName>
    <definedName name="DATA19">#REF!</definedName>
    <definedName name="DATA2">#REF!</definedName>
    <definedName name="DATA20">#REF!</definedName>
    <definedName name="DATA21">#REF!</definedName>
    <definedName name="DATA22">#REF!</definedName>
    <definedName name="DATA23">#REF!</definedName>
    <definedName name="DATA26">#REF!</definedName>
    <definedName name="DATA27">#REF!</definedName>
    <definedName name="DATA28">#REF!</definedName>
    <definedName name="DATA29">#REF!</definedName>
    <definedName name="DATA30">#REF!</definedName>
    <definedName name="DATA4">#REF!</definedName>
    <definedName name="DATA5">#REF!</definedName>
    <definedName name="DATA6">#REF!</definedName>
    <definedName name="DATA8">#REF!</definedName>
    <definedName name="_xlnm.Database">#REF!</definedName>
    <definedName name="Database2">#REF!</definedName>
    <definedName name="DataRange">#REF!</definedName>
    <definedName name="DATE">#REF!</definedName>
    <definedName name="DAVAN">#REF!</definedName>
    <definedName name="days">261</definedName>
    <definedName name="DB107\">#REF!</definedName>
    <definedName name="DBELL">#REF!</definedName>
    <definedName name="DBTWO">#REF!</definedName>
    <definedName name="DCAST">#REF!</definedName>
    <definedName name="DCVP">#REF!</definedName>
    <definedName name="dd" hidden="1">{"Rates_Summ",#N/A,TRUE,"Rates";"I_Poriginal",#N/A,TRUE,"I_P";"Pctgs_original",#N/A,TRUE,"Pctgs";"Rates_Main",#N/A,TRUE,"Rates"}</definedName>
    <definedName name="ddd">#REF!</definedName>
    <definedName name="dddd" hidden="1">#REF!</definedName>
    <definedName name="DedBuilding">#REF!</definedName>
    <definedName name="Dedicated_Environment">#REF!</definedName>
    <definedName name="DemandwareGrowth">#REF!</definedName>
    <definedName name="DemandwareRevShare">#REF!</definedName>
    <definedName name="DEMO">#REF!</definedName>
    <definedName name="Departmental_Business_Group">#REF!</definedName>
    <definedName name="DepreciationTab">#REF!</definedName>
    <definedName name="DEPT100">#REF!</definedName>
    <definedName name="DEPT101">#REF!</definedName>
    <definedName name="DEPT102">#REF!</definedName>
    <definedName name="DEPT104">#REF!</definedName>
    <definedName name="DEPT106">#REF!</definedName>
    <definedName name="DEPT107">#REF!</definedName>
    <definedName name="DEPT110">#REF!</definedName>
    <definedName name="DEPT111">#REF!</definedName>
    <definedName name="DEPT113">#REF!</definedName>
    <definedName name="DEPT120">#REF!</definedName>
    <definedName name="DEPT121">#REF!</definedName>
    <definedName name="DEPT140">#REF!</definedName>
    <definedName name="DEPT141">#REF!</definedName>
    <definedName name="DEPT142">#REF!</definedName>
    <definedName name="DEPT143">#REF!</definedName>
    <definedName name="DEPT144">#REF!</definedName>
    <definedName name="DEPT145">#REF!</definedName>
    <definedName name="DEPT160">#REF!</definedName>
    <definedName name="DEPT161">#REF!</definedName>
    <definedName name="dept162">#REF!</definedName>
    <definedName name="DEPT164">#REF!</definedName>
    <definedName name="DEPT180">#REF!</definedName>
    <definedName name="DEPT181">#REF!</definedName>
    <definedName name="DEPT182">#REF!</definedName>
    <definedName name="DEPT184">#REF!</definedName>
    <definedName name="DEPT190">#REF!</definedName>
    <definedName name="DEPT191">#REF!</definedName>
    <definedName name="DEPT193">#REF!</definedName>
    <definedName name="Desc">#REF!</definedName>
    <definedName name="DETAIL">#REF!</definedName>
    <definedName name="Development_Costs_for_new_Medical_Plan__2004">#REF!</definedName>
    <definedName name="DEXB">#REF!</definedName>
    <definedName name="DEXC">#REF!</definedName>
    <definedName name="DFVP">#REF!</definedName>
    <definedName name="DHVP">#REF!</definedName>
    <definedName name="Dialogue_texte">#REF!</definedName>
    <definedName name="Direct_Labor_Categories">#REF!</definedName>
    <definedName name="DIRECTION">#REF!</definedName>
    <definedName name="DIVISION">#REF!</definedName>
    <definedName name="DOCUMENT">#REF!</definedName>
    <definedName name="DOL">#REF!</definedName>
    <definedName name="DPERM">#N/A</definedName>
    <definedName name="DPOLabor">#REF!</definedName>
    <definedName name="DPOother">#REF!</definedName>
    <definedName name="DPREF">#REF!</definedName>
    <definedName name="DPVP">#REF!</definedName>
    <definedName name="DSADSADA">#REF!</definedName>
    <definedName name="DSALCON">#REF!</definedName>
    <definedName name="DSE">#REF!</definedName>
    <definedName name="dsf" hidden="1">{"Rates_Summ",#N/A,TRUE,"Rates";"I_Poriginal",#N/A,TRUE,"I_P";"Pctgs_original",#N/A,TRUE,"Pctgs";"Rates_Main",#N/A,TRUE,"Rates"}</definedName>
    <definedName name="DSO">#REF!</definedName>
    <definedName name="DT_1">#REF!</definedName>
    <definedName name="DT_2">#REF!</definedName>
    <definedName name="DT_3">#REF!</definedName>
    <definedName name="DTAIL">#REF!</definedName>
    <definedName name="DTOTCOL">#REF!</definedName>
    <definedName name="DTOTDIV">#REF!</definedName>
    <definedName name="DTOTLOR">#REF!</definedName>
    <definedName name="DTOTPERF">#REF!</definedName>
    <definedName name="DTOTSTUD">#REF!</definedName>
    <definedName name="DV_NAMED_LIST_RANGES_0">#REF!</definedName>
    <definedName name="DV_NAMED_LIST_RANGES_1">#REF!</definedName>
    <definedName name="DV_NAMED_LIST_RANGES_10">#REF!</definedName>
    <definedName name="DV_NAMED_LIST_RANGES_11">#REF!</definedName>
    <definedName name="DV_NAMED_LIST_RANGES_2">#REF!</definedName>
    <definedName name="DV_NAMED_LIST_RANGES_3">#REF!</definedName>
    <definedName name="DV_NAMED_LIST_RANGES_4">#REF!</definedName>
    <definedName name="DV_NAMED_LIST_RANGES_5">#REF!</definedName>
    <definedName name="DV_NAMED_LIST_RANGES_6">#REF!</definedName>
    <definedName name="DV_NAMED_LIST_RANGES_7">#REF!</definedName>
    <definedName name="DV_NAMED_LIST_RANGES_8">#REF!</definedName>
    <definedName name="DV_NAMED_LIST_RANGES_9">#REF!</definedName>
    <definedName name="E">#REF!</definedName>
    <definedName name="E_Mag_MP">#REF!</definedName>
    <definedName name="EMC_ADDRESS">#REF!</definedName>
    <definedName name="Employee_Service_Awards">#REF!</definedName>
    <definedName name="Entities">#REF!</definedName>
    <definedName name="EntitiesLookup">#REF!</definedName>
    <definedName name="Entity">#REF!</definedName>
    <definedName name="err">#REF!</definedName>
    <definedName name="EURO">#REF!</definedName>
    <definedName name="Euro2US">#REF!</definedName>
    <definedName name="EVOLUTION_2002_Trend_09_TO_2003_Pre_Budget">#REF!</definedName>
    <definedName name="Exchange_Rate">#REF!</definedName>
    <definedName name="ExpenseAcct">#REF!</definedName>
    <definedName name="EXPMONNUM">#REF!</definedName>
    <definedName name="F">#REF!</definedName>
    <definedName name="F_Dir.Personnel">#REF!</definedName>
    <definedName name="FACCENT">#REF!</definedName>
    <definedName name="FACE_GS_94">#REF!</definedName>
    <definedName name="FACE_NS_92">#REF!</definedName>
    <definedName name="facteur">#REF!</definedName>
    <definedName name="FANTIFRIZ">#N/A</definedName>
    <definedName name="FBELLE">#REF!</definedName>
    <definedName name="FCASTING">#REF!</definedName>
    <definedName name="FCFROST">#REF!</definedName>
    <definedName name="FCM">#REF!</definedName>
    <definedName name="FCVPCDFAM">#REF!</definedName>
    <definedName name="FCVPCND">#REF!</definedName>
    <definedName name="FCVPDCS">#N/A</definedName>
    <definedName name="FCVPDD">#REF!</definedName>
    <definedName name="FCVPDISC">#REF!</definedName>
    <definedName name="FCVPISB">#N/A</definedName>
    <definedName name="FCVPLEAVE">#N/A</definedName>
    <definedName name="FCVPNT">#N/A</definedName>
    <definedName name="FCVPSH">#REF!</definedName>
    <definedName name="FCVPSHFAM">#REF!</definedName>
    <definedName name="FCVPSS">#REF!</definedName>
    <definedName name="FDISCCARE">#N/A</definedName>
    <definedName name="FDRABBER">#REF!</definedName>
    <definedName name="FDSFDSA">#REF!</definedName>
    <definedName name="FEXCLIQ">#N/A</definedName>
    <definedName name="FF">#REF!</definedName>
    <definedName name="FF_D">#REF!</definedName>
    <definedName name="FFH">#N/A</definedName>
    <definedName name="FFVAR">#REF!</definedName>
    <definedName name="FFVPCDFAM">#REF!</definedName>
    <definedName name="FFVPCOND">#REF!</definedName>
    <definedName name="FFVPLEAVE">#N/A</definedName>
    <definedName name="FFVPPCKTS">#REF!</definedName>
    <definedName name="FFVPSHAM">#REF!</definedName>
    <definedName name="FFVPSHFAM">#REF!</definedName>
    <definedName name="FGELCRL">#N/A</definedName>
    <definedName name="FHCPUMP">#N/A</definedName>
    <definedName name="FHVPCDFAM">#REF!</definedName>
    <definedName name="FHVPCOND">#REF!</definedName>
    <definedName name="FHVPFOAM">#REF!</definedName>
    <definedName name="FHVPLEAVE">#N/A</definedName>
    <definedName name="FHVPMASQ">#REF!</definedName>
    <definedName name="FHVPPCKTS">#REF!</definedName>
    <definedName name="FHVPSC">#REF!</definedName>
    <definedName name="FHVPSHAM">#REF!</definedName>
    <definedName name="FHVPSHFAM">#REF!</definedName>
    <definedName name="FHVPSS">#REF!</definedName>
    <definedName name="FIELD">#REF!</definedName>
    <definedName name="FINANCE">#REF!</definedName>
    <definedName name="FIND">#REF!</definedName>
    <definedName name="FinRate">#REF!</definedName>
    <definedName name="FITEX">#N/A</definedName>
    <definedName name="FITMEGA">#N/A</definedName>
    <definedName name="FLIGHTSTEP">#N/A</definedName>
    <definedName name="Flux">#REF!</definedName>
    <definedName name="FMGEL">#N/A</definedName>
    <definedName name="FMMAERO">#N/A</definedName>
    <definedName name="FMMOUSSE">#N/A</definedName>
    <definedName name="FMMPUMP">#N/A</definedName>
    <definedName name="FMSPRITZ">#N/A</definedName>
    <definedName name="FNATURAL">#REF!</definedName>
    <definedName name="FPERM">#N/A</definedName>
    <definedName name="FPREFERENCE">#REF!</definedName>
    <definedName name="FPUMP">#N/A</definedName>
    <definedName name="FPVPANTI">#N/A</definedName>
    <definedName name="FPVPCND">#REF!</definedName>
    <definedName name="FPVPCURL">#N/A</definedName>
    <definedName name="FPVPDISC">#REF!</definedName>
    <definedName name="FPVPPCKTS">#N/A</definedName>
    <definedName name="FPVPSH">#REF!</definedName>
    <definedName name="fragU93">#REF!</definedName>
    <definedName name="fragU94">#REF!</definedName>
    <definedName name="fragU95">#REF!</definedName>
    <definedName name="fragU96B">#REF!</definedName>
    <definedName name="fragU96T2">#REF!</definedName>
    <definedName name="fragU96T5">#REF!</definedName>
    <definedName name="fragU97P">#REF!</definedName>
    <definedName name="fragU98P">#REF!</definedName>
    <definedName name="fragU99P">#REF!</definedName>
    <definedName name="FRANKLIN_3YR_L2">#REF!</definedName>
    <definedName name="FRANKLIN_3YR_L4">#REF!</definedName>
    <definedName name="fred">#REF!</definedName>
    <definedName name="fred2">#REF!</definedName>
    <definedName name="fred3">#REF!</definedName>
    <definedName name="FringeLookup">#REF!</definedName>
    <definedName name="FSB">#REF!</definedName>
    <definedName name="FSEDISC">#REF!</definedName>
    <definedName name="FSIMPGEL">#N/A</definedName>
    <definedName name="FSIMPMOUS">#N/A</definedName>
    <definedName name="FSIMPSPRY">#N/A</definedName>
    <definedName name="FSPRINGCL">#N/A</definedName>
    <definedName name="FSTUDCONTG">#N/A</definedName>
    <definedName name="FSTUDCONTS">#N/A</definedName>
    <definedName name="FSTUDDISC">#N/A</definedName>
    <definedName name="FSTUDHS">#N/A</definedName>
    <definedName name="FSTUDSPGL">#N/A</definedName>
    <definedName name="FSTUDSS">#N/A</definedName>
    <definedName name="FSUMSOLEIL">#REF!</definedName>
    <definedName name="FTOTGEL">#N/A</definedName>
    <definedName name="FTOUCHGEL">#N/A</definedName>
    <definedName name="FTOUCHMOUS">#N/A</definedName>
    <definedName name="FTOUCHSPRAY">#N/A</definedName>
    <definedName name="FUEL">#N/A</definedName>
    <definedName name="FURCOND">#N/A</definedName>
    <definedName name="FURSH">#N/A</definedName>
    <definedName name="FWAVESALL">#N/A</definedName>
    <definedName name="FWAVESHP">#N/A</definedName>
    <definedName name="FWAVESLIQ">#N/A</definedName>
    <definedName name="G_Dir.Achat">#REF!</definedName>
    <definedName name="gar">#N/A</definedName>
    <definedName name="Gen_l__Benefits__Adm___Employee_Handbook_Web_Dev.">#REF!</definedName>
    <definedName name="General_Services__Human_Resources___Bob_Niles">#REF!</definedName>
    <definedName name="get">#REF!</definedName>
    <definedName name="geweg" hidden="1">{#N/A,#N/A,FALSE,"Consolide";#N/A,#N/A,FALSE,"OAC";#N/A,#N/A,FALSE,"OAP";#N/A,#N/A,FALSE,"P&amp;B"}</definedName>
    <definedName name="H_Logistique_indus">#REF!</definedName>
    <definedName name="H9796C">#REF!</definedName>
    <definedName name="H9796S">#REF!</definedName>
    <definedName name="H9797C">#REF!</definedName>
    <definedName name="H9797S">#REF!</definedName>
    <definedName name="H97C">#REF!</definedName>
    <definedName name="H97S">#REF!</definedName>
    <definedName name="HEADER">#REF!</definedName>
    <definedName name="HeaderRange">#REF!</definedName>
    <definedName name="HEADR">#REF!</definedName>
    <definedName name="HELP">#REF!</definedName>
    <definedName name="HELPCL">#REF!</definedName>
    <definedName name="HELPCR">#REF!</definedName>
    <definedName name="HELPMN">#REF!</definedName>
    <definedName name="HELPPR">#REF!</definedName>
    <definedName name="HELPRV">#REF!</definedName>
    <definedName name="HELPST">#REF!</definedName>
    <definedName name="hhh" hidden="1">#REF!</definedName>
    <definedName name="HIP">#REF!</definedName>
    <definedName name="HourlyDist">#REF!</definedName>
    <definedName name="I_Chimie_indus">#REF!</definedName>
    <definedName name="IDMS">#REF!</definedName>
    <definedName name="iiiiiiiiiiiiiiii">#REF!</definedName>
    <definedName name="IMP_">#N/A</definedName>
    <definedName name="IMS">#REF!</definedName>
    <definedName name="INDICE1">#REF!</definedName>
    <definedName name="INDICE2">#REF!</definedName>
    <definedName name="Individual_Months">#REF!</definedName>
    <definedName name="inflation">#REF!</definedName>
    <definedName name="INPUT">#REF!</definedName>
    <definedName name="input8">#REF!</definedName>
    <definedName name="INSTALL_AT_ADDRESS">#REF!</definedName>
    <definedName name="INSTALL_AT_NAME">#REF!</definedName>
    <definedName name="Interface_Inventory_Export_Range">#REF!</definedName>
    <definedName name="IntlGrowthPerYear">#REF!</definedName>
    <definedName name="IntroPrintArea" hidden="1">#REF!</definedName>
    <definedName name="INV">#REF!</definedName>
    <definedName name="invest_secenv">#REF!</definedName>
    <definedName name="ITContract">#REF!</definedName>
    <definedName name="ITOrg">#REF!</definedName>
    <definedName name="ITPaidAs">#REF!</definedName>
    <definedName name="J_Qualité">#REF!</definedName>
    <definedName name="JUSTIF">#REF!</definedName>
    <definedName name="K">#REF!</definedName>
    <definedName name="K_ETN_SE">#REF!</definedName>
    <definedName name="kkkkkkkkkkkkkkk">#REF!</definedName>
    <definedName name="kurt">#REF!</definedName>
    <definedName name="L_EFF_Hors_PRI">#REF!</definedName>
    <definedName name="L_ORÉAL_USA__INC._CORPORATE_G_A_RECAP">#REF!</definedName>
    <definedName name="L15_">#REF!</definedName>
    <definedName name="LABORATES">#REF!</definedName>
    <definedName name="LaborRates">#REF!</definedName>
    <definedName name="LANC">#REF!</definedName>
    <definedName name="Lease_Factor">#REF!</definedName>
    <definedName name="line_61">#REF!</definedName>
    <definedName name="LINE_GS_94">#REF!</definedName>
    <definedName name="LINE_NS_92">#REF!</definedName>
    <definedName name="LIP_GS_94">#REF!</definedName>
    <definedName name="LIP_NS_92">#REF!</definedName>
    <definedName name="location">#REF!</definedName>
    <definedName name="LookUpTable">#REF!</definedName>
    <definedName name="LTP">#REF!</definedName>
    <definedName name="M_Test">#REF!</definedName>
    <definedName name="mac">#REF!</definedName>
    <definedName name="MACRO">#N/A</definedName>
    <definedName name="MACROS">#REF!</definedName>
    <definedName name="Mainframe">#REF!</definedName>
    <definedName name="MaintenanceGrowthRate">#REF!</definedName>
    <definedName name="MARKET">#REF!</definedName>
    <definedName name="MASC_GS_94">#REF!</definedName>
    <definedName name="MASC_NS_92">#REF!</definedName>
    <definedName name="MASTLABOR">#REF!</definedName>
    <definedName name="maxinventory">#REF!</definedName>
    <definedName name="MENU">#REF!</definedName>
    <definedName name="Misc___All_Other">#REF!</definedName>
    <definedName name="MISC_FLD_TITLE">#REF!</definedName>
    <definedName name="MISC_GS_94">#REF!</definedName>
    <definedName name="MISC_LINE_HW">#REF!</definedName>
    <definedName name="MISC_LINE_PS">#REF!</definedName>
    <definedName name="MISC_LINE_SW">#REF!</definedName>
    <definedName name="MISC_NS_92">#REF!</definedName>
    <definedName name="MISC_SECTION_HW_ALL">#REF!</definedName>
    <definedName name="MISC_SECTION_HW_BOT">#REF!</definedName>
    <definedName name="MISC_SECTION_HW_TOP">#REF!</definedName>
    <definedName name="MISC_SECTION_PS_ALL">#REF!</definedName>
    <definedName name="MISC_SECTION_PS_BOT">#REF!</definedName>
    <definedName name="MISC_SECTION_PS_TOP">#REF!</definedName>
    <definedName name="MISC_SECTION_SW_ALL">#REF!</definedName>
    <definedName name="MISC_SECTION_SW_BOT">#REF!</definedName>
    <definedName name="MISC_SECTION_SW_TOP">#REF!</definedName>
    <definedName name="MISC_SECTION_TITLE">#REF!</definedName>
    <definedName name="MISC_SUBTOTAL_HW">#REF!</definedName>
    <definedName name="MISC_SUBTOTAL_PS">#REF!</definedName>
    <definedName name="MISC_SUBTOTAL_SW">#REF!</definedName>
    <definedName name="modeldate">#REF!</definedName>
    <definedName name="MONNUM">#REF!</definedName>
    <definedName name="Month">#REF!</definedName>
    <definedName name="Month_Name">#REF!</definedName>
    <definedName name="Month_Range">#REF!</definedName>
    <definedName name="Month_tab">#REF!</definedName>
    <definedName name="Month_tab2">#REF!</definedName>
    <definedName name="Monthly_Data">#REF!</definedName>
    <definedName name="moy_p">#REF!</definedName>
    <definedName name="MSU">#REF!</definedName>
    <definedName name="mth">#REF!</definedName>
    <definedName name="MultiSite">#REF!</definedName>
    <definedName name="mvargas" hidden="1">{#N/A,#N/A,FALSE,"Consolide";#N/A,#N/A,FALSE,"OAC";#N/A,#N/A,FALSE,"OAP";#N/A,#N/A,FALSE,"P&amp;B"}</definedName>
    <definedName name="N" hidden="1">{"bbtday",#N/A,FALSE,"ban0930";"banksday",#N/A,FALSE,"ban0930";"compday",#N/A,FALSE,"ban0930"}</definedName>
    <definedName name="NAIL_GS_94">#REF!</definedName>
    <definedName name="NAIL_NS_92">#REF!</definedName>
    <definedName name="new">#REF!</definedName>
    <definedName name="nEW_nAME">#REF!</definedName>
    <definedName name="nineety7_act">#REF!</definedName>
    <definedName name="ninety7">#REF!</definedName>
    <definedName name="ninety7ACTvs98ACT">#REF!</definedName>
    <definedName name="ninety8">#REF!</definedName>
    <definedName name="ninety8ACTvs99bud">#REF!</definedName>
    <definedName name="ninety8bud">#REF!</definedName>
    <definedName name="ninety8bud2">#REF!</definedName>
    <definedName name="ninety8latest">#REF!</definedName>
    <definedName name="ninety8t10">#REF!</definedName>
    <definedName name="nnnnnnnnnnnnnnn">#REF!</definedName>
    <definedName name="NOM">#REF!</definedName>
    <definedName name="NOM_DES_FICHIERS">#REF!</definedName>
    <definedName name="Nombre_de_postes">difpo</definedName>
    <definedName name="North_Little_Rock_Coalition">#REF!</definedName>
    <definedName name="NumberIntlSites">#REF!</definedName>
    <definedName name="oh_allocation">#REF!</definedName>
    <definedName name="OnboardingPaid">#REF!</definedName>
    <definedName name="One_Additional_Headcount___Corp_HR__Expat_Exec_Comp">#REF!</definedName>
    <definedName name="One_Additional_Headcount___HRIS_Data_Entry">#REF!</definedName>
    <definedName name="oooooooooooooooooooo">#REF!</definedName>
    <definedName name="OpptPg1">#REF!</definedName>
    <definedName name="OpptPg2">#REF!</definedName>
    <definedName name="OPTIONS">#REF!</definedName>
    <definedName name="PAGE_1_BOTTOM">#REF!</definedName>
    <definedName name="PAGE_1_TOP">#REF!</definedName>
    <definedName name="PAGE_2_BOTTOM">#REF!</definedName>
    <definedName name="PAGE_2_TOP">#REF!</definedName>
    <definedName name="PAGE1">#REF!</definedName>
    <definedName name="PAGE10">#N/A</definedName>
    <definedName name="PAGE11">#N/A</definedName>
    <definedName name="PAGE12">#N/A</definedName>
    <definedName name="PAGE13">#N/A</definedName>
    <definedName name="PAGE2">#REF!</definedName>
    <definedName name="PAGE3">#N/A</definedName>
    <definedName name="PAGE4">#N/A</definedName>
    <definedName name="PAGE5">#N/A</definedName>
    <definedName name="PAGE6">#N/A</definedName>
    <definedName name="PAGE7">#N/A</definedName>
    <definedName name="PAGE8">#N/A</definedName>
    <definedName name="PAGE9">#N/A</definedName>
    <definedName name="Pass_Through_Overhead">#REF!</definedName>
    <definedName name="PAYROLL">#REF!</definedName>
    <definedName name="PCA_SORT">#REF!</definedName>
    <definedName name="PCT">#REF!</definedName>
    <definedName name="pic">#REF!</definedName>
    <definedName name="plant">#REF!</definedName>
    <definedName name="Plant_Range">#REF!</definedName>
    <definedName name="plenU93">#REF!</definedName>
    <definedName name="plenU94">#REF!</definedName>
    <definedName name="plenU95">#REF!</definedName>
    <definedName name="plenU96B">#REF!</definedName>
    <definedName name="plenU96T2">#REF!</definedName>
    <definedName name="plenU96T5">#REF!</definedName>
    <definedName name="plenU97P">#REF!</definedName>
    <definedName name="plenU98P">#REF!</definedName>
    <definedName name="plenU99P">#REF!</definedName>
    <definedName name="PopCache_GL_INTERFACE_REFERENCE7" hidden="1">#REF!</definedName>
    <definedName name="ppv335c">#REF!</definedName>
    <definedName name="Prebudget_Recap">#REF!</definedName>
    <definedName name="PRECONTRACT_FLD_CFG_NAME">#REF!</definedName>
    <definedName name="PRECONTRACT_FLD_CSI_DESCIPTION">#REF!</definedName>
    <definedName name="PRECONTRACT_FLD_CSI_NAME">#REF!</definedName>
    <definedName name="PRECONTRACT_LINE">#REF!</definedName>
    <definedName name="PRECONTRACT_SECTION">#REF!</definedName>
    <definedName name="PRECONTRACT_SECTION_CFG_TITLE">#REF!</definedName>
    <definedName name="PRECONTRACT_SECTION_CSI">#REF!</definedName>
    <definedName name="PRICE">#N/A</definedName>
    <definedName name="Prices">#REF!</definedName>
    <definedName name="print">#REF!</definedName>
    <definedName name="Print_A">#REF!</definedName>
    <definedName name="Print_Area_MI">#REF!</definedName>
    <definedName name="Print_Area1">#REF!</definedName>
    <definedName name="Print_Area2">#REF!</definedName>
    <definedName name="Print_B">#REF!</definedName>
    <definedName name="Print_Titles_MI">#REF!</definedName>
    <definedName name="Print_Titles2">#REF!,#REF!</definedName>
    <definedName name="PRINT1">#REF!</definedName>
    <definedName name="Print1_Area">#REF!</definedName>
    <definedName name="Print1_Titles">#REF!,#REF!</definedName>
    <definedName name="PRINT2">#REF!</definedName>
    <definedName name="PRINT3">#REF!</definedName>
    <definedName name="PRINT4">#REF!</definedName>
    <definedName name="PRINT5">#REF!</definedName>
    <definedName name="printbt6">#REF!</definedName>
    <definedName name="printct6">#REF!</definedName>
    <definedName name="printft6">#REF!</definedName>
    <definedName name="printgt6">#REF!</definedName>
    <definedName name="printnt6">#REF!</definedName>
    <definedName name="printt6">#REF!</definedName>
    <definedName name="PrintVarianceNov3PreB">#REF!</definedName>
    <definedName name="prise">#REF!</definedName>
    <definedName name="PRN">#REF!</definedName>
    <definedName name="productivite">#REF!</definedName>
    <definedName name="ProfessServPaid">#REF!</definedName>
    <definedName name="ProfitCenter">#REF!</definedName>
    <definedName name="ProfServContract">#REF!</definedName>
    <definedName name="PROMO_GS_94">#REF!</definedName>
    <definedName name="PROMO_NS_92">#REF!</definedName>
    <definedName name="Prop_Tax">#REF!</definedName>
    <definedName name="PROPOSAL_SECTION">#REF!</definedName>
    <definedName name="PROPOSAL_SECTION_MW">#REF!</definedName>
    <definedName name="PROPOSAL_SUBTOTAL_HW">#REF!</definedName>
    <definedName name="PROPOSAL_SUBTOTAL_MW_HW">#REF!</definedName>
    <definedName name="PROPOSAL_SUBTOTAL_MW_SW">#REF!</definedName>
    <definedName name="PROPOSAL_SUBTOTAL_MW_WAR">#REF!</definedName>
    <definedName name="PROPOSAL_SUBTOTAL_PS">#REF!</definedName>
    <definedName name="PROPOSAL_SUBTOTAL_SW">#REF!</definedName>
    <definedName name="PSA">#REF!</definedName>
    <definedName name="Q97C">#REF!</definedName>
    <definedName name="Q97CP">#REF!</definedName>
    <definedName name="Q97S">#REF!</definedName>
    <definedName name="Q97SP">#REF!</definedName>
    <definedName name="QQ">#REF!</definedName>
    <definedName name="RACCENT">#REF!</definedName>
    <definedName name="RANTIFRIZ">#N/A</definedName>
    <definedName name="rate">1.2292</definedName>
    <definedName name="rate05">1.2744</definedName>
    <definedName name="rate06">1.1784</definedName>
    <definedName name="RateAB">#REF!</definedName>
    <definedName name="RateC">#REF!</definedName>
    <definedName name="RBELLE">#REF!</definedName>
    <definedName name="RCASTING">#REF!</definedName>
    <definedName name="RCFROST">#REF!</definedName>
    <definedName name="RCM">#REF!</definedName>
    <definedName name="RCVPCDFAM">#REF!</definedName>
    <definedName name="RCVPCND">#REF!</definedName>
    <definedName name="RCVPDCS">#N/A</definedName>
    <definedName name="RCVPDD">#REF!</definedName>
    <definedName name="RCVPDISC">#REF!</definedName>
    <definedName name="RCVPISB">#N/A</definedName>
    <definedName name="RCVPLEAVE">#N/A</definedName>
    <definedName name="RCVPNT">#N/A</definedName>
    <definedName name="RCVPSH">#REF!</definedName>
    <definedName name="RCVPSHFAM">#REF!</definedName>
    <definedName name="RCVPSS">#REF!</definedName>
    <definedName name="RDISCCARE">#N/A</definedName>
    <definedName name="RDRABBER">#REF!</definedName>
    <definedName name="Readme">#REF!</definedName>
    <definedName name="Recruitment_Diversity_Recruitment">#REF!</definedName>
    <definedName name="Recruitment_Internet_Service_Fees">#REF!</definedName>
    <definedName name="Recruitment_Marketing_Awards">#REF!</definedName>
    <definedName name="Restore_annual_HR_Meeting">#REF!</definedName>
    <definedName name="rev2p1">#REF!</definedName>
    <definedName name="Rev3p1">#REF!</definedName>
    <definedName name="Rev3p2">#REF!</definedName>
    <definedName name="RevenuePerIntlSiteHigh">#REF!</definedName>
    <definedName name="RevenuePerIntlSiteLow">#REF!</definedName>
    <definedName name="Revpg1">#REF!</definedName>
    <definedName name="REVT6vsLE">#REF!</definedName>
    <definedName name="REXCLIQ">#N/A</definedName>
    <definedName name="RF_D">#REF!</definedName>
    <definedName name="RFH">#N/A</definedName>
    <definedName name="RFVPCDFAM">#REF!</definedName>
    <definedName name="RFVPCOND">#REF!</definedName>
    <definedName name="RFVPLEAVE">#N/A</definedName>
    <definedName name="RFVPPCKTS">#REF!</definedName>
    <definedName name="RFVPSHAM">#REF!</definedName>
    <definedName name="RFVPSHFAM">#REF!</definedName>
    <definedName name="RGELCRL">#N/A</definedName>
    <definedName name="RH">#REF!</definedName>
    <definedName name="RHCPUMP">#N/A</definedName>
    <definedName name="RHVPCDFAM">#REF!</definedName>
    <definedName name="RHVPCOND">#REF!</definedName>
    <definedName name="RHVPFOAM">#REF!</definedName>
    <definedName name="RHVPLEAVE">#N/A</definedName>
    <definedName name="RHVPMASQ">#REF!</definedName>
    <definedName name="RHVPPCKTS">#REF!</definedName>
    <definedName name="RHVPSC">#REF!</definedName>
    <definedName name="RHVPSHAM">#REF!</definedName>
    <definedName name="RHVPSHFAM">#REF!</definedName>
    <definedName name="RHVPSS">#REF!</definedName>
    <definedName name="RIO">#REF!</definedName>
    <definedName name="RiskPg1">#REF!</definedName>
    <definedName name="RiskPg2">#REF!</definedName>
    <definedName name="RiskQpg2">#REF!</definedName>
    <definedName name="RITEX">#N/A</definedName>
    <definedName name="RITMEGA">#N/A</definedName>
    <definedName name="RL">#REF!</definedName>
    <definedName name="RLIGHTSTEP">#N/A</definedName>
    <definedName name="RM_Individual_Months">#REF!</definedName>
    <definedName name="RMGEL">#N/A</definedName>
    <definedName name="RMMAERO">#N/A</definedName>
    <definedName name="RMMOUSSE">#N/A</definedName>
    <definedName name="RMMPUMP">#N/A</definedName>
    <definedName name="RMSPRITZ">#N/A</definedName>
    <definedName name="RNATURAL">#REF!</definedName>
    <definedName name="roche" hidden="1">{"Rates_Summ",#N/A,TRUE,"Rates";"I_Poriginal",#N/A,TRUE,"I_P";"Pctgs_original",#N/A,TRUE,"Pctgs";"Rates_Main",#N/A,TRUE,"Rates"}</definedName>
    <definedName name="Role">#REF!</definedName>
    <definedName name="Role1">#REF!</definedName>
    <definedName name="RPERM">#N/A</definedName>
    <definedName name="RPREFERENCE">#REF!</definedName>
    <definedName name="RPUMP">#N/A</definedName>
    <definedName name="RPVPANTI">#N/A</definedName>
    <definedName name="RPVPCND">#REF!</definedName>
    <definedName name="RPVPCURL">#N/A</definedName>
    <definedName name="RPVPDISC">#REF!</definedName>
    <definedName name="RPVPPCKTS">#N/A</definedName>
    <definedName name="RPVPSH">#REF!</definedName>
    <definedName name="rrr">#REF!</definedName>
    <definedName name="RSB">#REF!</definedName>
    <definedName name="RSEDISC">#REF!</definedName>
    <definedName name="RSIMPGEL">#N/A</definedName>
    <definedName name="RSIMPMOUS">#N/A</definedName>
    <definedName name="RSIMPSPRY">#N/A</definedName>
    <definedName name="RSNTIFRIZ">#N/A</definedName>
    <definedName name="RSPRINGCL">#N/A</definedName>
    <definedName name="RSTUDCONTG">#N/A</definedName>
    <definedName name="RSTUDCONTS">#N/A</definedName>
    <definedName name="RSTUDDISC">#N/A</definedName>
    <definedName name="RSTUDHS">#N/A</definedName>
    <definedName name="RSTUDSPGL">#N/A</definedName>
    <definedName name="RSTUDSS">#N/A</definedName>
    <definedName name="RSUMSOLEIL">#REF!</definedName>
    <definedName name="RTOTGEL">#N/A</definedName>
    <definedName name="RTOUCHGEL">#N/A</definedName>
    <definedName name="RTOUCHMOUS">#N/A</definedName>
    <definedName name="RTOUCHSPRAY">#N/A</definedName>
    <definedName name="RURCOND">#N/A</definedName>
    <definedName name="RURSH">#N/A</definedName>
    <definedName name="RWAVESALL">#N/A</definedName>
    <definedName name="RWAVESHP">#N/A</definedName>
    <definedName name="RWAVESLIQ">#N/A</definedName>
    <definedName name="S20_1">#REF!</definedName>
    <definedName name="S20A">#REF!</definedName>
    <definedName name="s20print1">#REF!</definedName>
    <definedName name="s20print2">#REF!</definedName>
    <definedName name="s20print3">#REF!</definedName>
    <definedName name="s20print4">#REF!</definedName>
    <definedName name="Salary_Fringe_Rate">#REF!</definedName>
    <definedName name="Sales_Tax">#REF!</definedName>
    <definedName name="SAPBEXdnldView" hidden="1">"45RZPWL7NJ258M6YIK6QVOJES"</definedName>
    <definedName name="SAPBEXrevision" hidden="1">1</definedName>
    <definedName name="SAPBEXsysID" hidden="1">"BAP"</definedName>
    <definedName name="SAPBEXwbID" hidden="1">"3KKZLB0HU5J7P442ETI75P7WY"</definedName>
    <definedName name="SC">#REF!</definedName>
    <definedName name="SC_Individual_Months">#REF!</definedName>
    <definedName name="sdgsd" hidden="1">{"Rates_Summ",#N/A,TRUE,"Rates";"I_Poriginal",#N/A,TRUE,"I_P";"Pctgs_original",#N/A,TRUE,"Pctgs";"Rates_Main",#N/A,TRUE,"Rates"}</definedName>
    <definedName name="sdgsdg" hidden="1">{"Rates_Summ",#N/A,TRUE,"Rates";"I_Poriginal",#N/A,TRUE,"I_P";"Pctgs_original",#N/A,TRUE,"Pctgs";"Rates_Main",#N/A,TRUE,"Rates"}</definedName>
    <definedName name="Seasonalization">#REF!</definedName>
    <definedName name="sencount" hidden="1">1</definedName>
    <definedName name="sfd" hidden="1">{"Rates_Summ",#N/A,TRUE,"Rates";"I_Poriginal",#N/A,TRUE,"I_P";"Pctgs_original",#N/A,TRUE,"Pctgs";"Rates_Main",#N/A,TRUE,"Rates"}</definedName>
    <definedName name="sfs" hidden="1">{"Rates_Summ",#N/A,TRUE,"Rates";"I_Poriginal",#N/A,TRUE,"I_P";"Pctgs_original",#N/A,TRUE,"Pctgs";"Rates_Main",#N/A,TRUE,"Rates"}</definedName>
    <definedName name="sfsdfds" hidden="1">{"Rates_Summ",#N/A,TRUE,"Rates";"I_Poriginal",#N/A,TRUE,"I_P";"Pctgs_original",#N/A,TRUE,"Pctgs";"Rates_Main",#N/A,TRUE,"Rates"}</definedName>
    <definedName name="sfsdfsd" hidden="1">{"Rates_Summ",#N/A,TRUE,"Rates";"I_Poriginal",#N/A,TRUE,"I_P";"Pctgs_original",#N/A,TRUE,"Pctgs";"Rates_Main",#N/A,TRUE,"Rates"}</definedName>
    <definedName name="SGARate">#REF!</definedName>
    <definedName name="SHAD_GS_94">#REF!</definedName>
    <definedName name="SHAD_NS_92">#REF!</definedName>
    <definedName name="shift">#REF!</definedName>
    <definedName name="SHIP_TO_ADDRESS">#REF!</definedName>
    <definedName name="SHIP_TO_NAME">#REF!</definedName>
    <definedName name="SKIN_GS_94">#REF!</definedName>
    <definedName name="SKIN_NS_92">#REF!</definedName>
    <definedName name="Software___License_Agreements">#REF!</definedName>
    <definedName name="SOLD_TO_ADDRESS">#REF!</definedName>
    <definedName name="SOLD_TO_NAME">#REF!</definedName>
    <definedName name="solutionsrep">#REF!</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pre" hidden="1">0.000001</definedName>
    <definedName name="solver_scl" hidden="1">2</definedName>
    <definedName name="solver_sho" hidden="1">2</definedName>
    <definedName name="solver_tim" hidden="1">100</definedName>
    <definedName name="solver_tol" hidden="1">0.05</definedName>
    <definedName name="solver_typ" hidden="1">3</definedName>
    <definedName name="solver_val" hidden="1">1374.125</definedName>
    <definedName name="SORT_AREA_ALL">#REF!</definedName>
    <definedName name="SortRange">#REF!</definedName>
    <definedName name="spacetype">#REF!</definedName>
    <definedName name="SpreadWorksheet">#REF!</definedName>
    <definedName name="SPWS_WBID">"A84ED37F-0ECC-4303-80EA-C5526EF9387C"</definedName>
    <definedName name="sss">#REF!</definedName>
    <definedName name="startdate">#REF!</definedName>
    <definedName name="Status">#REF!</definedName>
    <definedName name="Status1">#REF!</definedName>
    <definedName name="stc_ac">#REF!</definedName>
    <definedName name="stc_jus">#REF!</definedName>
    <definedName name="stc_mp">#REF!</definedName>
    <definedName name="stc_pf">#REF!</definedName>
    <definedName name="stc_pfus">#REF!</definedName>
    <definedName name="studU96T2">#REF!</definedName>
    <definedName name="studU96T5">#REF!</definedName>
    <definedName name="studU97P">#REF!</definedName>
    <definedName name="studU98P">#REF!</definedName>
    <definedName name="studU99P">#REF!</definedName>
    <definedName name="stv_ac">#REF!</definedName>
    <definedName name="stv_jus">#REF!</definedName>
    <definedName name="stv_mp">#REF!</definedName>
    <definedName name="stv_pf">#REF!</definedName>
    <definedName name="stv_pfus">#REF!</definedName>
    <definedName name="stv_sf">#REF!</definedName>
    <definedName name="SUMMARY">#REF!</definedName>
    <definedName name="sww" hidden="1">{"bbtday",#N/A,FALSE,"ban0930";"banksday",#N/A,FALSE,"ban0930";"compday",#N/A,FALSE,"ban0930"}</definedName>
    <definedName name="t.absenteisme">#REF!</definedName>
    <definedName name="t.ct_ac">#REF!</definedName>
    <definedName name="t.ct_amo_eq">#REF!</definedName>
    <definedName name="t.ct_aut_frais">#REF!</definedName>
    <definedName name="t.ct_mod_stc">#REF!</definedName>
    <definedName name="t.ct_moi_int">#REF!</definedName>
    <definedName name="t.ct_moi_stat">#REF!</definedName>
    <definedName name="t.ct_mp">#REF!</definedName>
    <definedName name="t.ct_prest">#REF!</definedName>
    <definedName name="t.ct_sts">#REF!</definedName>
    <definedName name="t.eff_hpri_cdd">#REF!</definedName>
    <definedName name="t.eff_hpri_cdi">#REF!</definedName>
    <definedName name="t.eff_hpri_int">#REF!</definedName>
    <definedName name="t.eff_mod_cdd">#REF!</definedName>
    <definedName name="t.eff_mod_cdi">#REF!</definedName>
    <definedName name="t.eff_mod_hesup">#REF!</definedName>
    <definedName name="t.eff_mod_int">#REF!</definedName>
    <definedName name="t.eff_moi_hesup">#REF!</definedName>
    <definedName name="t.eff_moige_cdd">#REF!</definedName>
    <definedName name="t.eff_moige_cdi">#REF!</definedName>
    <definedName name="t.eff_moige_int">#REF!</definedName>
    <definedName name="t.eff_moiup_cdd">#REF!</definedName>
    <definedName name="t.eff_moiup_cdi">#REF!</definedName>
    <definedName name="t.eff_moiup_int">#REF!</definedName>
    <definedName name="t.h_prod">#REF!</definedName>
    <definedName name="t.invest">#REF!</definedName>
    <definedName name="t.invest_bat">#REF!</definedName>
    <definedName name="t.invest_info">#REF!</definedName>
    <definedName name="t.mos_n_mod">#REF!</definedName>
    <definedName name="t.tx_improd">#REF!</definedName>
    <definedName name="t.unit_sts">#REF!</definedName>
    <definedName name="t.unit_usin">#REF!</definedName>
    <definedName name="t.va">#REF!</definedName>
    <definedName name="t.va_indus">#REF!</definedName>
    <definedName name="t.val_prod">#REF!</definedName>
    <definedName name="T9NETU">#REF!</definedName>
    <definedName name="T9RETNU">#REF!</definedName>
    <definedName name="table">#REF!</definedName>
    <definedName name="taux_2002">#REF!</definedName>
    <definedName name="taux_2003">#REF!</definedName>
    <definedName name="TAX_RATE">0.06</definedName>
    <definedName name="TAX_SECTION">#REF!</definedName>
    <definedName name="TaxRate">#REF!</definedName>
    <definedName name="TBE">#REF!</definedName>
    <definedName name="Template" hidden="1">#REF!</definedName>
    <definedName name="Titles">#REF!</definedName>
    <definedName name="TopSection">#REF!</definedName>
    <definedName name="TOT">#REF!</definedName>
    <definedName name="TOTAL_L_OREAL_USA__INC.">#REF!</definedName>
    <definedName name="TOTAOCAR">#REF!</definedName>
    <definedName name="TOTCARE">#REF!</definedName>
    <definedName name="TOTLOR">#REF!</definedName>
    <definedName name="TOTSTUD">#REF!</definedName>
    <definedName name="TRADEDETAIL">#N/A</definedName>
    <definedName name="TRADEIN_SECTION">#REF!</definedName>
    <definedName name="TRADEIN_SECTION_TOTAL">#REF!</definedName>
    <definedName name="Transition_Period">#REF!</definedName>
    <definedName name="ttt">#REF!</definedName>
    <definedName name="tx_horaire">#REF!</definedName>
    <definedName name="Type">#REF!</definedName>
    <definedName name="Type8">#REF!</definedName>
    <definedName name="UNITPRES">#REF!</definedName>
    <definedName name="UNITS">#REF!</definedName>
    <definedName name="UNITSIDE">#REF!</definedName>
    <definedName name="UP_Aéro_Alcool">#REF!</definedName>
    <definedName name="UP_Colo_Perma">#REF!</definedName>
    <definedName name="UP_Sch_Douche">#REF!</definedName>
    <definedName name="UP_Soins_Makeup">#REF!</definedName>
    <definedName name="up1hours">7.7</definedName>
    <definedName name="up2hours">7.7</definedName>
    <definedName name="US">#N/A</definedName>
    <definedName name="USN_P19">#REF!</definedName>
    <definedName name="USN_P20">#REF!</definedName>
    <definedName name="VALUE">#REF!</definedName>
    <definedName name="Value_Add_Overhead">#REF!</definedName>
    <definedName name="var_ac_std">#REF!</definedName>
    <definedName name="var_mp_std">#REF!</definedName>
    <definedName name="var_pri_std">#REF!</definedName>
    <definedName name="VARIANCE">#REF!</definedName>
    <definedName name="vertical">#REF!</definedName>
    <definedName name="viveU96T2">#REF!</definedName>
    <definedName name="viveU96T5">#REF!</definedName>
    <definedName name="viveU97P">#REF!</definedName>
    <definedName name="viveU98P">#REF!</definedName>
    <definedName name="viveU99P">#REF!</definedName>
    <definedName name="vvvv" hidden="1">{"bbtday",#N/A,FALSE,"ban0930";"banksday",#N/A,FALSE,"ban0930";"compday",#N/A,FALSE,"ban0930"}</definedName>
    <definedName name="WFE_Name">#REF!</definedName>
    <definedName name="WFEStage">#REF!</definedName>
    <definedName name="Workable_Hours">#REF!</definedName>
    <definedName name="wrn.Admin._.Allocation." hidden="1">{"Rates_Summ",#N/A,TRUE,"Rates";"I_Poriginal",#N/A,TRUE,"I_P";"Pctgs_original",#N/A,TRUE,"Pctgs";"Rates_Main",#N/A,TRUE,"Rates"}</definedName>
    <definedName name="wrn.Divisoes." hidden="1">{#N/A,#N/A,FALSE,"Consolide";#N/A,#N/A,FALSE,"OAC";#N/A,#N/A,FALSE,"OAP";#N/A,#N/A,FALSE,"P&amp;B"}</definedName>
    <definedName name="wrn.flash._.1du." hidden="1">{#N/A,#N/A,FALSE,"Flash 1º"}</definedName>
    <definedName name="wrn.Flash._.2._.du." hidden="1">{#N/A,#N/A,FALSE,"Vol + DC";#N/A,#N/A,FALSE,"Effec + Tres";#N/A,#N/A,FALSE,"P. Prods. - Telex"}</definedName>
    <definedName name="wrn.Grifes." hidden="1">{#N/A,#N/A,FALSE,"Consolide";#N/A,#N/A,FALSE,"OAC";#N/A,#N/A,FALSE,"LTP";#N/A,#N/A,FALSE,"Kerastase";#N/A,#N/A,FALSE,"OAP";#N/A,#N/A,FALSE,"P&amp;B";#N/A,#N/A,FALSE,"Lancome";#N/A,#N/A,FALSE,"Biotherm";#N/A,#N/A,FALSE,"PCI";#N/A,#N/A,FALSE,"HR"}</definedName>
    <definedName name="wrn.ldj." hidden="1">{"compweek",#N/A,FALSE,"ban0930";"bankweek",#N/A,FALSE,"ban0930"}</definedName>
    <definedName name="wrn.ldj.1" hidden="1">{"compweek",#N/A,FALSE,"ban0930";"bankweek",#N/A,FALSE,"ban0930"}</definedName>
    <definedName name="wrn.oac." hidden="1">{#N/A,#N/A,FALSE,"OAC";#N/A,#N/A,FALSE,"LTP";#N/A,#N/A,FALSE,"Kerastase"}</definedName>
    <definedName name="wrn.oap." hidden="1">{#N/A,#N/A,FALSE,"OAP"}</definedName>
    <definedName name="wrn.p._.b." hidden="1">{#N/A,#N/A,FALSE,"P&amp;B";#N/A,#N/A,FALSE,"Lancome";#N/A,#N/A,FALSE,"PCI";#N/A,#N/A,FALSE,"Guy Laroche";#N/A,#N/A,FALSE,"Cacharel";#N/A,#N/A,FALSE,"Armani";#N/A,#N/A,FALSE,"Paloma";#N/A,#N/A,FALSE,"Ralph Lauren";#N/A,#N/A,FALSE,"HR"}</definedName>
    <definedName name="wrn.paris." hidden="1">{"cons_p",#N/A,FALSE,"Consolide"}</definedName>
    <definedName name="wrn.Print._.All." hidden="1">{#N/A,#N/A,TRUE,"Instructions";#N/A,#N/A,TRUE,"4.4.1 Admin &amp; Mgt";#N/A,#N/A,TRUE,"4.4.2 Transport";#N/A,#N/A,TRUE,"Dealer to Dealer";#N/A,#N/A,TRUE,"4.4.3 VLSP &amp; Vehicle Yard Mgmt";#N/A,#N/A,TRUE,"4.4.4 Cust Clear &amp; veh regis ";#N/A,#N/A,TRUE,"4.4.5 Vehicle maintenance"}</definedName>
    <definedName name="wrn.suivi." hidden="1">{#N/A,#N/A,FALSE,"Unites";#N/A,#N/A,FALSE,"Unites PCI";#N/A,#N/A,FALSE,"CA Net";#N/A,#N/A,FALSE,"CA Net PCI";#N/A,#N/A,FALSE,"P. Moyen";#N/A,#N/A,FALSE,"P. Moyen PCI";#N/A,#N/A,FALSE,"CA US$";#N/A,#N/A,FALSE,"CA US$ PCI";#N/A,#N/A,FALSE,"P.Moyen US$";#N/A,#N/A,FALSE,"CA Net FF PCI";#N/A,#N/A,FALSE,"P.Moyen FF";#N/A,#N/A,FALSE,"CA FF"}</definedName>
    <definedName name="wrn.Test." hidden="1">{"Jabil - Personal View",#N/A,FALSE,"Passives"}</definedName>
    <definedName name="wrn.tmjj." hidden="1">{"bbtday",#N/A,FALSE,"ban0930";"banksday",#N/A,FALSE,"ban0930";"compday",#N/A,FALSE,"ban0930"}</definedName>
    <definedName name="wrn.tmjj.1" hidden="1">{"bbtday",#N/A,FALSE,"ban0930";"banksday",#N/A,FALSE,"ban0930";"compday",#N/A,FALSE,"ban0930"}</definedName>
    <definedName name="wrn.tudo." hidden="1">{#N/A,#N/A,FALSE,"Consolide";#N/A,#N/A,FALSE,"OAC";#N/A,#N/A,FALSE,"LTP";#N/A,#N/A,FALSE,"Kerastase";#N/A,#N/A,FALSE,"OAP";#N/A,#N/A,FALSE,"P&amp;B";#N/A,#N/A,FALSE,"Lancome";#N/A,#N/A,FALSE,"PCI";#N/A,#N/A,FALSE,"Guy Laroche";#N/A,#N/A,FALSE,"Cacharel";#N/A,#N/A,FALSE,"Armani";#N/A,#N/A,FALSE,"Paloma";#N/A,#N/A,FALSE,"Ralph Lauren";#N/A,#N/A,FALSE,"HR"}</definedName>
    <definedName name="WS1P1">#REF!</definedName>
    <definedName name="WS1P2">#REF!</definedName>
    <definedName name="WS1P3">#REF!</definedName>
    <definedName name="x" hidden="1">{"compweek",#N/A,FALSE,"ban0930";"bankweek",#N/A,FALSE,"ban0930"}</definedName>
    <definedName name="xx" hidden="1">{"Rates_Summ",#N/A,TRUE,"Rates";"I_Poriginal",#N/A,TRUE,"I_P";"Pctgs_original",#N/A,TRUE,"Pctgs";"Rates_Main",#N/A,TRUE,"Rates"}</definedName>
    <definedName name="XXX" hidden="1">{"compweek",#N/A,FALSE,"ban0930";"bankweek",#N/A,FALSE,"ban0930"}</definedName>
    <definedName name="xxx1" hidden="1">{"compweek",#N/A,FALSE,"ban0930";"bankweek",#N/A,FALSE,"ban0930"}</definedName>
    <definedName name="XZZ" hidden="1">{"bbtday",#N/A,FALSE,"ban0930";"banksday",#N/A,FALSE,"ban0930";"compday",#N/A,FALSE,"ban0930"}</definedName>
    <definedName name="xzz1" hidden="1">{"bbtday",#N/A,FALSE,"ban0930";"banksday",#N/A,FALSE,"ban0930";"compday",#N/A,FALSE,"ban0930"}</definedName>
    <definedName name="y" hidden="1">{"bbtday",#N/A,FALSE,"ban0930";"banksday",#N/A,FALSE,"ban0930";"compday",#N/A,FALSE,"ban0930"}</definedName>
    <definedName name="Y1Margin">#REF!</definedName>
    <definedName name="Y2Margin">#REF!</definedName>
    <definedName name="Y3Margin">#REF!</definedName>
    <definedName name="Y4Margin">#REF!</definedName>
    <definedName name="Y5Margin">#REF!</definedName>
    <definedName name="Year">#REF!</definedName>
    <definedName name="Year_Range">#REF!</definedName>
    <definedName name="year1">#REF!</definedName>
    <definedName name="YearValue">#REF!</definedName>
    <definedName name="Yes">#REF!</definedName>
    <definedName name="YN">#REF!</definedName>
    <definedName name="YRNBR">#REF!</definedName>
    <definedName name="yyy" hidden="1">{"compweek",#N/A,FALSE,"ban0930";"bankweek",#N/A,FALSE,"ban0930"}</definedName>
    <definedName name="yyy1" hidden="1">{"compweek",#N/A,FALSE,"ban0930";"bankweek",#N/A,FALSE,"ban0930"}</definedName>
    <definedName name="yyyyyyyyyyyyyyyy">#REF!</definedName>
    <definedName name="ZONE">#REF!</definedName>
    <definedName name="zx" hidden="1">{"Rates_Summ",#N/A,TRUE,"Rates";"I_Poriginal",#N/A,TRUE,"I_P";"Pctgs_original",#N/A,TRUE,"Pctgs";"Rates_Main",#N/A,TRUE,"Rates"}</definedName>
    <definedName name="zz" hidden="1">{"Rates_Summ",#N/A,TRUE,"Rates";"I_Poriginal",#N/A,TRUE,"I_P";"Pctgs_original",#N/A,TRUE,"Pctgs";"Rates_Main",#N/A,TRUE,"Rates"}</definedName>
    <definedName name="zzz" hidden="1">{"compweek",#N/A,FALSE,"ban0930";"bankweek",#N/A,FALSE,"ban0930"}</definedName>
    <definedName name="_xlnm.Print_Area" localSheetId="1">'Dynamo all'!$A$1:$H$38</definedName>
    <definedName name="_xlnm.Print_Area" localSheetId="2">'Cycle Time ZIppy 6'!$A$1:$F$32</definedName>
    <definedName name="_xlnm.Print_Area" localSheetId="3">'Cycle Time ZIppy 10'!$A$1:$F$32</definedName>
    <definedName name="_xlnm.Print_Area" localSheetId="4">'Cycle Time ZIppy 30'!$A$1:$F$32</definedName>
    <definedName name="_xlnm.Print_Area" localSheetId="5">'Cycle Time ZIppy 40'!$A$1:$F$32</definedName>
    <definedName name="_xlnm.Print_Area" localSheetId="6">'Veloce'!$A$1:$H$49</definedName>
    <definedName name="_xlnm.Print_Area" localSheetId="7">'SortIE'!$A$1:$F$15</definedName>
    <definedName name="_xlnm.Print_Area" localSheetId="8">'RGV'!$A$1:$H$39</definedName>
    <definedName name="_xlnm.Print_Area" localSheetId="9">'Miniload'!$A$1:$J$29</definedName>
    <definedName name="_xlnm.Print_Area" localSheetId="10">'Pallet ASRS Crane'!$A$1:$J$31</definedName>
    <definedName name="_xlnm.Print_Area" localSheetId="11">'GTP'!$A$1:$U$25</definedName>
    <definedName name="_xlnm.Print_Area" localSheetId="12">'PTL'!$A$1:$U$26</definedName>
    <definedName name="_xlnm.Print_Area" localSheetId="13">'Decanting'!$A$1:$U$19</definedName>
    <definedName name="_xlnm.Print_Area" localSheetId="14">'Pallet autolift'!$A$1:$AE$61</definedName>
    <definedName name="_xlnm.Print_Area" localSheetId="15">'Multipro in&amp;out frm diff side'!$A$1:$E$23</definedName>
    <definedName name="_xlnm.Print_Area" localSheetId="16">'Quadron DD in&amp;out frm diff'!$A$1:$E$20</definedName>
    <definedName name="_xlnm.Print_Area" localSheetId="19">'Multi Pro Input OutPut'!$A$1:$F$20,'Multi Pro Input OutPut'!$G$5:$I$11</definedName>
    <definedName name="_xlnm.Print_Area" localSheetId="22">'Quadron Input Output'!$A$1:$F$37,'Quadron Input Output'!$G$5:$J$22,'Quadron Input Output'!$K$5:$O$23</definedName>
    <definedName name="Nombre_de_postes" localSheetId="24">difpo</definedName>
    <definedName name="Nombre_de_postes" localSheetId="25">difpo</definedName>
    <definedName name="_xlnm.Print_Area" localSheetId="25">'Medius Input Output'!$A$1:$F$54,'Medius Input Output'!$G$5:$O$25</definedName>
    <definedName name="_xlnm._FilterDatabase" localSheetId="26" hidden="1">'BOM Master List '!$A$2:$E$119</definedName>
    <definedName name="_xlnm.Print_Area" localSheetId="27">'Area ASRS Stacker Crane'!$A$1:$B$8,'Area ASRS Stacker Crane'!$C$1:$H$28</definedName>
    <definedName name="Z_90FEF058_814E_40B3_B48F_7B3A30C67CDB_.wvu.PrintArea" localSheetId="28" hidden="1">'Area Veloce'!$A$4:$F$32</definedName>
    <definedName name="_xlnm.Print_Area" localSheetId="28">'Area Veloce'!$A$1:$I$27</definedName>
    <definedName name="_________________________vvv1" localSheetId="30" hidden="1">{"bbtday",#N/A,FALSE,"ban0930";"banksday",#N/A,FALSE,"ban0930";"compday",#N/A,FALSE,"ban0930"}</definedName>
    <definedName name="_________________________x1" localSheetId="30" hidden="1">{"compweek",#N/A,FALSE,"ban0930";"bankweek",#N/A,FALSE,"ban0930"}</definedName>
    <definedName name="_________________________y1" localSheetId="30" hidden="1">{"bbtday",#N/A,FALSE,"ban0930";"banksday",#N/A,FALSE,"ban0930";"compday",#N/A,FALSE,"ban0930"}</definedName>
    <definedName name="________________________vvv1" localSheetId="30" hidden="1">{"bbtday",#N/A,FALSE,"ban0930";"banksday",#N/A,FALSE,"ban0930";"compday",#N/A,FALSE,"ban0930"}</definedName>
    <definedName name="________________________x1" localSheetId="30" hidden="1">{"compweek",#N/A,FALSE,"ban0930";"bankweek",#N/A,FALSE,"ban0930"}</definedName>
    <definedName name="________________________y1" localSheetId="30" hidden="1">{"bbtday",#N/A,FALSE,"ban0930";"banksday",#N/A,FALSE,"ban0930";"compday",#N/A,FALSE,"ban0930"}</definedName>
    <definedName name="_______________________vvv1" localSheetId="30" hidden="1">{"bbtday",#N/A,FALSE,"ban0930";"banksday",#N/A,FALSE,"ban0930";"compday",#N/A,FALSE,"ban0930"}</definedName>
    <definedName name="_______________________x1" localSheetId="30" hidden="1">{"compweek",#N/A,FALSE,"ban0930";"bankweek",#N/A,FALSE,"ban0930"}</definedName>
    <definedName name="_______________________y1" localSheetId="30" hidden="1">{"bbtday",#N/A,FALSE,"ban0930";"banksday",#N/A,FALSE,"ban0930";"compday",#N/A,FALSE,"ban0930"}</definedName>
    <definedName name="_____________________vvv1" localSheetId="30" hidden="1">{"bbtday",#N/A,FALSE,"ban0930";"banksday",#N/A,FALSE,"ban0930";"compday",#N/A,FALSE,"ban0930"}</definedName>
    <definedName name="_____________________x1" localSheetId="30" hidden="1">{"compweek",#N/A,FALSE,"ban0930";"bankweek",#N/A,FALSE,"ban0930"}</definedName>
    <definedName name="_____________________y1" localSheetId="30" hidden="1">{"bbtday",#N/A,FALSE,"ban0930";"banksday",#N/A,FALSE,"ban0930";"compday",#N/A,FALSE,"ban0930"}</definedName>
    <definedName name="___________________vvv1" localSheetId="30" hidden="1">{"bbtday",#N/A,FALSE,"ban0930";"banksday",#N/A,FALSE,"ban0930";"compday",#N/A,FALSE,"ban0930"}</definedName>
    <definedName name="___________________x1" localSheetId="30" hidden="1">{"compweek",#N/A,FALSE,"ban0930";"bankweek",#N/A,FALSE,"ban0930"}</definedName>
    <definedName name="___________________y1" localSheetId="30" hidden="1">{"bbtday",#N/A,FALSE,"ban0930";"banksday",#N/A,FALSE,"ban0930";"compday",#N/A,FALSE,"ban0930"}</definedName>
    <definedName name="_________________vvv1" localSheetId="30" hidden="1">{"bbtday",#N/A,FALSE,"ban0930";"banksday",#N/A,FALSE,"ban0930";"compday",#N/A,FALSE,"ban0930"}</definedName>
    <definedName name="_________________x1" localSheetId="30" hidden="1">{"compweek",#N/A,FALSE,"ban0930";"bankweek",#N/A,FALSE,"ban0930"}</definedName>
    <definedName name="_________________y1" localSheetId="30" hidden="1">{"bbtday",#N/A,FALSE,"ban0930";"banksday",#N/A,FALSE,"ban0930";"compday",#N/A,FALSE,"ban0930"}</definedName>
    <definedName name="_______________vvv1" localSheetId="30" hidden="1">{"bbtday",#N/A,FALSE,"ban0930";"banksday",#N/A,FALSE,"ban0930";"compday",#N/A,FALSE,"ban0930"}</definedName>
    <definedName name="_______________x1" localSheetId="30" hidden="1">{"compweek",#N/A,FALSE,"ban0930";"bankweek",#N/A,FALSE,"ban0930"}</definedName>
    <definedName name="_______________y1" localSheetId="30" hidden="1">{"bbtday",#N/A,FALSE,"ban0930";"banksday",#N/A,FALSE,"ban0930";"compday",#N/A,FALSE,"ban0930"}</definedName>
    <definedName name="_____________vvv1" localSheetId="30" hidden="1">{"bbtday",#N/A,FALSE,"ban0930";"banksday",#N/A,FALSE,"ban0930";"compday",#N/A,FALSE,"ban0930"}</definedName>
    <definedName name="_____________x1" localSheetId="30" hidden="1">{"compweek",#N/A,FALSE,"ban0930";"bankweek",#N/A,FALSE,"ban0930"}</definedName>
    <definedName name="_____________y1" localSheetId="30" hidden="1">{"bbtday",#N/A,FALSE,"ban0930";"banksday",#N/A,FALSE,"ban0930";"compday",#N/A,FALSE,"ban0930"}</definedName>
    <definedName name="___________vvv1" localSheetId="30" hidden="1">{"bbtday",#N/A,FALSE,"ban0930";"banksday",#N/A,FALSE,"ban0930";"compday",#N/A,FALSE,"ban0930"}</definedName>
    <definedName name="___________x1" localSheetId="30" hidden="1">{"compweek",#N/A,FALSE,"ban0930";"bankweek",#N/A,FALSE,"ban0930"}</definedName>
    <definedName name="___________y1" localSheetId="30" hidden="1">{"bbtday",#N/A,FALSE,"ban0930";"banksday",#N/A,FALSE,"ban0930";"compday",#N/A,FALSE,"ban0930"}</definedName>
    <definedName name="_________vvv1" localSheetId="30" hidden="1">{"bbtday",#N/A,FALSE,"ban0930";"banksday",#N/A,FALSE,"ban0930";"compday",#N/A,FALSE,"ban0930"}</definedName>
    <definedName name="_________x1" localSheetId="30" hidden="1">{"compweek",#N/A,FALSE,"ban0930";"bankweek",#N/A,FALSE,"ban0930"}</definedName>
    <definedName name="_________y1" localSheetId="30" hidden="1">{"bbtday",#N/A,FALSE,"ban0930";"banksday",#N/A,FALSE,"ban0930";"compday",#N/A,FALSE,"ban0930"}</definedName>
    <definedName name="________vvv1" localSheetId="30" hidden="1">{"bbtday",#N/A,FALSE,"ban0930";"banksday",#N/A,FALSE,"ban0930";"compday",#N/A,FALSE,"ban0930"}</definedName>
    <definedName name="________x1" localSheetId="30" hidden="1">{"compweek",#N/A,FALSE,"ban0930";"bankweek",#N/A,FALSE,"ban0930"}</definedName>
    <definedName name="________y1" localSheetId="30" hidden="1">{"bbtday",#N/A,FALSE,"ban0930";"banksday",#N/A,FALSE,"ban0930";"compday",#N/A,FALSE,"ban0930"}</definedName>
    <definedName name="_______vvv1" localSheetId="30" hidden="1">{"bbtday",#N/A,FALSE,"ban0930";"banksday",#N/A,FALSE,"ban0930";"compday",#N/A,FALSE,"ban0930"}</definedName>
    <definedName name="_______x1" localSheetId="30" hidden="1">{"compweek",#N/A,FALSE,"ban0930";"bankweek",#N/A,FALSE,"ban0930"}</definedName>
    <definedName name="_______y1" localSheetId="30" hidden="1">{"bbtday",#N/A,FALSE,"ban0930";"banksday",#N/A,FALSE,"ban0930";"compday",#N/A,FALSE,"ban0930"}</definedName>
    <definedName name="_____vvv1" localSheetId="30" hidden="1">{"bbtday",#N/A,FALSE,"ban0930";"banksday",#N/A,FALSE,"ban0930";"compday",#N/A,FALSE,"ban0930"}</definedName>
    <definedName name="_____x1" localSheetId="30" hidden="1">{"compweek",#N/A,FALSE,"ban0930";"bankweek",#N/A,FALSE,"ban0930"}</definedName>
    <definedName name="_____y1" localSheetId="30" hidden="1">{"bbtday",#N/A,FALSE,"ban0930";"banksday",#N/A,FALSE,"ban0930";"compday",#N/A,FALSE,"ban0930"}</definedName>
    <definedName name="____vvv1" localSheetId="30" hidden="1">{"bbtday",#N/A,FALSE,"ban0930";"banksday",#N/A,FALSE,"ban0930";"compday",#N/A,FALSE,"ban0930"}</definedName>
    <definedName name="____x1" localSheetId="30" hidden="1">{"compweek",#N/A,FALSE,"ban0930";"bankweek",#N/A,FALSE,"ban0930"}</definedName>
    <definedName name="____y1" localSheetId="30" hidden="1">{"bbtday",#N/A,FALSE,"ban0930";"banksday",#N/A,FALSE,"ban0930";"compday",#N/A,FALSE,"ban0930"}</definedName>
    <definedName name="___vvv1" localSheetId="30" hidden="1">{"bbtday",#N/A,FALSE,"ban0930";"banksday",#N/A,FALSE,"ban0930";"compday",#N/A,FALSE,"ban0930"}</definedName>
    <definedName name="___x1" localSheetId="30" hidden="1">{"compweek",#N/A,FALSE,"ban0930";"bankweek",#N/A,FALSE,"ban0930"}</definedName>
    <definedName name="___y1" localSheetId="30" hidden="1">{"bbtday",#N/A,FALSE,"ban0930";"banksday",#N/A,FALSE,"ban0930";"compday",#N/A,FALSE,"ban0930"}</definedName>
    <definedName name="__sww2" localSheetId="30" hidden="1">{"bbtday",#N/A,FALSE,"ban0930";"banksday",#N/A,FALSE,"ban0930";"compday",#N/A,FALSE,"ban0930"}</definedName>
    <definedName name="__vvv1" localSheetId="30" hidden="1">{"bbtday",#N/A,FALSE,"ban0930";"banksday",#N/A,FALSE,"ban0930";"compday",#N/A,FALSE,"ban0930"}</definedName>
    <definedName name="__vvv2" localSheetId="30" hidden="1">{"bbtday",#N/A,FALSE,"ban0930";"banksday",#N/A,FALSE,"ban0930";"compday",#N/A,FALSE,"ban0930"}</definedName>
    <definedName name="__x1" localSheetId="30" hidden="1">{"compweek",#N/A,FALSE,"ban0930";"bankweek",#N/A,FALSE,"ban0930"}</definedName>
    <definedName name="__y1" localSheetId="30" hidden="1">{"bbtday",#N/A,FALSE,"ban0930";"banksday",#N/A,FALSE,"ban0930";"compday",#N/A,FALSE,"ban0930"}</definedName>
    <definedName name="_sww2" localSheetId="30" hidden="1">{"bbtday",#N/A,FALSE,"ban0930";"banksday",#N/A,FALSE,"ban0930";"compday",#N/A,FALSE,"ban0930"}</definedName>
    <definedName name="_vvv1" localSheetId="30" hidden="1">{"bbtday",#N/A,FALSE,"ban0930";"banksday",#N/A,FALSE,"ban0930";"compday",#N/A,FALSE,"ban0930"}</definedName>
    <definedName name="_vvv2" localSheetId="30" hidden="1">{"bbtday",#N/A,FALSE,"ban0930";"banksday",#N/A,FALSE,"ban0930";"compday",#N/A,FALSE,"ban0930"}</definedName>
    <definedName name="_x1" localSheetId="30" hidden="1">{"compweek",#N/A,FALSE,"ban0930";"bankweek",#N/A,FALSE,"ban0930"}</definedName>
    <definedName name="_y1" localSheetId="30" hidden="1">{"bbtday",#N/A,FALSE,"ban0930";"banksday",#N/A,FALSE,"ban0930";"compday",#N/A,FALSE,"ban0930"}</definedName>
    <definedName name="\d" localSheetId="30">#REF!</definedName>
    <definedName name="a" localSheetId="30" hidden="1">{"Rates_Summ",#N/A,TRUE,"Rates";"I_Poriginal",#N/A,TRUE,"I_P";"Pctgs_original",#N/A,TRUE,"Pctgs";"Rates_Main",#N/A,TRUE,"Rates"}</definedName>
    <definedName name="aa" localSheetId="30" hidden="1">{"Rates_Summ",#N/A,TRUE,"Rates";"I_Poriginal",#N/A,TRUE,"I_P";"Pctgs_original",#N/A,TRUE,"Pctgs";"Rates_Main",#N/A,TRUE,"Rates"}</definedName>
    <definedName name="ABC" localSheetId="30" hidden="1">{"Rates_Summ",#N/A,TRUE,"Rates";"I_Poriginal",#N/A,TRUE,"I_P";"Pctgs_original",#N/A,TRUE,"Pctgs";"Rates_Main",#N/A,TRUE,"Rates"}</definedName>
    <definedName name="ASDASDDA" localSheetId="30" hidden="1">{#N/A,#N/A,FALSE,"Consolide";#N/A,#N/A,FALSE,"OAC";#N/A,#N/A,FALSE,"OAP";#N/A,#N/A,FALSE,"P&amp;B"}</definedName>
    <definedName name="ASDASDSA" localSheetId="30" hidden="1">{#N/A,#N/A,FALSE,"Consolide";#N/A,#N/A,FALSE,"OAC";#N/A,#N/A,FALSE,"LTP";#N/A,#N/A,FALSE,"Kerastase";#N/A,#N/A,FALSE,"OAP";#N/A,#N/A,FALSE,"P&amp;B";#N/A,#N/A,FALSE,"Lancome";#N/A,#N/A,FALSE,"PCI";#N/A,#N/A,FALSE,"Guy Laroche";#N/A,#N/A,FALSE,"Cacharel";#N/A,#N/A,FALSE,"Armani";#N/A,#N/A,FALSE,"Paloma";#N/A,#N/A,FALSE,"Ralph Lauren";#N/A,#N/A,FALSE,"HR"}</definedName>
    <definedName name="AVCLI" localSheetId="30" hidden="1">{#N/A,#N/A,FALSE,"Flash 1º"}</definedName>
    <definedName name="b" localSheetId="30" hidden="1">{"Rates_Summ",#N/A,TRUE,"Rates";"I_Poriginal",#N/A,TRUE,"I_P";"Pctgs_original",#N/A,TRUE,"Pctgs";"Rates_Main",#N/A,TRUE,"Rates"}</definedName>
    <definedName name="bb" localSheetId="30" hidden="1">{"Rates_Summ",#N/A,TRUE,"Rates";"I_Poriginal",#N/A,TRUE,"I_P";"Pctgs_original",#N/A,TRUE,"Pctgs";"Rates_Main",#N/A,TRUE,"Rates"}</definedName>
    <definedName name="bbb" localSheetId="30" hidden="1">{"Rates_Summ",#N/A,TRUE,"Rates";"I_Poriginal",#N/A,TRUE,"I_P";"Pctgs_original",#N/A,TRUE,"Pctgs";"Rates_Main",#N/A,TRUE,"Rates"}</definedName>
    <definedName name="cb" localSheetId="30" hidden="1">{"Rates_Summ",#N/A,TRUE,"Rates";"I_Poriginal",#N/A,TRUE,"I_P";"Pctgs_original",#N/A,TRUE,"Pctgs";"Rates_Main",#N/A,TRUE,"Rates"}</definedName>
    <definedName name="cres" localSheetId="30" hidden="1">{#N/A,#N/A,FALSE,"Unites";#N/A,#N/A,FALSE,"Unites PCI";#N/A,#N/A,FALSE,"CA Net";#N/A,#N/A,FALSE,"CA Net PCI";#N/A,#N/A,FALSE,"P. Moyen";#N/A,#N/A,FALSE,"P. Moyen PCI";#N/A,#N/A,FALSE,"CA US$";#N/A,#N/A,FALSE,"CA US$ PCI";#N/A,#N/A,FALSE,"P.Moyen US$";#N/A,#N/A,FALSE,"CA Net FF PCI";#N/A,#N/A,FALSE,"P.Moyen FF";#N/A,#N/A,FALSE,"CA FF"}</definedName>
    <definedName name="dd" localSheetId="30" hidden="1">{"Rates_Summ",#N/A,TRUE,"Rates";"I_Poriginal",#N/A,TRUE,"I_P";"Pctgs_original",#N/A,TRUE,"Pctgs";"Rates_Main",#N/A,TRUE,"Rates"}</definedName>
    <definedName name="dsf" localSheetId="30" hidden="1">{"Rates_Summ",#N/A,TRUE,"Rates";"I_Poriginal",#N/A,TRUE,"I_P";"Pctgs_original",#N/A,TRUE,"Pctgs";"Rates_Main",#N/A,TRUE,"Rates"}</definedName>
    <definedName name="geweg" localSheetId="30" hidden="1">{#N/A,#N/A,FALSE,"Consolide";#N/A,#N/A,FALSE,"OAC";#N/A,#N/A,FALSE,"OAP";#N/A,#N/A,FALSE,"P&amp;B"}</definedName>
    <definedName name="mvargas" localSheetId="30" hidden="1">{#N/A,#N/A,FALSE,"Consolide";#N/A,#N/A,FALSE,"OAC";#N/A,#N/A,FALSE,"OAP";#N/A,#N/A,FALSE,"P&amp;B"}</definedName>
    <definedName name="N" localSheetId="30" hidden="1">{"bbtday",#N/A,FALSE,"ban0930";"banksday",#N/A,FALSE,"ban0930";"compday",#N/A,FALSE,"ban0930"}</definedName>
    <definedName name="Nombre_de_postes" localSheetId="30">difpo</definedName>
    <definedName name="North_Little_Rock_Coalition" localSheetId="30">#REF!</definedName>
    <definedName name="NumberIntlSites" localSheetId="30">#REF!</definedName>
    <definedName name="oh_allocation" localSheetId="30">#REF!</definedName>
    <definedName name="roche" localSheetId="30" hidden="1">{"Rates_Summ",#N/A,TRUE,"Rates";"I_Poriginal",#N/A,TRUE,"I_P";"Pctgs_original",#N/A,TRUE,"Pctgs";"Rates_Main",#N/A,TRUE,"Rates"}</definedName>
    <definedName name="sdgsd" localSheetId="30" hidden="1">{"Rates_Summ",#N/A,TRUE,"Rates";"I_Poriginal",#N/A,TRUE,"I_P";"Pctgs_original",#N/A,TRUE,"Pctgs";"Rates_Main",#N/A,TRUE,"Rates"}</definedName>
    <definedName name="sdgsdg" localSheetId="30" hidden="1">{"Rates_Summ",#N/A,TRUE,"Rates";"I_Poriginal",#N/A,TRUE,"I_P";"Pctgs_original",#N/A,TRUE,"Pctgs";"Rates_Main",#N/A,TRUE,"Rates"}</definedName>
    <definedName name="sfd" localSheetId="30" hidden="1">{"Rates_Summ",#N/A,TRUE,"Rates";"I_Poriginal",#N/A,TRUE,"I_P";"Pctgs_original",#N/A,TRUE,"Pctgs";"Rates_Main",#N/A,TRUE,"Rates"}</definedName>
    <definedName name="sfs" localSheetId="30" hidden="1">{"Rates_Summ",#N/A,TRUE,"Rates";"I_Poriginal",#N/A,TRUE,"I_P";"Pctgs_original",#N/A,TRUE,"Pctgs";"Rates_Main",#N/A,TRUE,"Rates"}</definedName>
    <definedName name="sfsdfds" localSheetId="30" hidden="1">{"Rates_Summ",#N/A,TRUE,"Rates";"I_Poriginal",#N/A,TRUE,"I_P";"Pctgs_original",#N/A,TRUE,"Pctgs";"Rates_Main",#N/A,TRUE,"Rates"}</definedName>
    <definedName name="sfsdfsd" localSheetId="30" hidden="1">{"Rates_Summ",#N/A,TRUE,"Rates";"I_Poriginal",#N/A,TRUE,"I_P";"Pctgs_original",#N/A,TRUE,"Pctgs";"Rates_Main",#N/A,TRUE,"Rates"}</definedName>
    <definedName name="sww" localSheetId="30" hidden="1">{"bbtday",#N/A,FALSE,"ban0930";"banksday",#N/A,FALSE,"ban0930";"compday",#N/A,FALSE,"ban0930"}</definedName>
    <definedName name="vvvv" localSheetId="30" hidden="1">{"bbtday",#N/A,FALSE,"ban0930";"banksday",#N/A,FALSE,"ban0930";"compday",#N/A,FALSE,"ban0930"}</definedName>
    <definedName name="wrn.Admin._.Allocation." localSheetId="30" hidden="1">{"Rates_Summ",#N/A,TRUE,"Rates";"I_Poriginal",#N/A,TRUE,"I_P";"Pctgs_original",#N/A,TRUE,"Pctgs";"Rates_Main",#N/A,TRUE,"Rates"}</definedName>
    <definedName name="wrn.Divisoes." localSheetId="30" hidden="1">{#N/A,#N/A,FALSE,"Consolide";#N/A,#N/A,FALSE,"OAC";#N/A,#N/A,FALSE,"OAP";#N/A,#N/A,FALSE,"P&amp;B"}</definedName>
    <definedName name="wrn.flash._.1du." localSheetId="30" hidden="1">{#N/A,#N/A,FALSE,"Flash 1º"}</definedName>
    <definedName name="wrn.Flash._.2._.du." localSheetId="30" hidden="1">{#N/A,#N/A,FALSE,"Vol + DC";#N/A,#N/A,FALSE,"Effec + Tres";#N/A,#N/A,FALSE,"P. Prods. - Telex"}</definedName>
    <definedName name="wrn.Grifes." localSheetId="30" hidden="1">{#N/A,#N/A,FALSE,"Consolide";#N/A,#N/A,FALSE,"OAC";#N/A,#N/A,FALSE,"LTP";#N/A,#N/A,FALSE,"Kerastase";#N/A,#N/A,FALSE,"OAP";#N/A,#N/A,FALSE,"P&amp;B";#N/A,#N/A,FALSE,"Lancome";#N/A,#N/A,FALSE,"Biotherm";#N/A,#N/A,FALSE,"PCI";#N/A,#N/A,FALSE,"HR"}</definedName>
    <definedName name="wrn.ldj." localSheetId="30" hidden="1">{"compweek",#N/A,FALSE,"ban0930";"bankweek",#N/A,FALSE,"ban0930"}</definedName>
    <definedName name="wrn.ldj.1" localSheetId="30" hidden="1">{"compweek",#N/A,FALSE,"ban0930";"bankweek",#N/A,FALSE,"ban0930"}</definedName>
    <definedName name="wrn.oac." localSheetId="30" hidden="1">{#N/A,#N/A,FALSE,"OAC";#N/A,#N/A,FALSE,"LTP";#N/A,#N/A,FALSE,"Kerastase"}</definedName>
    <definedName name="wrn.oap." localSheetId="30" hidden="1">{#N/A,#N/A,FALSE,"OAP"}</definedName>
    <definedName name="wrn.p._.b." localSheetId="30" hidden="1">{#N/A,#N/A,FALSE,"P&amp;B";#N/A,#N/A,FALSE,"Lancome";#N/A,#N/A,FALSE,"PCI";#N/A,#N/A,FALSE,"Guy Laroche";#N/A,#N/A,FALSE,"Cacharel";#N/A,#N/A,FALSE,"Armani";#N/A,#N/A,FALSE,"Paloma";#N/A,#N/A,FALSE,"Ralph Lauren";#N/A,#N/A,FALSE,"HR"}</definedName>
    <definedName name="wrn.paris." localSheetId="30" hidden="1">{"cons_p",#N/A,FALSE,"Consolide"}</definedName>
    <definedName name="wrn.Print._.All." localSheetId="30" hidden="1">{#N/A,#N/A,TRUE,"Instructions";#N/A,#N/A,TRUE,"4.4.1 Admin &amp; Mgt";#N/A,#N/A,TRUE,"4.4.2 Transport";#N/A,#N/A,TRUE,"Dealer to Dealer";#N/A,#N/A,TRUE,"4.4.3 VLSP &amp; Vehicle Yard Mgmt";#N/A,#N/A,TRUE,"4.4.4 Cust Clear &amp; veh regis ";#N/A,#N/A,TRUE,"4.4.5 Vehicle maintenance"}</definedName>
    <definedName name="wrn.suivi." localSheetId="30" hidden="1">{#N/A,#N/A,FALSE,"Unites";#N/A,#N/A,FALSE,"Unites PCI";#N/A,#N/A,FALSE,"CA Net";#N/A,#N/A,FALSE,"CA Net PCI";#N/A,#N/A,FALSE,"P. Moyen";#N/A,#N/A,FALSE,"P. Moyen PCI";#N/A,#N/A,FALSE,"CA US$";#N/A,#N/A,FALSE,"CA US$ PCI";#N/A,#N/A,FALSE,"P.Moyen US$";#N/A,#N/A,FALSE,"CA Net FF PCI";#N/A,#N/A,FALSE,"P.Moyen FF";#N/A,#N/A,FALSE,"CA FF"}</definedName>
    <definedName name="wrn.Test." localSheetId="30" hidden="1">{"Jabil - Personal View",#N/A,FALSE,"Passives"}</definedName>
    <definedName name="wrn.tmjj." localSheetId="30" hidden="1">{"bbtday",#N/A,FALSE,"ban0930";"banksday",#N/A,FALSE,"ban0930";"compday",#N/A,FALSE,"ban0930"}</definedName>
    <definedName name="wrn.tmjj.1" localSheetId="30" hidden="1">{"bbtday",#N/A,FALSE,"ban0930";"banksday",#N/A,FALSE,"ban0930";"compday",#N/A,FALSE,"ban0930"}</definedName>
    <definedName name="wrn.tudo." localSheetId="30" hidden="1">{#N/A,#N/A,FALSE,"Consolide";#N/A,#N/A,FALSE,"OAC";#N/A,#N/A,FALSE,"LTP";#N/A,#N/A,FALSE,"Kerastase";#N/A,#N/A,FALSE,"OAP";#N/A,#N/A,FALSE,"P&amp;B";#N/A,#N/A,FALSE,"Lancome";#N/A,#N/A,FALSE,"PCI";#N/A,#N/A,FALSE,"Guy Laroche";#N/A,#N/A,FALSE,"Cacharel";#N/A,#N/A,FALSE,"Armani";#N/A,#N/A,FALSE,"Paloma";#N/A,#N/A,FALSE,"Ralph Lauren";#N/A,#N/A,FALSE,"HR"}</definedName>
    <definedName name="x" localSheetId="30" hidden="1">{"compweek",#N/A,FALSE,"ban0930";"bankweek",#N/A,FALSE,"ban0930"}</definedName>
    <definedName name="xx" localSheetId="30" hidden="1">{"Rates_Summ",#N/A,TRUE,"Rates";"I_Poriginal",#N/A,TRUE,"I_P";"Pctgs_original",#N/A,TRUE,"Pctgs";"Rates_Main",#N/A,TRUE,"Rates"}</definedName>
    <definedName name="XXX" localSheetId="30" hidden="1">{"compweek",#N/A,FALSE,"ban0930";"bankweek",#N/A,FALSE,"ban0930"}</definedName>
    <definedName name="xxx1" localSheetId="30" hidden="1">{"compweek",#N/A,FALSE,"ban0930";"bankweek",#N/A,FALSE,"ban0930"}</definedName>
    <definedName name="XZZ" localSheetId="30" hidden="1">{"bbtday",#N/A,FALSE,"ban0930";"banksday",#N/A,FALSE,"ban0930";"compday",#N/A,FALSE,"ban0930"}</definedName>
    <definedName name="xzz1" localSheetId="30" hidden="1">{"bbtday",#N/A,FALSE,"ban0930";"banksday",#N/A,FALSE,"ban0930";"compday",#N/A,FALSE,"ban0930"}</definedName>
    <definedName name="y" localSheetId="30" hidden="1">{"bbtday",#N/A,FALSE,"ban0930";"banksday",#N/A,FALSE,"ban0930";"compday",#N/A,FALSE,"ban0930"}</definedName>
    <definedName name="yyy" localSheetId="30" hidden="1">{"compweek",#N/A,FALSE,"ban0930";"bankweek",#N/A,FALSE,"ban0930"}</definedName>
    <definedName name="yyy1" localSheetId="30" hidden="1">{"compweek",#N/A,FALSE,"ban0930";"bankweek",#N/A,FALSE,"ban0930"}</definedName>
    <definedName name="zx" localSheetId="30" hidden="1">{"Rates_Summ",#N/A,TRUE,"Rates";"I_Poriginal",#N/A,TRUE,"I_P";"Pctgs_original",#N/A,TRUE,"Pctgs";"Rates_Main",#N/A,TRUE,"Rates"}</definedName>
    <definedName name="zz" localSheetId="30" hidden="1">{"Rates_Summ",#N/A,TRUE,"Rates";"I_Poriginal",#N/A,TRUE,"I_P";"Pctgs_original",#N/A,TRUE,"Pctgs";"Rates_Main",#N/A,TRUE,"Rates"}</definedName>
    <definedName name="zzz" localSheetId="30" hidden="1">{"compweek",#N/A,FALSE,"ban0930";"bankweek",#N/A,FALSE,"ban0930"}</definedName>
  </definedNames>
  <calcPr calcId="191029" fullCalcOnLoad="1"/>
</workbook>
</file>

<file path=xl/styles.xml><?xml version="1.0" encoding="utf-8"?>
<styleSheet xmlns="http://schemas.openxmlformats.org/spreadsheetml/2006/main">
  <numFmts count="12">
    <numFmt numFmtId="164" formatCode="_ * #,##0.00_ ;_ * \-#,##0.00_ ;_ * &quot;-&quot;??_ ;_ @_ "/>
    <numFmt numFmtId="165" formatCode="_ * #,##0_ ;_ * \-#,##0_ ;_ * &quot;-&quot;??_ ;_ @_ "/>
    <numFmt numFmtId="166" formatCode="0.0"/>
    <numFmt numFmtId="167" formatCode="_ * #,##0.0_ ;_ * \-#,##0.0_ ;_ * &quot;-&quot;??_ ;_ @_ "/>
    <numFmt numFmtId="168" formatCode="_(* #,##0_);_(* \(#,##0\);_(* &quot;-&quot;??_);_(@_)"/>
    <numFmt numFmtId="169" formatCode="_(* #,##0.0_);_(* \(#,##0.0\);_(* &quot;-&quot;??_);_(@_)"/>
    <numFmt numFmtId="170" formatCode="_(* #,##0.0_);_(* \(#,##0.0\);_(* &quot;-&quot;?_);_(@_)"/>
    <numFmt numFmtId="171" formatCode="_(* #,##0.000_);_(* \(#,##0.000\);_(* &quot;-&quot;??_);_(@_)"/>
    <numFmt numFmtId="172" formatCode="0.000"/>
    <numFmt numFmtId="173" formatCode="#,##0.0"/>
    <numFmt numFmtId="174" formatCode="_ * #,##0.000_ ;_ * \-#,##0.000_ ;_ * &quot;-&quot;??_ ;_ @_ "/>
    <numFmt numFmtId="175" formatCode="0.00_ "/>
  </numFmts>
  <fonts count="44">
    <font>
      <name val="Calibri"/>
      <family val="2"/>
      <color theme="1"/>
      <sz val="11"/>
      <scheme val="minor"/>
    </font>
    <font>
      <name val="Calibri"/>
      <family val="2"/>
      <color theme="1"/>
      <sz val="11"/>
      <scheme val="minor"/>
    </font>
    <font>
      <name val="Calibri"/>
      <family val="2"/>
      <b val="1"/>
      <color theme="1"/>
      <sz val="11"/>
      <scheme val="minor"/>
    </font>
    <font>
      <name val="Arial"/>
      <family val="2"/>
      <b val="1"/>
      <color theme="1"/>
      <sz val="24"/>
    </font>
    <font>
      <name val="Arial"/>
      <family val="2"/>
      <color theme="1"/>
      <sz val="11"/>
    </font>
    <font>
      <name val="Arial"/>
      <family val="2"/>
      <b val="1"/>
      <color theme="1"/>
      <sz val="10"/>
    </font>
    <font>
      <name val="Arial"/>
      <family val="2"/>
      <b val="1"/>
      <color theme="1"/>
      <sz val="11"/>
    </font>
    <font>
      <name val="Arial"/>
      <family val="2"/>
      <color theme="1"/>
      <sz val="10"/>
    </font>
    <font>
      <name val="Calibri Light"/>
      <family val="1"/>
      <color theme="1"/>
      <sz val="11"/>
      <scheme val="major"/>
    </font>
    <font>
      <name val="Calibri"/>
      <family val="2"/>
      <color theme="1"/>
      <sz val="11"/>
      <scheme val="minor"/>
    </font>
    <font>
      <name val="Arial"/>
      <family val="2"/>
      <b val="1"/>
      <color theme="1"/>
      <sz val="18"/>
    </font>
    <font>
      <name val="Arial"/>
      <family val="2"/>
      <b val="1"/>
      <color indexed="8"/>
      <sz val="11"/>
    </font>
    <font>
      <name val="Arial"/>
      <family val="2"/>
      <color indexed="8"/>
      <sz val="11"/>
    </font>
    <font>
      <name val="Arial"/>
      <family val="2"/>
      <b val="1"/>
      <color theme="1"/>
      <sz val="14"/>
    </font>
    <font>
      <name val="Arial"/>
      <family val="2"/>
      <b val="1"/>
      <sz val="10"/>
    </font>
    <font>
      <name val="Arial"/>
      <family val="2"/>
      <b val="1"/>
      <sz val="24"/>
    </font>
    <font>
      <name val="Arial"/>
      <family val="2"/>
      <sz val="10"/>
    </font>
    <font>
      <name val="Calibri"/>
      <family val="2"/>
      <sz val="11"/>
      <scheme val="minor"/>
    </font>
    <font>
      <name val="Calibri"/>
      <family val="2"/>
      <b val="1"/>
      <sz val="11"/>
      <scheme val="minor"/>
    </font>
    <font>
      <name val="Calibri"/>
      <family val="2"/>
      <b val="1"/>
      <color theme="1"/>
      <sz val="14"/>
      <scheme val="minor"/>
    </font>
    <font>
      <name val="Arial"/>
      <family val="2"/>
      <b val="1"/>
      <color theme="1"/>
      <sz val="16"/>
    </font>
    <font>
      <name val="Calibri"/>
      <family val="2"/>
      <color rgb="FFFF0000"/>
      <sz val="11"/>
      <scheme val="minor"/>
    </font>
    <font>
      <name val="Calibri"/>
      <family val="2"/>
      <b val="1"/>
      <color theme="1"/>
      <sz val="20"/>
      <scheme val="minor"/>
    </font>
    <font>
      <name val="Arial"/>
      <family val="2"/>
      <b val="1"/>
      <color rgb="FF000000"/>
      <sz val="10"/>
    </font>
    <font>
      <name val="Arial"/>
      <family val="2"/>
      <color theme="1"/>
      <sz val="14"/>
    </font>
    <font>
      <name val="Arial"/>
      <family val="2"/>
      <sz val="11"/>
    </font>
    <font>
      <name val="Calibri Light"/>
      <family val="1"/>
      <sz val="11"/>
      <scheme val="major"/>
    </font>
    <font>
      <name val="Arial"/>
      <family val="2"/>
      <b val="1"/>
      <sz val="11"/>
    </font>
    <font>
      <name val="Arial"/>
      <family val="2"/>
      <i val="1"/>
      <color theme="1"/>
      <sz val="11"/>
    </font>
    <font>
      <name val="Arial"/>
      <family val="2"/>
      <i val="1"/>
      <color indexed="8"/>
      <sz val="11"/>
    </font>
    <font>
      <name val="Calibri"/>
      <family val="2"/>
      <color theme="10"/>
      <sz val="11"/>
      <u val="single"/>
      <scheme val="minor"/>
    </font>
    <font>
      <name val="Calibri"/>
      <family val="2"/>
      <b val="1"/>
      <color theme="1"/>
      <sz val="18"/>
      <scheme val="minor"/>
    </font>
    <font>
      <name val="Calibri"/>
      <family val="2"/>
      <b val="1"/>
      <i val="1"/>
      <color theme="1"/>
      <sz val="12"/>
      <scheme val="minor"/>
    </font>
    <font>
      <name val="Calibri"/>
      <family val="2"/>
      <b val="1"/>
      <i val="1"/>
      <color rgb="FFFF0000"/>
      <sz val="11"/>
      <scheme val="minor"/>
    </font>
    <font>
      <name val="Calibri"/>
      <family val="2"/>
      <b val="1"/>
      <i val="1"/>
      <color theme="1"/>
      <sz val="11"/>
      <scheme val="minor"/>
    </font>
    <font>
      <name val="Calibri"/>
      <family val="2"/>
      <b val="1"/>
      <color theme="1"/>
      <sz val="10"/>
      <scheme val="minor"/>
    </font>
    <font>
      <name val="Calibri"/>
      <family val="2"/>
      <color theme="1"/>
      <sz val="10"/>
      <scheme val="minor"/>
    </font>
    <font>
      <name val="Calibri"/>
      <family val="2"/>
      <color theme="1"/>
      <sz val="9"/>
      <scheme val="minor"/>
    </font>
    <font>
      <name val="Calibri"/>
      <family val="2"/>
      <sz val="9"/>
      <scheme val="minor"/>
    </font>
    <font>
      <name val="Calibri"/>
      <family val="2"/>
      <b val="1"/>
      <color theme="1"/>
      <sz val="12"/>
      <scheme val="minor"/>
    </font>
    <font>
      <name val="MS Sans Serif"/>
      <family val="2"/>
      <sz val="10"/>
    </font>
    <font>
      <name val="Arial"/>
      <family val="2"/>
      <b val="1"/>
      <sz val="12"/>
    </font>
    <font>
      <name val="Arial"/>
      <family val="2"/>
      <b val="1"/>
      <sz val="16"/>
    </font>
    <font>
      <name val="Calibri"/>
      <family val="2"/>
      <i val="1"/>
      <color theme="1"/>
      <sz val="11"/>
      <scheme val="minor"/>
    </font>
  </fonts>
  <fills count="26">
    <fill>
      <patternFill/>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4" tint="0.7999816888943144"/>
        <bgColor indexed="64"/>
      </patternFill>
    </fill>
    <fill>
      <patternFill patternType="solid">
        <fgColor theme="5" tint="0.7999816888943144"/>
        <bgColor indexed="64"/>
      </patternFill>
    </fill>
    <fill>
      <patternFill patternType="solid">
        <fgColor theme="9" tint="0.7999816888943144"/>
        <bgColor indexed="64"/>
      </patternFill>
    </fill>
    <fill>
      <patternFill patternType="solid">
        <fgColor theme="4" tint="0.5999938962981048"/>
        <bgColor indexed="64"/>
      </patternFill>
    </fill>
    <fill>
      <patternFill patternType="solid">
        <fgColor theme="2"/>
        <bgColor indexed="64"/>
      </patternFill>
    </fill>
    <fill>
      <patternFill patternType="solid">
        <fgColor rgb="FF00B050"/>
        <bgColor indexed="64"/>
      </patternFill>
    </fill>
    <fill>
      <patternFill patternType="solid">
        <fgColor rgb="FFFF0000"/>
        <bgColor indexed="64"/>
      </patternFill>
    </fill>
    <fill>
      <patternFill patternType="solid">
        <fgColor theme="7" tint="0.5999938962981048"/>
        <bgColor indexed="64"/>
      </patternFill>
    </fill>
    <fill>
      <patternFill patternType="solid">
        <fgColor rgb="FF66CCFF"/>
        <bgColor indexed="64"/>
      </patternFill>
    </fill>
    <fill>
      <patternFill patternType="solid">
        <fgColor theme="2" tint="-0.09997863704336681"/>
        <bgColor indexed="64"/>
      </patternFill>
    </fill>
    <fill>
      <patternFill patternType="solid">
        <fgColor theme="5" tint="0.5999938962981048"/>
        <bgColor indexed="64"/>
      </patternFill>
    </fill>
    <fill>
      <patternFill patternType="solid">
        <fgColor theme="0" tint="-0.249977111117893"/>
        <bgColor indexed="64"/>
      </patternFill>
    </fill>
    <fill>
      <patternFill patternType="solid">
        <fgColor theme="0" tint="-0.1499984740745262"/>
        <bgColor indexed="64"/>
      </patternFill>
    </fill>
    <fill>
      <patternFill patternType="solid">
        <fgColor rgb="FF00B0F0"/>
        <bgColor indexed="64"/>
      </patternFill>
    </fill>
    <fill>
      <patternFill patternType="solid">
        <fgColor theme="9"/>
        <bgColor indexed="64"/>
      </patternFill>
    </fill>
    <fill>
      <patternFill patternType="solid">
        <fgColor rgb="FFFFC000"/>
        <bgColor indexed="64"/>
      </patternFill>
    </fill>
    <fill>
      <patternFill patternType="solid">
        <fgColor theme="8" tint="0.5999938962981048"/>
        <bgColor indexed="64"/>
      </patternFill>
    </fill>
    <fill>
      <patternFill patternType="solid">
        <fgColor indexed="15"/>
        <bgColor indexed="64"/>
      </patternFill>
    </fill>
    <fill>
      <patternFill patternType="solid">
        <fgColor theme="9" tint="0.5999938962981048"/>
        <bgColor indexed="64"/>
      </patternFill>
    </fill>
    <fill>
      <patternFill patternType="solid">
        <fgColor rgb="FF0070C0"/>
        <bgColor indexed="64"/>
      </patternFill>
    </fill>
    <fill>
      <patternFill patternType="solid">
        <fgColor theme="7" tint="0.3999755851924192"/>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right/>
      <top style="thin">
        <color indexed="64"/>
      </top>
      <bottom style="thin">
        <color indexed="64"/>
      </bottom>
      <diagonal/>
    </border>
    <border>
      <left style="double">
        <color indexed="64"/>
      </left>
      <right/>
      <top/>
      <bottom/>
      <diagonal/>
    </border>
    <border>
      <left/>
      <right style="thin">
        <color indexed="64"/>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n">
        <color indexed="64"/>
      </right>
      <top style="medium">
        <color indexed="64"/>
      </top>
      <bottom/>
      <diagonal/>
    </border>
  </borders>
  <cellStyleXfs count="12">
    <xf numFmtId="0" fontId="9" fillId="0" borderId="0"/>
    <xf numFmtId="164" fontId="9" fillId="0" borderId="0"/>
    <xf numFmtId="0" fontId="9" fillId="0" borderId="0" applyAlignment="1">
      <alignment vertical="center"/>
    </xf>
    <xf numFmtId="164" fontId="9" fillId="0" borderId="0" applyAlignment="1">
      <alignment vertical="center"/>
    </xf>
    <xf numFmtId="9" fontId="9" fillId="0" borderId="0"/>
    <xf numFmtId="0" fontId="9" fillId="0" borderId="0" applyAlignment="1">
      <alignment vertical="center"/>
    </xf>
    <xf numFmtId="0" fontId="30" fillId="0" borderId="0"/>
    <xf numFmtId="43" fontId="9" fillId="0" borderId="0"/>
    <xf numFmtId="0" fontId="40" fillId="0" borderId="0"/>
    <xf numFmtId="9" fontId="16" fillId="0" borderId="0"/>
    <xf numFmtId="43" fontId="16" fillId="0" borderId="0"/>
    <xf numFmtId="0" fontId="16" fillId="0" borderId="0"/>
  </cellStyleXfs>
  <cellXfs count="584">
    <xf numFmtId="0" fontId="0" fillId="0" borderId="0" pivotButton="0" quotePrefix="0" xfId="0"/>
    <xf numFmtId="0" fontId="4" fillId="0" borderId="0" applyAlignment="1" pivotButton="0" quotePrefix="0" xfId="0">
      <alignment vertical="center"/>
    </xf>
    <xf numFmtId="0" fontId="5" fillId="0" borderId="1" applyAlignment="1" pivotButton="0" quotePrefix="0" xfId="0">
      <alignment vertical="center" wrapText="1"/>
    </xf>
    <xf numFmtId="0" fontId="5" fillId="0" borderId="2" applyAlignment="1" pivotButton="0" quotePrefix="0" xfId="0">
      <alignment vertical="center" wrapText="1"/>
    </xf>
    <xf numFmtId="0" fontId="5" fillId="0" borderId="3" applyAlignment="1" pivotButton="0" quotePrefix="0" xfId="0">
      <alignment vertical="center" wrapText="1"/>
    </xf>
    <xf numFmtId="0" fontId="5" fillId="0" borderId="4" applyAlignment="1" pivotButton="0" quotePrefix="0" xfId="0">
      <alignment vertical="center" wrapText="1"/>
    </xf>
    <xf numFmtId="0" fontId="5" fillId="0" borderId="0" applyAlignment="1" pivotButton="0" quotePrefix="0" xfId="0">
      <alignment vertical="center" wrapText="1"/>
    </xf>
    <xf numFmtId="164" fontId="4" fillId="0" borderId="2" applyAlignment="1" pivotButton="0" quotePrefix="0" xfId="1">
      <alignment vertical="center"/>
    </xf>
    <xf numFmtId="164" fontId="4" fillId="0" borderId="3" applyAlignment="1" pivotButton="0" quotePrefix="0" xfId="1">
      <alignment vertical="center"/>
    </xf>
    <xf numFmtId="164" fontId="4" fillId="0" borderId="1" applyAlignment="1" pivotButton="0" quotePrefix="0" xfId="1">
      <alignment vertical="center"/>
    </xf>
    <xf numFmtId="164" fontId="4" fillId="0" borderId="4" applyAlignment="1" pivotButton="0" quotePrefix="0" xfId="1">
      <alignment vertical="center"/>
    </xf>
    <xf numFmtId="164" fontId="6" fillId="0" borderId="4" applyAlignment="1" pivotButton="0" quotePrefix="0" xfId="0">
      <alignment vertical="center"/>
    </xf>
    <xf numFmtId="9" fontId="4" fillId="0" borderId="4" applyAlignment="1" pivotButton="0" quotePrefix="0" xfId="0">
      <alignment vertical="center"/>
    </xf>
    <xf numFmtId="164" fontId="4" fillId="0" borderId="4" applyAlignment="1" pivotButton="0" quotePrefix="0" xfId="0">
      <alignment vertical="center"/>
    </xf>
    <xf numFmtId="0" fontId="4" fillId="0" borderId="3" applyAlignment="1" pivotButton="0" quotePrefix="0" xfId="0">
      <alignment vertical="center"/>
    </xf>
    <xf numFmtId="0" fontId="4" fillId="0" borderId="6" applyAlignment="1" pivotButton="0" quotePrefix="0" xfId="0">
      <alignment vertical="center"/>
    </xf>
    <xf numFmtId="0" fontId="5" fillId="0" borderId="7" applyAlignment="1" pivotButton="0" quotePrefix="0" xfId="0">
      <alignment horizontal="center" vertical="center" wrapText="1"/>
    </xf>
    <xf numFmtId="0" fontId="6" fillId="0" borderId="4" applyAlignment="1" pivotButton="0" quotePrefix="0" xfId="0">
      <alignment vertical="center"/>
    </xf>
    <xf numFmtId="0" fontId="5" fillId="2" borderId="1" applyAlignment="1" pivotButton="0" quotePrefix="0" xfId="0">
      <alignment vertical="center" wrapText="1"/>
    </xf>
    <xf numFmtId="0" fontId="5" fillId="3" borderId="3" applyAlignment="1" pivotButton="0" quotePrefix="0" xfId="0">
      <alignment vertical="center" wrapText="1"/>
    </xf>
    <xf numFmtId="0" fontId="5" fillId="3" borderId="4" applyAlignment="1" pivotButton="0" quotePrefix="0" xfId="0">
      <alignment vertical="center" wrapText="1"/>
    </xf>
    <xf numFmtId="0" fontId="5" fillId="3" borderId="1" applyAlignment="1" pivotButton="0" quotePrefix="0" xfId="0">
      <alignment vertical="center" wrapText="1"/>
    </xf>
    <xf numFmtId="0" fontId="3" fillId="0" borderId="0" applyAlignment="1" pivotButton="0" quotePrefix="0" xfId="0">
      <alignment horizontal="center" vertical="center"/>
    </xf>
    <xf numFmtId="0" fontId="3" fillId="0" borderId="0" applyAlignment="1" pivotButton="0" quotePrefix="0" xfId="0">
      <alignment vertical="center"/>
    </xf>
    <xf numFmtId="0" fontId="8" fillId="0" borderId="0" pivotButton="0" quotePrefix="0" xfId="0"/>
    <xf numFmtId="164" fontId="0" fillId="0" borderId="1" pivotButton="0" quotePrefix="0" xfId="1"/>
    <xf numFmtId="0" fontId="6" fillId="2" borderId="1" applyAlignment="1" pivotButton="0" quotePrefix="0" xfId="0">
      <alignment horizontal="center" vertical="center"/>
    </xf>
    <xf numFmtId="2" fontId="6" fillId="0" borderId="4" applyAlignment="1" pivotButton="0" quotePrefix="0" xfId="0">
      <alignment vertical="center"/>
    </xf>
    <xf numFmtId="0" fontId="7" fillId="0" borderId="1" applyAlignment="1" pivotButton="0" quotePrefix="0" xfId="0">
      <alignment vertical="center"/>
    </xf>
    <xf numFmtId="0" fontId="7" fillId="0" borderId="1" applyAlignment="1" applyProtection="1" pivotButton="0" quotePrefix="0" xfId="0">
      <alignment vertical="center"/>
      <protection locked="0" hidden="0"/>
    </xf>
    <xf numFmtId="0" fontId="4" fillId="0" borderId="1" applyAlignment="1" applyProtection="1" pivotButton="0" quotePrefix="0" xfId="0">
      <alignment vertical="center"/>
      <protection locked="0" hidden="0"/>
    </xf>
    <xf numFmtId="0" fontId="4" fillId="0" borderId="0" applyAlignment="1" applyProtection="1" pivotButton="0" quotePrefix="0" xfId="0">
      <alignment vertical="center"/>
      <protection locked="0" hidden="0"/>
    </xf>
    <xf numFmtId="164" fontId="4" fillId="0" borderId="1" applyAlignment="1" applyProtection="1" pivotButton="0" quotePrefix="0" xfId="1">
      <alignment vertical="center"/>
      <protection locked="0" hidden="0"/>
    </xf>
    <xf numFmtId="0" fontId="4" fillId="0" borderId="1" applyAlignment="1" pivotButton="0" quotePrefix="0" xfId="0">
      <alignment vertical="center"/>
    </xf>
    <xf numFmtId="0" fontId="6" fillId="0" borderId="1" applyAlignment="1" pivotButton="0" quotePrefix="0" xfId="0">
      <alignment vertical="center"/>
    </xf>
    <xf numFmtId="0" fontId="10" fillId="0" borderId="1" applyAlignment="1" pivotButton="0" quotePrefix="0" xfId="0">
      <alignment vertical="center" wrapText="1"/>
    </xf>
    <xf numFmtId="9" fontId="6" fillId="2" borderId="1" applyAlignment="1" pivotButton="0" quotePrefix="0" xfId="0">
      <alignment horizontal="center" vertical="center"/>
    </xf>
    <xf numFmtId="0" fontId="6" fillId="0" borderId="0" applyAlignment="1" pivotButton="0" quotePrefix="0" xfId="0">
      <alignment vertical="center"/>
    </xf>
    <xf numFmtId="165" fontId="6" fillId="2" borderId="1" applyAlignment="1" pivotButton="0" quotePrefix="0" xfId="1">
      <alignment horizontal="center" vertical="center"/>
    </xf>
    <xf numFmtId="165" fontId="0" fillId="0" borderId="1" pivotButton="0" quotePrefix="0" xfId="1"/>
    <xf numFmtId="166" fontId="6" fillId="0" borderId="1" applyAlignment="1" applyProtection="1" pivotButton="0" quotePrefix="0" xfId="0">
      <alignment vertical="center"/>
      <protection locked="0" hidden="0"/>
    </xf>
    <xf numFmtId="0" fontId="6" fillId="0" borderId="1" applyAlignment="1" pivotButton="0" quotePrefix="0" xfId="0">
      <alignment horizontal="center" vertical="center"/>
    </xf>
    <xf numFmtId="167" fontId="0" fillId="0" borderId="1" pivotButton="0" quotePrefix="0" xfId="1"/>
    <xf numFmtId="167" fontId="4" fillId="0" borderId="1" applyAlignment="1" pivotButton="0" quotePrefix="0" xfId="1">
      <alignment vertical="center"/>
    </xf>
    <xf numFmtId="9" fontId="4" fillId="0" borderId="0" applyAlignment="1" pivotButton="0" quotePrefix="0" xfId="0">
      <alignment horizontal="center" vertical="center"/>
    </xf>
    <xf numFmtId="165" fontId="4" fillId="0" borderId="1" applyAlignment="1" pivotButton="0" quotePrefix="0" xfId="1">
      <alignment vertical="center"/>
    </xf>
    <xf numFmtId="43" fontId="5" fillId="0" borderId="0" applyAlignment="1" pivotButton="0" quotePrefix="0" xfId="0">
      <alignment vertical="center" wrapText="1"/>
    </xf>
    <xf numFmtId="167" fontId="4" fillId="0" borderId="0" applyAlignment="1" pivotButton="0" quotePrefix="0" xfId="0">
      <alignment vertical="center"/>
    </xf>
    <xf numFmtId="3" fontId="6" fillId="2" borderId="1" applyAlignment="1" pivotButton="0" quotePrefix="0" xfId="0">
      <alignment horizontal="center" vertical="center"/>
    </xf>
    <xf numFmtId="3" fontId="6" fillId="0" borderId="1" applyAlignment="1" pivotButton="0" quotePrefix="0" xfId="0">
      <alignment horizontal="center" vertical="center"/>
    </xf>
    <xf numFmtId="166" fontId="6" fillId="0" borderId="1" applyAlignment="1" applyProtection="1" pivotButton="0" quotePrefix="0" xfId="0">
      <alignment vertical="center" wrapText="1"/>
      <protection locked="0" hidden="0"/>
    </xf>
    <xf numFmtId="0" fontId="6" fillId="0" borderId="1" applyAlignment="1" pivotButton="0" quotePrefix="0" xfId="0">
      <alignment vertical="center" wrapText="1"/>
    </xf>
    <xf numFmtId="9" fontId="6" fillId="0" borderId="1" applyAlignment="1" pivotButton="0" quotePrefix="0" xfId="0">
      <alignment horizontal="center" vertical="center"/>
    </xf>
    <xf numFmtId="3" fontId="10" fillId="0" borderId="1" applyAlignment="1" pivotButton="0" quotePrefix="0" xfId="0">
      <alignment horizontal="center" vertical="center"/>
    </xf>
    <xf numFmtId="0" fontId="11" fillId="0" borderId="0" pivotButton="0" quotePrefix="0" xfId="0"/>
    <xf numFmtId="9" fontId="4" fillId="0" borderId="1" applyAlignment="1" pivotButton="0" quotePrefix="0" xfId="0">
      <alignment horizontal="center" vertical="center"/>
    </xf>
    <xf numFmtId="9" fontId="12" fillId="0" borderId="1" applyAlignment="1" pivotButton="0" quotePrefix="0" xfId="0">
      <alignment horizontal="center" vertical="center"/>
    </xf>
    <xf numFmtId="1" fontId="10" fillId="0" borderId="1" applyAlignment="1" pivotButton="0" quotePrefix="0" xfId="1">
      <alignment horizontal="center" vertical="center" wrapText="1"/>
    </xf>
    <xf numFmtId="0" fontId="4" fillId="0" borderId="1" applyAlignment="1" pivotButton="0" quotePrefix="0" xfId="0">
      <alignment horizontal="center" vertical="center"/>
    </xf>
    <xf numFmtId="166" fontId="4" fillId="0" borderId="1" applyAlignment="1" pivotButton="0" quotePrefix="0" xfId="0">
      <alignment horizontal="center" vertical="center"/>
    </xf>
    <xf numFmtId="165" fontId="13" fillId="0" borderId="1" applyAlignment="1" pivotButton="0" quotePrefix="0" xfId="1">
      <alignment vertical="center" wrapText="1"/>
    </xf>
    <xf numFmtId="1" fontId="13" fillId="0" borderId="1" applyAlignment="1" pivotButton="0" quotePrefix="0" xfId="1">
      <alignment horizontal="center" vertical="center"/>
    </xf>
    <xf numFmtId="2" fontId="6" fillId="0" borderId="1" applyAlignment="1" pivotButton="0" quotePrefix="0" xfId="0">
      <alignment horizontal="center" vertical="center"/>
    </xf>
    <xf numFmtId="0" fontId="13" fillId="0" borderId="1" applyAlignment="1" pivotButton="0" quotePrefix="0" xfId="0">
      <alignment vertical="center" wrapText="1"/>
    </xf>
    <xf numFmtId="1" fontId="13" fillId="0" borderId="1" applyAlignment="1" pivotButton="0" quotePrefix="0" xfId="1">
      <alignment horizontal="center" vertical="center" wrapText="1"/>
    </xf>
    <xf numFmtId="3" fontId="13" fillId="2" borderId="1" applyAlignment="1" pivotButton="0" quotePrefix="0" xfId="0">
      <alignment horizontal="center" vertical="center"/>
    </xf>
    <xf numFmtId="9" fontId="4" fillId="0" borderId="0" applyAlignment="1" pivotButton="0" quotePrefix="0" xfId="0">
      <alignment vertical="center"/>
    </xf>
    <xf numFmtId="0" fontId="15" fillId="4" borderId="0" applyAlignment="1" pivotButton="0" quotePrefix="0" xfId="0">
      <alignment vertical="center"/>
    </xf>
    <xf numFmtId="0" fontId="17" fillId="4" borderId="0" pivotButton="0" quotePrefix="0" xfId="0"/>
    <xf numFmtId="0" fontId="17" fillId="0" borderId="0" pivotButton="0" quotePrefix="0" xfId="0"/>
    <xf numFmtId="0" fontId="16" fillId="4" borderId="0" applyAlignment="1" pivotButton="0" quotePrefix="0" xfId="0">
      <alignment vertical="center"/>
    </xf>
    <xf numFmtId="164" fontId="16" fillId="4" borderId="0" applyAlignment="1" pivotButton="0" quotePrefix="0" xfId="1">
      <alignment vertical="center"/>
    </xf>
    <xf numFmtId="0" fontId="14" fillId="4" borderId="0" applyAlignment="1" pivotButton="0" quotePrefix="0" xfId="0">
      <alignment vertical="center"/>
    </xf>
    <xf numFmtId="164" fontId="14" fillId="4" borderId="0" applyAlignment="1" pivotButton="0" quotePrefix="0" xfId="1">
      <alignment vertical="center"/>
    </xf>
    <xf numFmtId="167" fontId="17" fillId="4" borderId="0" applyAlignment="1" pivotButton="0" quotePrefix="0" xfId="0">
      <alignment vertical="center"/>
    </xf>
    <xf numFmtId="168" fontId="2" fillId="0" borderId="1" applyAlignment="1" pivotButton="0" quotePrefix="0" xfId="1">
      <alignment wrapText="1"/>
    </xf>
    <xf numFmtId="168" fontId="0" fillId="0" borderId="1" pivotButton="0" quotePrefix="0" xfId="1"/>
    <xf numFmtId="9" fontId="0" fillId="0" borderId="1" pivotButton="0" quotePrefix="0" xfId="1"/>
    <xf numFmtId="169" fontId="2" fillId="2" borderId="1" pivotButton="0" quotePrefix="0" xfId="1"/>
    <xf numFmtId="0" fontId="0" fillId="0" borderId="1" pivotButton="0" quotePrefix="0" xfId="0"/>
    <xf numFmtId="0" fontId="2" fillId="0" borderId="1" pivotButton="0" quotePrefix="0" xfId="0"/>
    <xf numFmtId="165" fontId="2" fillId="0" borderId="1" pivotButton="0" quotePrefix="0" xfId="1"/>
    <xf numFmtId="0" fontId="2" fillId="0" borderId="0" pivotButton="0" quotePrefix="0" xfId="0"/>
    <xf numFmtId="168" fontId="0" fillId="0" borderId="1" pivotButton="0" quotePrefix="0" xfId="0"/>
    <xf numFmtId="165" fontId="19" fillId="0" borderId="1" pivotButton="0" quotePrefix="0" xfId="1"/>
    <xf numFmtId="165" fontId="6" fillId="0" borderId="1" applyAlignment="1" pivotButton="0" quotePrefix="0" xfId="1">
      <alignment vertical="center" wrapText="1"/>
    </xf>
    <xf numFmtId="165" fontId="0" fillId="2" borderId="1" pivotButton="0" quotePrefix="0" xfId="1"/>
    <xf numFmtId="0" fontId="7" fillId="5" borderId="1" applyAlignment="1" pivotButton="0" quotePrefix="0" xfId="0">
      <alignment vertical="center"/>
    </xf>
    <xf numFmtId="9" fontId="0" fillId="2" borderId="1" pivotButton="0" quotePrefix="0" xfId="1"/>
    <xf numFmtId="165" fontId="4" fillId="0" borderId="0" applyAlignment="1" pivotButton="0" quotePrefix="0" xfId="1">
      <alignment vertical="center"/>
    </xf>
    <xf numFmtId="0" fontId="7" fillId="6" borderId="1" applyAlignment="1" pivotButton="0" quotePrefix="0" xfId="0">
      <alignment vertical="center"/>
    </xf>
    <xf numFmtId="0" fontId="7" fillId="7" borderId="1" applyAlignment="1" pivotButton="0" quotePrefix="0" xfId="0">
      <alignment vertical="center"/>
    </xf>
    <xf numFmtId="165" fontId="20" fillId="0" borderId="1" applyAlignment="1" pivotButton="0" quotePrefix="0" xfId="1">
      <alignment vertical="center"/>
    </xf>
    <xf numFmtId="165" fontId="4" fillId="2" borderId="1" applyAlignment="1" pivotButton="0" quotePrefix="0" xfId="1">
      <alignment vertical="center"/>
    </xf>
    <xf numFmtId="43" fontId="4" fillId="0" borderId="0" applyAlignment="1" pivotButton="0" quotePrefix="0" xfId="0">
      <alignment vertical="center"/>
    </xf>
    <xf numFmtId="9" fontId="0" fillId="2" borderId="1" pivotButton="0" quotePrefix="0" xfId="0"/>
    <xf numFmtId="0" fontId="0" fillId="2" borderId="1" pivotButton="0" quotePrefix="0" xfId="0"/>
    <xf numFmtId="43" fontId="0" fillId="0" borderId="0" pivotButton="0" quotePrefix="0" xfId="0"/>
    <xf numFmtId="164" fontId="2" fillId="0" borderId="1" pivotButton="0" quotePrefix="0" xfId="1"/>
    <xf numFmtId="165" fontId="0" fillId="0" borderId="0" pivotButton="0" quotePrefix="0" xfId="1"/>
    <xf numFmtId="164" fontId="2" fillId="0" borderId="0" pivotButton="0" quotePrefix="0" xfId="1"/>
    <xf numFmtId="164" fontId="0" fillId="0" borderId="0" pivotButton="0" quotePrefix="0" xfId="1"/>
    <xf numFmtId="0" fontId="1" fillId="0" borderId="0" applyAlignment="1" pivotButton="0" quotePrefix="0" xfId="5">
      <alignment vertical="center"/>
    </xf>
    <xf numFmtId="0" fontId="1" fillId="0" borderId="0" applyAlignment="1" pivotButton="0" quotePrefix="0" xfId="5">
      <alignment horizontal="center" vertical="center"/>
    </xf>
    <xf numFmtId="0" fontId="2" fillId="0" borderId="0" applyAlignment="1" pivotButton="0" quotePrefix="0" xfId="5">
      <alignment vertical="center"/>
    </xf>
    <xf numFmtId="0" fontId="2" fillId="0" borderId="0" applyAlignment="1" pivotButton="0" quotePrefix="0" xfId="5">
      <alignment horizontal="center" vertical="center"/>
    </xf>
    <xf numFmtId="0" fontId="1" fillId="0" borderId="1" applyAlignment="1" pivotButton="0" quotePrefix="0" xfId="5">
      <alignment horizontal="center" vertical="center"/>
    </xf>
    <xf numFmtId="0" fontId="1" fillId="0" borderId="0" applyAlignment="1" pivotButton="0" quotePrefix="0" xfId="5">
      <alignment horizontal="left" vertical="center"/>
    </xf>
    <xf numFmtId="0" fontId="2" fillId="0" borderId="1" applyAlignment="1" pivotButton="0" quotePrefix="0" xfId="5">
      <alignment vertical="center"/>
    </xf>
    <xf numFmtId="0" fontId="2" fillId="0" borderId="1" applyAlignment="1" pivotButton="0" quotePrefix="0" xfId="5">
      <alignment horizontal="center" vertical="center"/>
    </xf>
    <xf numFmtId="0" fontId="1" fillId="5" borderId="1" applyAlignment="1" pivotButton="0" quotePrefix="0" xfId="5">
      <alignment horizontal="center" vertical="center"/>
    </xf>
    <xf numFmtId="0" fontId="1" fillId="0" borderId="1" applyAlignment="1" pivotButton="0" quotePrefix="0" xfId="5">
      <alignment vertical="center"/>
    </xf>
    <xf numFmtId="166" fontId="1" fillId="0" borderId="1" applyAlignment="1" pivotButton="0" quotePrefix="0" xfId="5">
      <alignment horizontal="center" vertical="center"/>
    </xf>
    <xf numFmtId="166" fontId="1" fillId="0" borderId="0" applyAlignment="1" pivotButton="0" quotePrefix="0" xfId="5">
      <alignment horizontal="center" vertical="center"/>
    </xf>
    <xf numFmtId="0" fontId="1" fillId="0" borderId="1" applyAlignment="1" pivotButton="0" quotePrefix="0" xfId="5">
      <alignment horizontal="left" vertical="center"/>
    </xf>
    <xf numFmtId="0" fontId="21" fillId="5" borderId="1" applyAlignment="1" pivotButton="0" quotePrefix="0" xfId="5">
      <alignment horizontal="center" vertical="center"/>
    </xf>
    <xf numFmtId="0" fontId="1" fillId="8" borderId="1" applyAlignment="1" pivotButton="0" quotePrefix="0" xfId="5">
      <alignment horizontal="center" vertical="center"/>
    </xf>
    <xf numFmtId="2" fontId="1" fillId="0" borderId="1" applyAlignment="1" pivotButton="0" quotePrefix="0" xfId="5">
      <alignment horizontal="center" vertical="center"/>
    </xf>
    <xf numFmtId="1" fontId="1" fillId="0" borderId="1" applyAlignment="1" pivotButton="0" quotePrefix="0" xfId="5">
      <alignment horizontal="center" vertical="center"/>
    </xf>
    <xf numFmtId="0" fontId="1" fillId="0" borderId="7" applyAlignment="1" pivotButton="0" quotePrefix="0" xfId="5">
      <alignment vertical="center"/>
    </xf>
    <xf numFmtId="0" fontId="16" fillId="0" borderId="7" applyAlignment="1" pivotButton="0" quotePrefix="0" xfId="5">
      <alignment vertical="center"/>
    </xf>
    <xf numFmtId="0" fontId="16" fillId="0" borderId="1" applyAlignment="1" pivotButton="0" quotePrefix="0" xfId="5">
      <alignment vertical="center"/>
    </xf>
    <xf numFmtId="166" fontId="16" fillId="0" borderId="1" applyAlignment="1" pivotButton="0" quotePrefix="0" xfId="5">
      <alignment horizontal="center" vertical="center"/>
    </xf>
    <xf numFmtId="2" fontId="1" fillId="0" borderId="0" applyAlignment="1" pivotButton="0" quotePrefix="0" xfId="5">
      <alignment horizontal="center" vertical="center"/>
    </xf>
    <xf numFmtId="0" fontId="16" fillId="0" borderId="9" applyAlignment="1" pivotButton="0" quotePrefix="0" xfId="5">
      <alignment vertical="center"/>
    </xf>
    <xf numFmtId="166" fontId="16" fillId="0" borderId="9" applyAlignment="1" pivotButton="0" quotePrefix="0" xfId="5">
      <alignment horizontal="center" vertical="center"/>
    </xf>
    <xf numFmtId="0" fontId="1" fillId="0" borderId="1" applyAlignment="1" pivotButton="0" quotePrefix="0" xfId="5">
      <alignment horizontal="center" vertical="center" wrapText="1"/>
    </xf>
    <xf numFmtId="166" fontId="1" fillId="2" borderId="0" applyAlignment="1" pivotButton="0" quotePrefix="0" xfId="5">
      <alignment horizontal="center" vertical="center"/>
    </xf>
    <xf numFmtId="166" fontId="1" fillId="0" borderId="0" applyAlignment="1" pivotButton="0" quotePrefix="0" xfId="5">
      <alignment vertical="center"/>
    </xf>
    <xf numFmtId="9" fontId="1" fillId="0" borderId="0" applyAlignment="1" pivotButton="0" quotePrefix="0" xfId="5">
      <alignment horizontal="center" vertical="center"/>
    </xf>
    <xf numFmtId="9" fontId="1" fillId="0" borderId="0" applyAlignment="1" pivotButton="0" quotePrefix="0" xfId="5">
      <alignment vertical="center"/>
    </xf>
    <xf numFmtId="165" fontId="1" fillId="0" borderId="0" applyAlignment="1" pivotButton="0" quotePrefix="0" xfId="1">
      <alignment vertical="center"/>
    </xf>
    <xf numFmtId="165" fontId="2" fillId="0" borderId="0" applyAlignment="1" pivotButton="0" quotePrefix="0" xfId="1">
      <alignment vertical="center"/>
    </xf>
    <xf numFmtId="165" fontId="2" fillId="0" borderId="1" applyAlignment="1" pivotButton="0" quotePrefix="0" xfId="1">
      <alignment vertical="center"/>
    </xf>
    <xf numFmtId="165" fontId="1" fillId="0" borderId="1" applyAlignment="1" pivotButton="0" quotePrefix="0" xfId="1">
      <alignment vertical="center"/>
    </xf>
    <xf numFmtId="165" fontId="1" fillId="2" borderId="1" applyAlignment="1" pivotButton="0" quotePrefix="0" xfId="1">
      <alignment vertical="center"/>
    </xf>
    <xf numFmtId="9" fontId="1" fillId="0" borderId="1" applyAlignment="1" pivotButton="0" quotePrefix="0" xfId="1">
      <alignment vertical="center"/>
    </xf>
    <xf numFmtId="9" fontId="2" fillId="0" borderId="1" applyAlignment="1" pivotButton="0" quotePrefix="0" xfId="1">
      <alignment vertical="center"/>
    </xf>
    <xf numFmtId="0" fontId="10" fillId="0" borderId="1" applyAlignment="1" pivotButton="0" quotePrefix="0" xfId="0">
      <alignment vertical="center"/>
    </xf>
    <xf numFmtId="0" fontId="18" fillId="2" borderId="0" pivotButton="0" quotePrefix="0" xfId="0"/>
    <xf numFmtId="9" fontId="18" fillId="2" borderId="0" pivotButton="0" quotePrefix="0" xfId="0"/>
    <xf numFmtId="0" fontId="23" fillId="0" borderId="10" pivotButton="0" quotePrefix="0" xfId="0"/>
    <xf numFmtId="0" fontId="23" fillId="0" borderId="10" pivotButton="0" quotePrefix="1" xfId="0"/>
    <xf numFmtId="14" fontId="23" fillId="0" borderId="10" pivotButton="0" quotePrefix="0" xfId="0"/>
    <xf numFmtId="0" fontId="24" fillId="0" borderId="0" applyAlignment="1" pivotButton="0" quotePrefix="0" xfId="0">
      <alignment vertical="center"/>
    </xf>
    <xf numFmtId="166" fontId="1" fillId="2" borderId="1" applyAlignment="1" pivotButton="0" quotePrefix="0" xfId="5">
      <alignment horizontal="center" vertical="center"/>
    </xf>
    <xf numFmtId="0" fontId="1" fillId="2" borderId="1" applyAlignment="1" pivotButton="0" quotePrefix="0" xfId="5">
      <alignment horizontal="center" vertical="center"/>
    </xf>
    <xf numFmtId="0" fontId="25" fillId="0" borderId="0" applyAlignment="1" pivotButton="0" quotePrefix="0" xfId="0">
      <alignment vertical="center"/>
    </xf>
    <xf numFmtId="0" fontId="25" fillId="4" borderId="0" applyAlignment="1" pivotButton="0" quotePrefix="0" xfId="0">
      <alignment vertical="center"/>
    </xf>
    <xf numFmtId="0" fontId="26" fillId="4" borderId="0" pivotButton="0" quotePrefix="0" xfId="0"/>
    <xf numFmtId="0" fontId="26" fillId="0" borderId="0" pivotButton="0" quotePrefix="0" xfId="0"/>
    <xf numFmtId="0" fontId="14" fillId="0" borderId="0" applyAlignment="1" pivotButton="0" quotePrefix="0" xfId="0">
      <alignment vertical="center" wrapText="1"/>
    </xf>
    <xf numFmtId="0" fontId="14" fillId="4" borderId="0" applyAlignment="1" pivotButton="0" quotePrefix="0" xfId="0">
      <alignment vertical="center" wrapText="1"/>
    </xf>
    <xf numFmtId="0" fontId="25" fillId="4" borderId="0" applyAlignment="1" applyProtection="1" pivotButton="0" quotePrefix="0" xfId="0">
      <alignment vertical="center"/>
      <protection locked="1" hidden="1"/>
    </xf>
    <xf numFmtId="0" fontId="14" fillId="4" borderId="0" applyAlignment="1" applyProtection="1" pivotButton="0" quotePrefix="0" xfId="0">
      <alignment vertical="center" wrapText="1"/>
      <protection locked="1" hidden="1"/>
    </xf>
    <xf numFmtId="2" fontId="27" fillId="4" borderId="1" applyAlignment="1" applyProtection="1" pivotButton="0" quotePrefix="0" xfId="0">
      <alignment vertical="center"/>
      <protection locked="1" hidden="1"/>
    </xf>
    <xf numFmtId="164" fontId="27" fillId="4" borderId="1" applyAlignment="1" applyProtection="1" pivotButton="0" quotePrefix="0" xfId="0">
      <alignment vertical="center"/>
      <protection locked="1" hidden="1"/>
    </xf>
    <xf numFmtId="9" fontId="25" fillId="4" borderId="1" applyAlignment="1" applyProtection="1" pivotButton="0" quotePrefix="0" xfId="0">
      <alignment vertical="center"/>
      <protection locked="1" hidden="1"/>
    </xf>
    <xf numFmtId="164" fontId="25" fillId="4" borderId="1" applyAlignment="1" applyProtection="1" pivotButton="0" quotePrefix="0" xfId="0">
      <alignment vertical="center"/>
      <protection locked="1" hidden="1"/>
    </xf>
    <xf numFmtId="0" fontId="14" fillId="4" borderId="1" applyAlignment="1" applyProtection="1" pivotButton="0" quotePrefix="0" xfId="0">
      <alignment vertical="center" wrapText="1"/>
      <protection locked="1" hidden="1"/>
    </xf>
    <xf numFmtId="0" fontId="25" fillId="4" borderId="1" applyAlignment="1" applyProtection="1" pivotButton="0" quotePrefix="0" xfId="0">
      <alignment vertical="center"/>
      <protection locked="1" hidden="1"/>
    </xf>
    <xf numFmtId="0" fontId="16" fillId="4" borderId="1" applyAlignment="1" applyProtection="1" pivotButton="0" quotePrefix="0" xfId="0">
      <alignment vertical="center"/>
      <protection locked="1" hidden="1"/>
    </xf>
    <xf numFmtId="0" fontId="25" fillId="4" borderId="1" applyAlignment="1" applyProtection="1" pivotButton="0" quotePrefix="0" xfId="0">
      <alignment vertical="center"/>
      <protection locked="0" hidden="1"/>
    </xf>
    <xf numFmtId="164" fontId="25" fillId="4" borderId="1" applyAlignment="1" applyProtection="1" pivotButton="0" quotePrefix="0" xfId="1">
      <alignment vertical="center"/>
      <protection locked="1" hidden="1"/>
    </xf>
    <xf numFmtId="164" fontId="25" fillId="4" borderId="1" applyAlignment="1" applyProtection="1" pivotButton="0" quotePrefix="0" xfId="1">
      <alignment vertical="center"/>
      <protection locked="0" hidden="1"/>
    </xf>
    <xf numFmtId="0" fontId="16" fillId="4" borderId="1" applyAlignment="1" applyProtection="1" pivotButton="0" quotePrefix="0" xfId="0">
      <alignment vertical="center"/>
      <protection locked="0" hidden="1"/>
    </xf>
    <xf numFmtId="0" fontId="14" fillId="2" borderId="1" applyAlignment="1" applyProtection="1" pivotButton="0" quotePrefix="0" xfId="0">
      <alignment vertical="center" wrapText="1"/>
      <protection locked="1" hidden="1"/>
    </xf>
    <xf numFmtId="164" fontId="25" fillId="2" borderId="1" applyAlignment="1" applyProtection="1" pivotButton="0" quotePrefix="0" xfId="1">
      <alignment vertical="center"/>
      <protection locked="1" hidden="1"/>
    </xf>
    <xf numFmtId="0" fontId="27" fillId="4" borderId="1" applyAlignment="1" applyProtection="1" pivotButton="0" quotePrefix="0" xfId="0">
      <alignment vertical="center"/>
      <protection locked="1" hidden="1"/>
    </xf>
    <xf numFmtId="164" fontId="17" fillId="4" borderId="0" pivotButton="0" quotePrefix="0" xfId="0"/>
    <xf numFmtId="166" fontId="4" fillId="0" borderId="1" applyAlignment="1" pivotButton="0" quotePrefix="0" xfId="0">
      <alignment vertical="center"/>
    </xf>
    <xf numFmtId="0" fontId="20" fillId="0" borderId="1" applyAlignment="1" pivotButton="0" quotePrefix="0" xfId="0">
      <alignment vertical="center"/>
    </xf>
    <xf numFmtId="0" fontId="20" fillId="2" borderId="1" applyAlignment="1" pivotButton="0" quotePrefix="0" xfId="0">
      <alignment vertical="center"/>
    </xf>
    <xf numFmtId="0" fontId="0" fillId="0" borderId="1" applyAlignment="1" pivotButton="0" quotePrefix="0" xfId="0">
      <alignment wrapText="1"/>
    </xf>
    <xf numFmtId="0" fontId="4" fillId="0" borderId="1" applyAlignment="1" pivotButton="0" quotePrefix="0" xfId="0">
      <alignment vertical="center" wrapText="1"/>
    </xf>
    <xf numFmtId="166" fontId="20" fillId="2" borderId="1" applyAlignment="1" pivotButton="0" quotePrefix="0" xfId="0">
      <alignment horizontal="center" vertical="center"/>
    </xf>
    <xf numFmtId="1" fontId="6" fillId="2" borderId="1" applyAlignment="1" pivotButton="0" quotePrefix="0" xfId="1">
      <alignment horizontal="center" vertical="center" wrapText="1"/>
    </xf>
    <xf numFmtId="9" fontId="6" fillId="2" borderId="1" applyAlignment="1" pivotButton="0" quotePrefix="0" xfId="1">
      <alignment horizontal="center" vertical="center" wrapText="1"/>
    </xf>
    <xf numFmtId="0" fontId="4" fillId="0" borderId="0" applyAlignment="1" pivotButton="0" quotePrefix="0" xfId="0">
      <alignment vertical="center" wrapText="1"/>
    </xf>
    <xf numFmtId="0" fontId="6" fillId="2" borderId="2" applyAlignment="1" pivotButton="0" quotePrefix="0" xfId="0">
      <alignment horizontal="center" vertical="center"/>
    </xf>
    <xf numFmtId="0" fontId="11" fillId="0" borderId="1" applyAlignment="1" pivotButton="0" quotePrefix="0" xfId="0">
      <alignment vertical="center"/>
    </xf>
    <xf numFmtId="0" fontId="11" fillId="2" borderId="1" applyAlignment="1" pivotButton="0" quotePrefix="0" xfId="0">
      <alignment vertical="center"/>
    </xf>
    <xf numFmtId="43" fontId="2" fillId="2" borderId="1" pivotButton="0" quotePrefix="0" xfId="1"/>
    <xf numFmtId="170" fontId="0" fillId="0" borderId="1" pivotButton="0" quotePrefix="0" xfId="0"/>
    <xf numFmtId="170" fontId="0" fillId="0" borderId="1" applyAlignment="1" pivotButton="0" quotePrefix="0" xfId="0">
      <alignment wrapText="1"/>
    </xf>
    <xf numFmtId="0" fontId="8" fillId="0" borderId="0" applyProtection="1" pivotButton="0" quotePrefix="0" xfId="0">
      <protection locked="1" hidden="1"/>
    </xf>
    <xf numFmtId="0" fontId="4" fillId="0" borderId="0" applyAlignment="1" applyProtection="1" pivotButton="0" quotePrefix="0" xfId="0">
      <alignment vertical="center"/>
      <protection locked="1" hidden="1"/>
    </xf>
    <xf numFmtId="0" fontId="6" fillId="0" borderId="4" applyAlignment="1" applyProtection="1" pivotButton="0" quotePrefix="0" xfId="0">
      <alignment vertical="center"/>
      <protection locked="1" hidden="1"/>
    </xf>
    <xf numFmtId="164" fontId="6" fillId="0" borderId="4" applyAlignment="1" applyProtection="1" pivotButton="0" quotePrefix="0" xfId="0">
      <alignment vertical="center"/>
      <protection locked="1" hidden="1"/>
    </xf>
    <xf numFmtId="9" fontId="4" fillId="0" borderId="0" applyAlignment="1" applyProtection="1" pivotButton="0" quotePrefix="0" xfId="0">
      <alignment vertical="center"/>
      <protection locked="1" hidden="1"/>
    </xf>
    <xf numFmtId="9" fontId="4" fillId="0" borderId="4" applyAlignment="1" applyProtection="1" pivotButton="0" quotePrefix="0" xfId="0">
      <alignment vertical="center"/>
      <protection locked="1" hidden="1"/>
    </xf>
    <xf numFmtId="164" fontId="4" fillId="0" borderId="4" applyAlignment="1" applyProtection="1" pivotButton="0" quotePrefix="0" xfId="0">
      <alignment vertical="center"/>
      <protection locked="1" hidden="1"/>
    </xf>
    <xf numFmtId="0" fontId="5" fillId="0" borderId="7" applyAlignment="1" applyProtection="1" pivotButton="0" quotePrefix="0" xfId="0">
      <alignment horizontal="center" vertical="center" wrapText="1"/>
      <protection locked="1" hidden="1"/>
    </xf>
    <xf numFmtId="0" fontId="5" fillId="0" borderId="1" applyAlignment="1" applyProtection="1" pivotButton="0" quotePrefix="0" xfId="0">
      <alignment vertical="center" wrapText="1"/>
      <protection locked="1" hidden="1"/>
    </xf>
    <xf numFmtId="0" fontId="5" fillId="3" borderId="1" applyAlignment="1" applyProtection="1" pivotButton="0" quotePrefix="0" xfId="0">
      <alignment vertical="center" wrapText="1"/>
      <protection locked="1" hidden="1"/>
    </xf>
    <xf numFmtId="0" fontId="5" fillId="2" borderId="1" applyAlignment="1" applyProtection="1" pivotButton="0" quotePrefix="0" xfId="0">
      <alignment vertical="center" wrapText="1"/>
      <protection locked="1" hidden="1"/>
    </xf>
    <xf numFmtId="0" fontId="5" fillId="0" borderId="2" applyAlignment="1" applyProtection="1" pivotButton="0" quotePrefix="0" xfId="0">
      <alignment vertical="center" wrapText="1"/>
      <protection locked="1" hidden="1"/>
    </xf>
    <xf numFmtId="0" fontId="5" fillId="0" borderId="3" applyAlignment="1" applyProtection="1" pivotButton="0" quotePrefix="0" xfId="0">
      <alignment vertical="center" wrapText="1"/>
      <protection locked="1" hidden="1"/>
    </xf>
    <xf numFmtId="0" fontId="5" fillId="0" borderId="4" applyAlignment="1" applyProtection="1" pivotButton="0" quotePrefix="0" xfId="0">
      <alignment vertical="center" wrapText="1"/>
      <protection locked="1" hidden="1"/>
    </xf>
    <xf numFmtId="0" fontId="5" fillId="3" borderId="3" applyAlignment="1" applyProtection="1" pivotButton="0" quotePrefix="0" xfId="0">
      <alignment vertical="center" wrapText="1"/>
      <protection locked="1" hidden="1"/>
    </xf>
    <xf numFmtId="0" fontId="5" fillId="3" borderId="4" applyAlignment="1" applyProtection="1" pivotButton="0" quotePrefix="0" xfId="0">
      <alignment vertical="center" wrapText="1"/>
      <protection locked="1" hidden="1"/>
    </xf>
    <xf numFmtId="0" fontId="5" fillId="0" borderId="0" applyAlignment="1" applyProtection="1" pivotButton="0" quotePrefix="0" xfId="0">
      <alignment vertical="center" wrapText="1"/>
      <protection locked="1" hidden="1"/>
    </xf>
    <xf numFmtId="0" fontId="4" fillId="0" borderId="3" applyAlignment="1" applyProtection="1" pivotButton="0" quotePrefix="0" xfId="0">
      <alignment vertical="center"/>
      <protection locked="1" hidden="1"/>
    </xf>
    <xf numFmtId="0" fontId="7" fillId="0" borderId="1" applyAlignment="1" applyProtection="1" pivotButton="0" quotePrefix="0" xfId="0">
      <alignment vertical="center"/>
      <protection locked="1" hidden="1"/>
    </xf>
    <xf numFmtId="164" fontId="4" fillId="0" borderId="1" applyAlignment="1" applyProtection="1" pivotButton="0" quotePrefix="0" xfId="1">
      <alignment vertical="center"/>
      <protection locked="1" hidden="1"/>
    </xf>
    <xf numFmtId="164" fontId="4" fillId="0" borderId="1" applyAlignment="1" applyProtection="1" pivotButton="0" quotePrefix="0" xfId="1">
      <alignment vertical="center"/>
      <protection locked="0" hidden="1"/>
    </xf>
    <xf numFmtId="164" fontId="4" fillId="0" borderId="2" applyAlignment="1" applyProtection="1" pivotButton="0" quotePrefix="0" xfId="1">
      <alignment vertical="center"/>
      <protection locked="1" hidden="1"/>
    </xf>
    <xf numFmtId="164" fontId="4" fillId="0" borderId="3" applyAlignment="1" applyProtection="1" pivotButton="0" quotePrefix="0" xfId="1">
      <alignment vertical="center"/>
      <protection locked="1" hidden="1"/>
    </xf>
    <xf numFmtId="164" fontId="4" fillId="0" borderId="4" applyAlignment="1" applyProtection="1" pivotButton="0" quotePrefix="0" xfId="1">
      <alignment vertical="center"/>
      <protection locked="1" hidden="1"/>
    </xf>
    <xf numFmtId="0" fontId="4" fillId="0" borderId="1" applyAlignment="1" applyProtection="1" pivotButton="0" quotePrefix="0" xfId="0">
      <alignment vertical="center"/>
      <protection locked="0" hidden="1"/>
    </xf>
    <xf numFmtId="0" fontId="4" fillId="0" borderId="0" applyAlignment="1" applyProtection="1" pivotButton="0" quotePrefix="0" xfId="0">
      <alignment vertical="center"/>
      <protection locked="0" hidden="1"/>
    </xf>
    <xf numFmtId="0" fontId="28" fillId="0" borderId="1" applyAlignment="1" pivotButton="0" quotePrefix="0" xfId="0">
      <alignment vertical="center" wrapText="1"/>
    </xf>
    <xf numFmtId="0" fontId="29" fillId="0" borderId="1" applyAlignment="1" pivotButton="0" quotePrefix="0" xfId="0">
      <alignment vertical="center" wrapText="1"/>
    </xf>
    <xf numFmtId="0" fontId="14" fillId="4" borderId="1" applyAlignment="1" applyProtection="1" pivotButton="0" quotePrefix="0" xfId="0">
      <alignment horizontal="center" vertical="center" wrapText="1"/>
      <protection locked="1" hidden="1"/>
    </xf>
    <xf numFmtId="0" fontId="26" fillId="4" borderId="0" applyProtection="1" pivotButton="0" quotePrefix="0" xfId="0">
      <protection locked="1" hidden="1"/>
    </xf>
    <xf numFmtId="0" fontId="15" fillId="4" borderId="0" applyAlignment="1" applyProtection="1" pivotButton="0" quotePrefix="0" xfId="0">
      <alignment vertical="center"/>
      <protection locked="1" hidden="1"/>
    </xf>
    <xf numFmtId="0" fontId="17" fillId="4" borderId="0" applyProtection="1" pivotButton="0" quotePrefix="0" xfId="0">
      <protection locked="1" hidden="1"/>
    </xf>
    <xf numFmtId="0" fontId="15" fillId="4" borderId="0" applyAlignment="1" applyProtection="1" pivotButton="0" quotePrefix="0" xfId="0">
      <alignment horizontal="center" vertical="center"/>
      <protection locked="1" hidden="1"/>
    </xf>
    <xf numFmtId="0" fontId="25" fillId="4" borderId="0" applyAlignment="1" applyProtection="1" pivotButton="0" quotePrefix="0" xfId="0">
      <alignment vertical="center"/>
      <protection locked="0" hidden="1"/>
    </xf>
    <xf numFmtId="164" fontId="25" fillId="4" borderId="0" applyAlignment="1" applyProtection="1" pivotButton="0" quotePrefix="0" xfId="1">
      <alignment vertical="center"/>
      <protection locked="0" hidden="1"/>
    </xf>
    <xf numFmtId="0" fontId="16" fillId="0" borderId="1" applyAlignment="1" applyProtection="1" pivotButton="0" quotePrefix="0" xfId="0">
      <alignment vertical="center"/>
      <protection locked="1" hidden="1"/>
    </xf>
    <xf numFmtId="164" fontId="25" fillId="0" borderId="1" applyAlignment="1" applyProtection="1" pivotButton="0" quotePrefix="0" xfId="1">
      <alignment vertical="center"/>
      <protection locked="1" hidden="1"/>
    </xf>
    <xf numFmtId="0" fontId="0" fillId="0" borderId="0" applyProtection="1" pivotButton="0" quotePrefix="0" xfId="0">
      <protection locked="1" hidden="1"/>
    </xf>
    <xf numFmtId="0" fontId="5" fillId="4" borderId="1" applyAlignment="1" applyProtection="1" pivotButton="0" quotePrefix="0" xfId="0">
      <alignment horizontal="center" vertical="center" wrapText="1"/>
      <protection locked="1" hidden="1"/>
    </xf>
    <xf numFmtId="2" fontId="6" fillId="4" borderId="1" applyAlignment="1" applyProtection="1" pivotButton="0" quotePrefix="0" xfId="0">
      <alignment vertical="center"/>
      <protection locked="1" hidden="1"/>
    </xf>
    <xf numFmtId="164" fontId="6" fillId="4" borderId="1" applyAlignment="1" applyProtection="1" pivotButton="0" quotePrefix="0" xfId="0">
      <alignment vertical="center"/>
      <protection locked="1" hidden="1"/>
    </xf>
    <xf numFmtId="9" fontId="4" fillId="4" borderId="1" applyAlignment="1" applyProtection="1" pivotButton="0" quotePrefix="0" xfId="0">
      <alignment vertical="center"/>
      <protection locked="1" hidden="1"/>
    </xf>
    <xf numFmtId="164" fontId="4" fillId="4" borderId="1" applyAlignment="1" applyProtection="1" pivotButton="0" quotePrefix="0" xfId="0">
      <alignment vertical="center"/>
      <protection locked="1" hidden="1"/>
    </xf>
    <xf numFmtId="0" fontId="5" fillId="4" borderId="1" applyAlignment="1" applyProtection="1" pivotButton="0" quotePrefix="0" xfId="0">
      <alignment vertical="center" wrapText="1"/>
      <protection locked="1" hidden="1"/>
    </xf>
    <xf numFmtId="0" fontId="4" fillId="4" borderId="1" applyAlignment="1" applyProtection="1" pivotButton="0" quotePrefix="0" xfId="0">
      <alignment vertical="center"/>
      <protection locked="1" hidden="1"/>
    </xf>
    <xf numFmtId="0" fontId="7" fillId="4" borderId="1" applyAlignment="1" applyProtection="1" pivotButton="0" quotePrefix="0" xfId="0">
      <alignment vertical="center"/>
      <protection locked="1" hidden="1"/>
    </xf>
    <xf numFmtId="0" fontId="4" fillId="4" borderId="1" applyAlignment="1" applyProtection="1" pivotButton="0" quotePrefix="0" xfId="0">
      <alignment vertical="center"/>
      <protection locked="0" hidden="1"/>
    </xf>
    <xf numFmtId="164" fontId="4" fillId="4" borderId="1" applyAlignment="1" applyProtection="1" pivotButton="0" quotePrefix="0" xfId="1">
      <alignment vertical="center"/>
      <protection locked="1" hidden="1"/>
    </xf>
    <xf numFmtId="0" fontId="0" fillId="0" borderId="1" applyProtection="1" pivotButton="0" quotePrefix="0" xfId="0">
      <protection locked="1" hidden="1"/>
    </xf>
    <xf numFmtId="166" fontId="4" fillId="4" borderId="1" applyAlignment="1" applyProtection="1" pivotButton="0" quotePrefix="0" xfId="0">
      <alignment vertical="center"/>
      <protection locked="1" hidden="1"/>
    </xf>
    <xf numFmtId="164" fontId="25" fillId="3" borderId="1" applyAlignment="1" applyProtection="1" pivotButton="0" quotePrefix="0" xfId="1">
      <alignment vertical="center"/>
      <protection locked="1" hidden="1"/>
    </xf>
    <xf numFmtId="0" fontId="6" fillId="0" borderId="1" applyAlignment="1" applyProtection="1" pivotButton="0" quotePrefix="0" xfId="0">
      <alignment vertical="center"/>
      <protection locked="1" hidden="1"/>
    </xf>
    <xf numFmtId="164" fontId="6" fillId="0" borderId="1" applyAlignment="1" applyProtection="1" pivotButton="0" quotePrefix="0" xfId="0">
      <alignment vertical="center"/>
      <protection locked="1" hidden="1"/>
    </xf>
    <xf numFmtId="9" fontId="4" fillId="0" borderId="1" applyAlignment="1" applyProtection="1" pivotButton="0" quotePrefix="0" xfId="0">
      <alignment vertical="center"/>
      <protection locked="1" hidden="1"/>
    </xf>
    <xf numFmtId="164" fontId="4" fillId="0" borderId="1" applyAlignment="1" applyProtection="1" pivotButton="0" quotePrefix="0" xfId="0">
      <alignment vertical="center"/>
      <protection locked="1" hidden="1"/>
    </xf>
    <xf numFmtId="0" fontId="5" fillId="0" borderId="1" applyAlignment="1" applyProtection="1" pivotButton="0" quotePrefix="0" xfId="0">
      <alignment horizontal="center" vertical="center" wrapText="1"/>
      <protection locked="1" hidden="1"/>
    </xf>
    <xf numFmtId="0" fontId="4" fillId="0" borderId="1" applyAlignment="1" applyProtection="1" pivotButton="0" quotePrefix="0" xfId="0">
      <alignment vertical="center"/>
      <protection locked="1" hidden="1"/>
    </xf>
    <xf numFmtId="3" fontId="13" fillId="0" borderId="1" applyAlignment="1" pivotButton="0" quotePrefix="0" xfId="0">
      <alignment horizontal="center" vertical="center"/>
    </xf>
    <xf numFmtId="0" fontId="8" fillId="4" borderId="0" pivotButton="0" quotePrefix="0" xfId="0"/>
    <xf numFmtId="0" fontId="4" fillId="4" borderId="0" applyAlignment="1" pivotButton="0" quotePrefix="0" xfId="0">
      <alignment vertical="center"/>
    </xf>
    <xf numFmtId="0" fontId="5" fillId="4" borderId="0" applyAlignment="1" pivotButton="0" quotePrefix="0" xfId="0">
      <alignment vertical="center" wrapText="1"/>
    </xf>
    <xf numFmtId="0" fontId="10" fillId="0" borderId="0" applyAlignment="1" pivotButton="0" quotePrefix="0" xfId="0">
      <alignment vertical="center" wrapText="1"/>
    </xf>
    <xf numFmtId="3" fontId="10" fillId="0" borderId="0" applyAlignment="1" pivotButton="0" quotePrefix="0" xfId="0">
      <alignment horizontal="center" vertical="center"/>
    </xf>
    <xf numFmtId="0" fontId="8" fillId="0" borderId="1" pivotButton="0" quotePrefix="0" xfId="0"/>
    <xf numFmtId="0" fontId="6" fillId="0" borderId="1" applyAlignment="1" applyProtection="1" pivotButton="0" quotePrefix="0" xfId="0">
      <alignment vertical="center"/>
      <protection locked="0" hidden="0"/>
    </xf>
    <xf numFmtId="0" fontId="30" fillId="0" borderId="0" applyAlignment="1" pivotButton="0" quotePrefix="0" xfId="6">
      <alignment vertical="center"/>
    </xf>
    <xf numFmtId="164" fontId="1" fillId="0" borderId="0" applyAlignment="1" pivotButton="0" quotePrefix="0" xfId="1">
      <alignment vertical="center"/>
    </xf>
    <xf numFmtId="0" fontId="6" fillId="0" borderId="0" applyAlignment="1" pivotButton="0" quotePrefix="0" xfId="0">
      <alignment horizontal="center" vertical="center"/>
    </xf>
    <xf numFmtId="167" fontId="0" fillId="0" borderId="0" pivotButton="0" quotePrefix="0" xfId="1"/>
    <xf numFmtId="0" fontId="4" fillId="0" borderId="0" applyAlignment="1" pivotButton="0" quotePrefix="0" xfId="0">
      <alignment horizontal="center" vertical="center"/>
    </xf>
    <xf numFmtId="0" fontId="16" fillId="0" borderId="1" applyAlignment="1" applyProtection="1" pivotButton="0" quotePrefix="0" xfId="0">
      <alignment vertical="center" wrapText="1"/>
      <protection locked="1" hidden="1"/>
    </xf>
    <xf numFmtId="0" fontId="16" fillId="4" borderId="0" applyAlignment="1" pivotButton="0" quotePrefix="0" xfId="0">
      <alignment vertical="center" wrapText="1"/>
    </xf>
    <xf numFmtId="0" fontId="16" fillId="9" borderId="0" applyAlignment="1" pivotButton="0" quotePrefix="0" xfId="0">
      <alignment vertical="center"/>
    </xf>
    <xf numFmtId="168" fontId="0" fillId="0" borderId="0" pivotButton="0" quotePrefix="0" xfId="7"/>
    <xf numFmtId="168" fontId="31" fillId="0" borderId="1" pivotButton="0" quotePrefix="0" xfId="7"/>
    <xf numFmtId="168" fontId="31" fillId="10" borderId="1" pivotButton="0" quotePrefix="0" xfId="7"/>
    <xf numFmtId="168" fontId="2" fillId="0" borderId="11" pivotButton="0" quotePrefix="0" xfId="7"/>
    <xf numFmtId="171" fontId="2" fillId="0" borderId="11" pivotButton="0" quotePrefix="0" xfId="7"/>
    <xf numFmtId="168" fontId="2" fillId="0" borderId="12" pivotButton="0" quotePrefix="0" xfId="7"/>
    <xf numFmtId="171" fontId="2" fillId="0" borderId="12" pivotButton="0" quotePrefix="0" xfId="7"/>
    <xf numFmtId="168" fontId="2" fillId="0" borderId="13" pivotButton="0" quotePrefix="0" xfId="7"/>
    <xf numFmtId="168" fontId="2" fillId="0" borderId="1" pivotButton="0" quotePrefix="0" xfId="7"/>
    <xf numFmtId="168" fontId="19" fillId="0" borderId="1" pivotButton="0" quotePrefix="0" xfId="7"/>
    <xf numFmtId="168" fontId="19" fillId="11" borderId="1" pivotButton="0" quotePrefix="0" xfId="7"/>
    <xf numFmtId="168" fontId="0" fillId="0" borderId="14" pivotButton="0" quotePrefix="0" xfId="7"/>
    <xf numFmtId="169" fontId="0" fillId="2" borderId="14" pivotButton="0" quotePrefix="0" xfId="7"/>
    <xf numFmtId="168" fontId="0" fillId="0" borderId="1" pivotButton="0" quotePrefix="0" xfId="7"/>
    <xf numFmtId="169" fontId="0" fillId="2" borderId="1" pivotButton="0" quotePrefix="0" xfId="7"/>
    <xf numFmtId="168" fontId="0" fillId="0" borderId="15" pivotButton="0" quotePrefix="0" xfId="7"/>
    <xf numFmtId="43" fontId="0" fillId="0" borderId="1" pivotButton="0" quotePrefix="0" xfId="7"/>
    <xf numFmtId="168" fontId="0" fillId="4" borderId="1" pivotButton="0" quotePrefix="0" xfId="7"/>
    <xf numFmtId="169" fontId="0" fillId="4" borderId="1" pivotButton="0" quotePrefix="0" xfId="7"/>
    <xf numFmtId="168" fontId="0" fillId="2" borderId="14" pivotButton="0" quotePrefix="0" xfId="7"/>
    <xf numFmtId="168" fontId="0" fillId="0" borderId="17" pivotButton="0" quotePrefix="0" xfId="7"/>
    <xf numFmtId="168" fontId="0" fillId="0" borderId="18" pivotButton="0" quotePrefix="0" xfId="7"/>
    <xf numFmtId="169" fontId="0" fillId="2" borderId="18" pivotButton="0" quotePrefix="0" xfId="7"/>
    <xf numFmtId="168" fontId="0" fillId="0" borderId="19" pivotButton="0" quotePrefix="0" xfId="7"/>
    <xf numFmtId="169" fontId="0" fillId="2" borderId="17" pivotButton="0" quotePrefix="0" xfId="7"/>
    <xf numFmtId="168" fontId="2" fillId="0" borderId="20" pivotButton="0" quotePrefix="0" xfId="7"/>
    <xf numFmtId="168" fontId="0" fillId="0" borderId="21" pivotButton="0" quotePrefix="0" xfId="7"/>
    <xf numFmtId="168" fontId="0" fillId="0" borderId="22" pivotButton="0" quotePrefix="0" xfId="7"/>
    <xf numFmtId="168" fontId="0" fillId="2" borderId="15" pivotButton="0" quotePrefix="0" xfId="7"/>
    <xf numFmtId="168" fontId="33" fillId="0" borderId="0" pivotButton="0" quotePrefix="0" xfId="7"/>
    <xf numFmtId="168" fontId="2" fillId="12" borderId="1" pivotButton="0" quotePrefix="0" xfId="7"/>
    <xf numFmtId="168" fontId="2" fillId="0" borderId="14" pivotButton="0" quotePrefix="0" xfId="7"/>
    <xf numFmtId="168" fontId="2" fillId="0" borderId="15" pivotButton="0" quotePrefix="0" xfId="7"/>
    <xf numFmtId="0" fontId="34" fillId="0" borderId="0" pivotButton="0" quotePrefix="0" xfId="0"/>
    <xf numFmtId="168" fontId="2" fillId="0" borderId="17" pivotButton="0" quotePrefix="0" xfId="7"/>
    <xf numFmtId="168" fontId="2" fillId="0" borderId="19" pivotButton="0" quotePrefix="0" xfId="7"/>
    <xf numFmtId="168" fontId="0" fillId="0" borderId="26" pivotButton="0" quotePrefix="0" xfId="7"/>
    <xf numFmtId="168" fontId="0" fillId="2" borderId="27" pivotButton="0" quotePrefix="0" xfId="7"/>
    <xf numFmtId="168" fontId="0" fillId="14" borderId="1" pivotButton="0" quotePrefix="0" xfId="7"/>
    <xf numFmtId="169" fontId="0" fillId="14" borderId="1" pivotButton="0" quotePrefix="0" xfId="7"/>
    <xf numFmtId="168" fontId="0" fillId="5" borderId="1" pivotButton="0" quotePrefix="0" xfId="7"/>
    <xf numFmtId="168" fontId="1" fillId="0" borderId="1" pivotButton="0" quotePrefix="0" xfId="7"/>
    <xf numFmtId="171" fontId="0" fillId="0" borderId="0" pivotButton="0" quotePrefix="0" xfId="7"/>
    <xf numFmtId="168" fontId="2" fillId="0" borderId="24" pivotButton="0" quotePrefix="0" xfId="7"/>
    <xf numFmtId="168" fontId="32" fillId="0" borderId="0" applyAlignment="1" pivotButton="0" quotePrefix="0" xfId="7">
      <alignment horizontal="center" vertical="center" wrapText="1"/>
    </xf>
    <xf numFmtId="171" fontId="2" fillId="0" borderId="1" pivotButton="0" quotePrefix="0" xfId="7"/>
    <xf numFmtId="168" fontId="0" fillId="0" borderId="28" pivotButton="0" quotePrefix="0" xfId="7"/>
    <xf numFmtId="169" fontId="0" fillId="0" borderId="0" pivotButton="0" quotePrefix="0" xfId="7"/>
    <xf numFmtId="169" fontId="0" fillId="0" borderId="1" pivotButton="0" quotePrefix="0" xfId="7"/>
    <xf numFmtId="168" fontId="0" fillId="0" borderId="29" pivotButton="0" quotePrefix="0" xfId="7"/>
    <xf numFmtId="168" fontId="0" fillId="4" borderId="0" pivotButton="0" quotePrefix="0" xfId="7"/>
    <xf numFmtId="168" fontId="2" fillId="12" borderId="1" applyAlignment="1" pivotButton="0" quotePrefix="0" xfId="7">
      <alignment horizontal="center"/>
    </xf>
    <xf numFmtId="168" fontId="2" fillId="4" borderId="1" pivotButton="0" quotePrefix="0" xfId="7"/>
    <xf numFmtId="171" fontId="2" fillId="0" borderId="13" pivotButton="0" quotePrefix="0" xfId="7"/>
    <xf numFmtId="168" fontId="2" fillId="0" borderId="25" pivotButton="0" quotePrefix="0" xfId="7"/>
    <xf numFmtId="168" fontId="0" fillId="0" borderId="30" pivotButton="0" quotePrefix="0" xfId="7"/>
    <xf numFmtId="168" fontId="0" fillId="0" borderId="14" applyAlignment="1" pivotButton="0" quotePrefix="0" xfId="7">
      <alignment horizontal="left" vertical="center" wrapText="1"/>
    </xf>
    <xf numFmtId="168" fontId="0" fillId="2" borderId="15" applyAlignment="1" pivotButton="0" quotePrefix="0" xfId="7">
      <alignment horizontal="center" vertical="center"/>
    </xf>
    <xf numFmtId="168" fontId="0" fillId="0" borderId="14" applyAlignment="1" pivotButton="0" quotePrefix="0" xfId="7">
      <alignment horizontal="left" vertical="center"/>
    </xf>
    <xf numFmtId="169" fontId="0" fillId="2" borderId="15" pivotButton="0" quotePrefix="0" xfId="7"/>
    <xf numFmtId="168" fontId="0" fillId="0" borderId="11" pivotButton="0" quotePrefix="0" xfId="7"/>
    <xf numFmtId="169" fontId="0" fillId="2" borderId="12" pivotButton="0" quotePrefix="0" xfId="7"/>
    <xf numFmtId="168" fontId="0" fillId="0" borderId="13" pivotButton="0" quotePrefix="0" xfId="7"/>
    <xf numFmtId="168" fontId="0" fillId="0" borderId="33" pivotButton="0" quotePrefix="0" xfId="7"/>
    <xf numFmtId="169" fontId="0" fillId="2" borderId="19" pivotButton="0" quotePrefix="0" xfId="7"/>
    <xf numFmtId="168" fontId="0" fillId="0" borderId="0" pivotButton="0" quotePrefix="0" xfId="0"/>
    <xf numFmtId="168" fontId="0" fillId="2" borderId="1" pivotButton="0" quotePrefix="0" xfId="7"/>
    <xf numFmtId="168" fontId="0" fillId="0" borderId="17" applyAlignment="1" pivotButton="0" quotePrefix="0" xfId="7">
      <alignment wrapText="1"/>
    </xf>
    <xf numFmtId="168" fontId="0" fillId="2" borderId="18" pivotButton="0" quotePrefix="0" xfId="7"/>
    <xf numFmtId="171" fontId="0" fillId="0" borderId="0" pivotButton="0" quotePrefix="0" xfId="0"/>
    <xf numFmtId="168" fontId="0" fillId="4" borderId="18" pivotButton="0" quotePrefix="0" xfId="7"/>
    <xf numFmtId="168" fontId="0" fillId="0" borderId="34" pivotButton="0" quotePrefix="0" xfId="7"/>
    <xf numFmtId="9" fontId="0" fillId="0" borderId="0" pivotButton="0" quotePrefix="0" xfId="4"/>
    <xf numFmtId="168" fontId="0" fillId="2" borderId="35" pivotButton="0" quotePrefix="0" xfId="7"/>
    <xf numFmtId="9" fontId="2" fillId="0" borderId="15" pivotButton="0" quotePrefix="0" xfId="7"/>
    <xf numFmtId="168" fontId="2" fillId="0" borderId="37" pivotButton="0" quotePrefix="0" xfId="7"/>
    <xf numFmtId="168" fontId="2" fillId="0" borderId="34" pivotButton="0" quotePrefix="0" xfId="7"/>
    <xf numFmtId="0" fontId="35" fillId="17" borderId="1" applyAlignment="1" pivotButton="0" quotePrefix="0" xfId="0">
      <alignment horizontal="center" vertical="center" wrapText="1"/>
    </xf>
    <xf numFmtId="0" fontId="36" fillId="0" borderId="0" applyAlignment="1" pivotButton="0" quotePrefix="0" xfId="0">
      <alignment horizontal="center"/>
    </xf>
    <xf numFmtId="0" fontId="37" fillId="0" borderId="1" pivotButton="0" quotePrefix="0" xfId="0"/>
    <xf numFmtId="0" fontId="37" fillId="0" borderId="1" applyAlignment="1" applyProtection="1" pivotButton="0" quotePrefix="0" xfId="0">
      <alignment horizontal="left" vertical="center" wrapText="1"/>
      <protection locked="0" hidden="0"/>
    </xf>
    <xf numFmtId="0" fontId="38" fillId="0" borderId="1" applyAlignment="1" applyProtection="1" pivotButton="0" quotePrefix="0" xfId="0">
      <alignment vertical="center" wrapText="1"/>
      <protection locked="0" hidden="0"/>
    </xf>
    <xf numFmtId="0" fontId="37" fillId="0" borderId="1" applyAlignment="1" applyProtection="1" pivotButton="0" quotePrefix="0" xfId="0">
      <alignment vertical="center" wrapText="1"/>
      <protection locked="0" hidden="0"/>
    </xf>
    <xf numFmtId="165" fontId="2" fillId="0" borderId="0" pivotButton="0" quotePrefix="0" xfId="1"/>
    <xf numFmtId="165" fontId="39" fillId="8" borderId="0" pivotButton="0" quotePrefix="0" xfId="1"/>
    <xf numFmtId="165" fontId="0" fillId="2" borderId="0" pivotButton="0" quotePrefix="0" xfId="1"/>
    <xf numFmtId="168" fontId="0" fillId="2" borderId="17" pivotButton="0" quotePrefix="0" xfId="7"/>
    <xf numFmtId="168" fontId="0" fillId="2" borderId="38" pivotButton="0" quotePrefix="0" xfId="7"/>
    <xf numFmtId="165" fontId="2" fillId="0" borderId="11" pivotButton="0" quotePrefix="0" xfId="1"/>
    <xf numFmtId="165" fontId="2" fillId="0" borderId="13" pivotButton="0" quotePrefix="0" xfId="1"/>
    <xf numFmtId="165" fontId="0" fillId="0" borderId="14" pivotButton="0" quotePrefix="0" xfId="1"/>
    <xf numFmtId="165" fontId="0" fillId="2" borderId="15" pivotButton="0" quotePrefix="0" xfId="1"/>
    <xf numFmtId="165" fontId="0" fillId="0" borderId="17" pivotButton="0" quotePrefix="0" xfId="1"/>
    <xf numFmtId="167" fontId="0" fillId="2" borderId="19" pivotButton="0" quotePrefix="0" xfId="1"/>
    <xf numFmtId="165" fontId="2" fillId="0" borderId="12" pivotButton="0" quotePrefix="0" xfId="1"/>
    <xf numFmtId="9" fontId="0" fillId="0" borderId="15" pivotButton="0" quotePrefix="0" xfId="1"/>
    <xf numFmtId="165" fontId="0" fillId="0" borderId="18" pivotButton="0" quotePrefix="0" xfId="1"/>
    <xf numFmtId="9" fontId="0" fillId="0" borderId="19" pivotButton="0" quotePrefix="0" xfId="1"/>
    <xf numFmtId="165" fontId="39" fillId="2" borderId="0" pivotButton="0" quotePrefix="0" xfId="1"/>
    <xf numFmtId="165" fontId="0" fillId="0" borderId="15" pivotButton="0" quotePrefix="0" xfId="1"/>
    <xf numFmtId="165" fontId="0" fillId="0" borderId="19" pivotButton="0" quotePrefix="0" xfId="1"/>
    <xf numFmtId="168" fontId="2" fillId="11" borderId="15" pivotButton="0" quotePrefix="0" xfId="7"/>
    <xf numFmtId="168" fontId="1" fillId="4" borderId="15" pivotButton="0" quotePrefix="0" xfId="7"/>
    <xf numFmtId="165" fontId="0" fillId="0" borderId="11" pivotButton="0" quotePrefix="0" xfId="1"/>
    <xf numFmtId="165" fontId="0" fillId="0" borderId="13" pivotButton="0" quotePrefix="0" xfId="1"/>
    <xf numFmtId="168" fontId="2" fillId="10" borderId="13" pivotButton="0" quotePrefix="0" xfId="7"/>
    <xf numFmtId="167" fontId="37" fillId="0" borderId="1" applyAlignment="1" applyProtection="1" pivotButton="0" quotePrefix="0" xfId="1">
      <alignment horizontal="left" vertical="center"/>
      <protection locked="0" hidden="0"/>
    </xf>
    <xf numFmtId="165" fontId="37" fillId="0" borderId="1" applyAlignment="1" applyProtection="1" pivotButton="0" quotePrefix="0" xfId="1">
      <alignment horizontal="left" vertical="center"/>
      <protection locked="0" hidden="0"/>
    </xf>
    <xf numFmtId="165" fontId="0" fillId="2" borderId="19" pivotButton="0" quotePrefix="0" xfId="1"/>
    <xf numFmtId="168" fontId="0" fillId="0" borderId="36" pivotButton="0" quotePrefix="0" xfId="7"/>
    <xf numFmtId="9" fontId="1" fillId="0" borderId="15" pivotButton="0" quotePrefix="0" xfId="7"/>
    <xf numFmtId="168" fontId="1" fillId="0" borderId="15" pivotButton="0" quotePrefix="0" xfId="7"/>
    <xf numFmtId="168" fontId="1" fillId="0" borderId="34" pivotButton="0" quotePrefix="0" xfId="7"/>
    <xf numFmtId="168" fontId="1" fillId="0" borderId="19" pivotButton="0" quotePrefix="0" xfId="7"/>
    <xf numFmtId="164" fontId="35" fillId="17" borderId="1" applyAlignment="1" pivotButton="0" quotePrefix="0" xfId="1">
      <alignment horizontal="left" vertical="center"/>
    </xf>
    <xf numFmtId="165" fontId="0" fillId="0" borderId="36" pivotButton="0" quotePrefix="0" xfId="1"/>
    <xf numFmtId="167" fontId="0" fillId="2" borderId="32" pivotButton="0" quotePrefix="0" xfId="1"/>
    <xf numFmtId="165" fontId="2" fillId="0" borderId="20" pivotButton="0" quotePrefix="0" xfId="1"/>
    <xf numFmtId="165" fontId="0" fillId="2" borderId="21" pivotButton="0" quotePrefix="0" xfId="1"/>
    <xf numFmtId="165" fontId="0" fillId="2" borderId="22" pivotButton="0" quotePrefix="0" xfId="1"/>
    <xf numFmtId="0" fontId="37" fillId="0" borderId="1" applyAlignment="1" applyProtection="1" pivotButton="0" quotePrefix="0" xfId="0">
      <alignment horizontal="left" vertical="center"/>
      <protection locked="0" hidden="0"/>
    </xf>
    <xf numFmtId="168" fontId="16" fillId="0" borderId="0" pivotButton="0" quotePrefix="0" xfId="7"/>
    <xf numFmtId="168" fontId="16" fillId="0" borderId="1" pivotButton="0" quotePrefix="0" xfId="7"/>
    <xf numFmtId="9" fontId="2" fillId="2" borderId="1" pivotButton="0" quotePrefix="0" xfId="7"/>
    <xf numFmtId="43" fontId="0" fillId="0" borderId="1" applyAlignment="1" pivotButton="0" quotePrefix="0" xfId="7">
      <alignment horizontal="left"/>
    </xf>
    <xf numFmtId="168" fontId="0" fillId="0" borderId="44" pivotButton="0" quotePrefix="0" xfId="7"/>
    <xf numFmtId="168" fontId="2" fillId="0" borderId="45" pivotButton="0" quotePrefix="0" xfId="7"/>
    <xf numFmtId="43" fontId="16" fillId="0" borderId="1" applyAlignment="1" pivotButton="0" quotePrefix="0" xfId="7">
      <alignment horizontal="left"/>
    </xf>
    <xf numFmtId="169" fontId="0" fillId="2" borderId="7" pivotButton="0" quotePrefix="0" xfId="7"/>
    <xf numFmtId="169" fontId="0" fillId="2" borderId="46" pivotButton="0" quotePrefix="0" xfId="7"/>
    <xf numFmtId="168" fontId="16" fillId="0" borderId="14" pivotButton="0" quotePrefix="0" xfId="7"/>
    <xf numFmtId="168" fontId="16" fillId="0" borderId="15" applyAlignment="1" pivotButton="0" quotePrefix="0" xfId="7">
      <alignment horizontal="left"/>
    </xf>
    <xf numFmtId="168" fontId="32" fillId="0" borderId="0" applyAlignment="1" pivotButton="0" quotePrefix="0" xfId="7">
      <alignment vertical="center" wrapText="1"/>
    </xf>
    <xf numFmtId="168" fontId="16" fillId="0" borderId="17" pivotButton="0" quotePrefix="0" xfId="7"/>
    <xf numFmtId="168" fontId="16" fillId="0" borderId="19" applyAlignment="1" pivotButton="0" quotePrefix="0" xfId="7">
      <alignment horizontal="left"/>
    </xf>
    <xf numFmtId="168" fontId="2" fillId="14" borderId="1" pivotButton="0" quotePrefix="0" xfId="7"/>
    <xf numFmtId="169" fontId="2" fillId="14" borderId="1" pivotButton="0" quotePrefix="0" xfId="7"/>
    <xf numFmtId="9" fontId="0" fillId="0" borderId="0" pivotButton="0" quotePrefix="0" xfId="7"/>
    <xf numFmtId="168" fontId="2" fillId="0" borderId="0" pivotButton="0" quotePrefix="0" xfId="7"/>
    <xf numFmtId="0" fontId="6" fillId="2" borderId="1" applyAlignment="1" pivotButton="0" quotePrefix="0" xfId="0">
      <alignment vertical="center"/>
    </xf>
    <xf numFmtId="164" fontId="4" fillId="2" borderId="1" applyAlignment="1" applyProtection="1" pivotButton="0" quotePrefix="0" xfId="1">
      <alignment vertical="center"/>
      <protection locked="1" hidden="1"/>
    </xf>
    <xf numFmtId="165" fontId="31" fillId="0" borderId="1" pivotButton="0" quotePrefix="0" xfId="1"/>
    <xf numFmtId="0" fontId="24" fillId="0" borderId="1" applyAlignment="1" pivotButton="0" quotePrefix="0" xfId="0">
      <alignment vertical="center"/>
    </xf>
    <xf numFmtId="9" fontId="24" fillId="0" borderId="1" applyAlignment="1" pivotButton="0" quotePrefix="0" xfId="0">
      <alignment vertical="center"/>
    </xf>
    <xf numFmtId="9" fontId="4" fillId="0" borderId="1" applyAlignment="1" pivotButton="0" quotePrefix="0" xfId="0">
      <alignment vertical="center"/>
    </xf>
    <xf numFmtId="166" fontId="11" fillId="0" borderId="0" pivotButton="0" quotePrefix="0" xfId="0"/>
    <xf numFmtId="165" fontId="19" fillId="0" borderId="0" applyAlignment="1" pivotButton="0" quotePrefix="0" xfId="1">
      <alignment horizontal="right" vertical="center"/>
    </xf>
    <xf numFmtId="9" fontId="2" fillId="0" borderId="1" pivotButton="0" quotePrefix="0" xfId="1"/>
    <xf numFmtId="165" fontId="19" fillId="0" borderId="0" applyAlignment="1" pivotButton="0" quotePrefix="0" xfId="1">
      <alignment horizontal="right" vertical="center" indent="1"/>
    </xf>
    <xf numFmtId="168" fontId="0" fillId="0" borderId="22" applyAlignment="1" pivotButton="0" quotePrefix="0" xfId="7">
      <alignment wrapText="1"/>
    </xf>
    <xf numFmtId="167" fontId="11" fillId="0" borderId="1" applyAlignment="1" pivotButton="0" quotePrefix="0" xfId="1">
      <alignment vertical="center"/>
    </xf>
    <xf numFmtId="9" fontId="11" fillId="0" borderId="1" applyAlignment="1" pivotButton="0" quotePrefix="0" xfId="1">
      <alignment vertical="center"/>
    </xf>
    <xf numFmtId="169" fontId="0" fillId="0" borderId="14" pivotButton="0" quotePrefix="0" xfId="7"/>
    <xf numFmtId="169" fontId="0" fillId="0" borderId="18" pivotButton="0" quotePrefix="0" xfId="7"/>
    <xf numFmtId="168" fontId="0" fillId="0" borderId="38" pivotButton="0" quotePrefix="0" xfId="7"/>
    <xf numFmtId="168" fontId="0" fillId="0" borderId="35" pivotButton="0" quotePrefix="0" xfId="7"/>
    <xf numFmtId="165" fontId="11" fillId="0" borderId="1" applyAlignment="1" pivotButton="0" quotePrefix="0" xfId="1">
      <alignment vertical="center"/>
    </xf>
    <xf numFmtId="0" fontId="6" fillId="0" borderId="1" applyAlignment="1" applyProtection="1" pivotButton="0" quotePrefix="0" xfId="0">
      <alignment horizontal="center" vertical="center"/>
      <protection locked="0" hidden="0"/>
    </xf>
    <xf numFmtId="0" fontId="0" fillId="0" borderId="0" pivotButton="0" quotePrefix="0" xfId="8"/>
    <xf numFmtId="0" fontId="0" fillId="0" borderId="0" applyAlignment="1" pivotButton="0" quotePrefix="0" xfId="8">
      <alignment horizontal="center"/>
    </xf>
    <xf numFmtId="0" fontId="0" fillId="0" borderId="1" pivotButton="0" quotePrefix="0" xfId="8"/>
    <xf numFmtId="1" fontId="41" fillId="2" borderId="1" applyAlignment="1" pivotButton="0" quotePrefix="0" xfId="8">
      <alignment horizontal="right"/>
    </xf>
    <xf numFmtId="166" fontId="41" fillId="2" borderId="1" applyAlignment="1" pivotButton="0" quotePrefix="0" xfId="8">
      <alignment horizontal="right"/>
    </xf>
    <xf numFmtId="2" fontId="41" fillId="2" borderId="1" applyAlignment="1" pivotButton="0" quotePrefix="0" xfId="8">
      <alignment horizontal="right"/>
    </xf>
    <xf numFmtId="164" fontId="41" fillId="0" borderId="1" applyAlignment="1" pivotButton="0" quotePrefix="0" xfId="1">
      <alignment horizontal="right"/>
    </xf>
    <xf numFmtId="9" fontId="41" fillId="0" borderId="1" applyAlignment="1" pivotButton="0" quotePrefix="0" xfId="9">
      <alignment horizontal="right"/>
    </xf>
    <xf numFmtId="9" fontId="41" fillId="2" borderId="1" applyAlignment="1" pivotButton="0" quotePrefix="0" xfId="8">
      <alignment horizontal="right"/>
    </xf>
    <xf numFmtId="2" fontId="16" fillId="4" borderId="0" applyAlignment="1" pivotButton="0" quotePrefix="0" xfId="8">
      <alignment horizontal="right"/>
    </xf>
    <xf numFmtId="166" fontId="42" fillId="3" borderId="1" applyAlignment="1" pivotButton="0" quotePrefix="0" xfId="8">
      <alignment horizontal="right"/>
    </xf>
    <xf numFmtId="1" fontId="42" fillId="3" borderId="1" applyAlignment="1" pivotButton="0" quotePrefix="0" xfId="8">
      <alignment horizontal="right"/>
    </xf>
    <xf numFmtId="2" fontId="41" fillId="4" borderId="1" applyAlignment="1" pivotButton="0" quotePrefix="0" xfId="8">
      <alignment horizontal="right"/>
    </xf>
    <xf numFmtId="9" fontId="0" fillId="0" borderId="0" pivotButton="0" quotePrefix="0" xfId="9"/>
    <xf numFmtId="0" fontId="14" fillId="0" borderId="1" pivotButton="0" quotePrefix="0" xfId="8"/>
    <xf numFmtId="2" fontId="16" fillId="4" borderId="1" applyAlignment="1" pivotButton="0" quotePrefix="0" xfId="8">
      <alignment horizontal="center"/>
    </xf>
    <xf numFmtId="169" fontId="0" fillId="0" borderId="0" pivotButton="0" quotePrefix="0" xfId="10"/>
    <xf numFmtId="2" fontId="7" fillId="4" borderId="1" applyAlignment="1" pivotButton="0" quotePrefix="0" xfId="8">
      <alignment horizontal="center"/>
    </xf>
    <xf numFmtId="0" fontId="16" fillId="0" borderId="0" pivotButton="0" quotePrefix="0" xfId="11"/>
    <xf numFmtId="0" fontId="0" fillId="0" borderId="40" pivotButton="0" quotePrefix="0" xfId="8"/>
    <xf numFmtId="2" fontId="16" fillId="4" borderId="9" applyAlignment="1" pivotButton="0" quotePrefix="0" xfId="8">
      <alignment horizontal="right"/>
    </xf>
    <xf numFmtId="0" fontId="0" fillId="0" borderId="39" pivotButton="0" quotePrefix="0" xfId="8"/>
    <xf numFmtId="2" fontId="0" fillId="0" borderId="41" applyAlignment="1" pivotButton="0" quotePrefix="0" xfId="8">
      <alignment horizontal="right"/>
    </xf>
    <xf numFmtId="2" fontId="14" fillId="0" borderId="0" pivotButton="0" quotePrefix="0" xfId="8"/>
    <xf numFmtId="0" fontId="0" fillId="0" borderId="42" pivotButton="0" quotePrefix="0" xfId="8"/>
    <xf numFmtId="2" fontId="16" fillId="4" borderId="43" pivotButton="0" quotePrefix="0" xfId="8"/>
    <xf numFmtId="2" fontId="14" fillId="0" borderId="43" pivotButton="0" quotePrefix="0" xfId="8"/>
    <xf numFmtId="0" fontId="14" fillId="0" borderId="0" pivotButton="0" quotePrefix="0" xfId="8"/>
    <xf numFmtId="0" fontId="16" fillId="2" borderId="1" applyAlignment="1" pivotButton="0" quotePrefix="0" xfId="8">
      <alignment horizontal="center"/>
    </xf>
    <xf numFmtId="2" fontId="14" fillId="21" borderId="1" applyAlignment="1" pivotButton="0" quotePrefix="0" xfId="8">
      <alignment horizontal="right"/>
    </xf>
    <xf numFmtId="2" fontId="0" fillId="0" borderId="1" applyAlignment="1" pivotButton="0" quotePrefix="0" xfId="8">
      <alignment horizontal="right"/>
    </xf>
    <xf numFmtId="2" fontId="14" fillId="21" borderId="1" pivotButton="0" quotePrefix="0" xfId="8"/>
    <xf numFmtId="2" fontId="0" fillId="0" borderId="1" pivotButton="0" quotePrefix="0" xfId="8"/>
    <xf numFmtId="2" fontId="16" fillId="4" borderId="1" pivotButton="0" quotePrefix="0" xfId="8"/>
    <xf numFmtId="1" fontId="14" fillId="0" borderId="1" pivotButton="0" quotePrefix="0" xfId="8"/>
    <xf numFmtId="2" fontId="0" fillId="22" borderId="1" pivotButton="0" quotePrefix="0" xfId="8"/>
    <xf numFmtId="0" fontId="40" fillId="0" borderId="0" pivotButton="0" quotePrefix="0" xfId="8"/>
    <xf numFmtId="2" fontId="0" fillId="0" borderId="0" pivotButton="0" quotePrefix="0" xfId="8"/>
    <xf numFmtId="165" fontId="2" fillId="2" borderId="0" pivotButton="0" quotePrefix="0" xfId="1"/>
    <xf numFmtId="0" fontId="1" fillId="23" borderId="1" applyAlignment="1" pivotButton="0" quotePrefix="0" xfId="5">
      <alignment horizontal="center" vertical="center"/>
    </xf>
    <xf numFmtId="0" fontId="1" fillId="24" borderId="0" applyAlignment="1" pivotButton="0" quotePrefix="0" xfId="5">
      <alignment vertical="center"/>
    </xf>
    <xf numFmtId="172" fontId="1" fillId="0" borderId="0" applyAlignment="1" pivotButton="0" quotePrefix="0" xfId="5">
      <alignment vertical="center"/>
    </xf>
    <xf numFmtId="0" fontId="10" fillId="0" borderId="0" applyAlignment="1" pivotButton="0" quotePrefix="0" xfId="0">
      <alignment vertical="center"/>
    </xf>
    <xf numFmtId="165" fontId="1" fillId="0" borderId="0" applyAlignment="1" pivotButton="0" quotePrefix="0" xfId="5">
      <alignment vertical="center"/>
    </xf>
    <xf numFmtId="168" fontId="0" fillId="0" borderId="37" pivotButton="0" quotePrefix="0" xfId="7"/>
    <xf numFmtId="168" fontId="0" fillId="2" borderId="34" pivotButton="0" quotePrefix="0" xfId="7"/>
    <xf numFmtId="165" fontId="2" fillId="25" borderId="17" pivotButton="0" quotePrefix="0" xfId="1"/>
    <xf numFmtId="165" fontId="2" fillId="25" borderId="19" pivotButton="0" quotePrefix="0" xfId="1"/>
    <xf numFmtId="165" fontId="2" fillId="14" borderId="1" applyAlignment="1" pivotButton="0" quotePrefix="0" xfId="1">
      <alignment wrapText="1"/>
    </xf>
    <xf numFmtId="0" fontId="14" fillId="2" borderId="1" applyAlignment="1" applyProtection="1" pivotButton="0" quotePrefix="0" xfId="0">
      <alignment vertical="center"/>
      <protection locked="0" hidden="1"/>
    </xf>
    <xf numFmtId="0" fontId="25" fillId="2" borderId="1" applyAlignment="1" applyProtection="1" pivotButton="0" quotePrefix="0" xfId="0">
      <alignment vertical="center"/>
      <protection locked="0" hidden="1"/>
    </xf>
    <xf numFmtId="4" fontId="13" fillId="0" borderId="1" applyAlignment="1" pivotButton="0" quotePrefix="0" xfId="0">
      <alignment horizontal="center" vertical="center"/>
    </xf>
    <xf numFmtId="0" fontId="10" fillId="2" borderId="1" applyAlignment="1" pivotButton="0" quotePrefix="0" xfId="0">
      <alignment vertical="center" wrapText="1"/>
    </xf>
    <xf numFmtId="3" fontId="10" fillId="2" borderId="1" applyAlignment="1" pivotButton="0" quotePrefix="0" xfId="0">
      <alignment vertical="center"/>
    </xf>
    <xf numFmtId="168" fontId="1" fillId="4" borderId="0" pivotButton="0" quotePrefix="0" xfId="7"/>
    <xf numFmtId="167" fontId="37" fillId="0" borderId="0" applyAlignment="1" applyProtection="1" pivotButton="0" quotePrefix="0" xfId="1">
      <alignment horizontal="left" vertical="center"/>
      <protection locked="0" hidden="0"/>
    </xf>
    <xf numFmtId="167" fontId="0" fillId="0" borderId="34" pivotButton="0" quotePrefix="0" xfId="1"/>
    <xf numFmtId="165" fontId="0" fillId="0" borderId="37" pivotButton="0" quotePrefix="0" xfId="1"/>
    <xf numFmtId="9" fontId="0" fillId="2" borderId="15" pivotButton="0" quotePrefix="0" xfId="1"/>
    <xf numFmtId="168" fontId="2" fillId="0" borderId="47" pivotButton="0" quotePrefix="0" xfId="7"/>
    <xf numFmtId="168" fontId="0" fillId="2" borderId="48" pivotButton="0" quotePrefix="0" xfId="7"/>
    <xf numFmtId="165" fontId="43" fillId="0" borderId="0" pivotButton="0" quotePrefix="0" xfId="1"/>
    <xf numFmtId="9" fontId="1" fillId="0" borderId="0" pivotButton="0" quotePrefix="0" xfId="7"/>
    <xf numFmtId="168" fontId="1" fillId="0" borderId="0" pivotButton="0" quotePrefix="0" xfId="7"/>
    <xf numFmtId="165" fontId="37" fillId="0" borderId="0" applyAlignment="1" applyProtection="1" pivotButton="0" quotePrefix="0" xfId="1">
      <alignment horizontal="left" vertical="center"/>
      <protection locked="0" hidden="0"/>
    </xf>
    <xf numFmtId="173" fontId="13" fillId="0" borderId="1" applyAlignment="1" pivotButton="0" quotePrefix="0" xfId="0">
      <alignment horizontal="center" vertical="center"/>
    </xf>
    <xf numFmtId="165" fontId="37" fillId="0" borderId="1" applyAlignment="1" applyProtection="1" pivotButton="0" quotePrefix="0" xfId="1">
      <alignment horizontal="left" vertical="center" wrapText="1"/>
      <protection locked="0" hidden="0"/>
    </xf>
    <xf numFmtId="169" fontId="1" fillId="4" borderId="15" pivotButton="0" quotePrefix="0" xfId="7"/>
    <xf numFmtId="0" fontId="6" fillId="0" borderId="0" applyAlignment="1" pivotButton="0" quotePrefix="0" xfId="0">
      <alignment vertical="center" wrapText="1"/>
    </xf>
    <xf numFmtId="43" fontId="0" fillId="2" borderId="15" pivotButton="0" quotePrefix="0" xfId="7"/>
    <xf numFmtId="43" fontId="0" fillId="2" borderId="34" pivotButton="0" quotePrefix="0" xfId="7"/>
    <xf numFmtId="164" fontId="0" fillId="0" borderId="15" pivotButton="0" quotePrefix="0" xfId="1"/>
    <xf numFmtId="174" fontId="0" fillId="0" borderId="0" pivotButton="0" quotePrefix="0" xfId="1"/>
    <xf numFmtId="172" fontId="0" fillId="0" borderId="0" applyProtection="1" pivotButton="0" quotePrefix="0" xfId="0">
      <protection locked="1" hidden="1"/>
    </xf>
    <xf numFmtId="2" fontId="4" fillId="0" borderId="0" applyAlignment="1" pivotButton="0" quotePrefix="0" xfId="0">
      <alignment vertical="center"/>
    </xf>
    <xf numFmtId="164" fontId="4" fillId="0" borderId="0" applyAlignment="1" pivotButton="0" quotePrefix="0" xfId="0">
      <alignment vertical="center"/>
    </xf>
    <xf numFmtId="0" fontId="16" fillId="4" borderId="1" applyAlignment="1" pivotButton="0" quotePrefix="0" xfId="0">
      <alignment vertical="center"/>
    </xf>
    <xf numFmtId="165" fontId="2" fillId="0" borderId="45" pivotButton="0" quotePrefix="0" xfId="1"/>
    <xf numFmtId="165" fontId="0" fillId="0" borderId="7" pivotButton="0" quotePrefix="0" xfId="1"/>
    <xf numFmtId="165" fontId="0" fillId="0" borderId="46" pivotButton="0" quotePrefix="0" xfId="1"/>
    <xf numFmtId="0" fontId="13" fillId="0" borderId="17" applyAlignment="1" pivotButton="0" quotePrefix="0" xfId="0">
      <alignment vertical="center" wrapText="1"/>
    </xf>
    <xf numFmtId="165" fontId="11" fillId="0" borderId="19" applyAlignment="1" pivotButton="0" quotePrefix="0" xfId="1">
      <alignment vertical="center"/>
    </xf>
    <xf numFmtId="167" fontId="11" fillId="2" borderId="1" applyAlignment="1" pivotButton="0" quotePrefix="0" xfId="1">
      <alignment vertical="center"/>
    </xf>
    <xf numFmtId="164" fontId="11" fillId="2" borderId="1" applyAlignment="1" pivotButton="0" quotePrefix="0" xfId="1">
      <alignment vertical="center"/>
    </xf>
    <xf numFmtId="0" fontId="16" fillId="2" borderId="1" applyAlignment="1" pivotButton="0" quotePrefix="0" xfId="0">
      <alignment vertical="center"/>
    </xf>
    <xf numFmtId="0" fontId="7" fillId="2" borderId="1" applyAlignment="1" pivotButton="0" quotePrefix="0" xfId="0">
      <alignment vertical="center"/>
    </xf>
    <xf numFmtId="164" fontId="4" fillId="2" borderId="1" applyAlignment="1" pivotButton="0" quotePrefix="0" xfId="1">
      <alignment vertical="center"/>
    </xf>
    <xf numFmtId="164" fontId="4" fillId="2" borderId="1" applyAlignment="1" applyProtection="1" pivotButton="0" quotePrefix="0" xfId="1">
      <alignment vertical="center"/>
      <protection locked="0" hidden="0"/>
    </xf>
    <xf numFmtId="164" fontId="4" fillId="2" borderId="2" applyAlignment="1" pivotButton="0" quotePrefix="0" xfId="1">
      <alignment vertical="center"/>
    </xf>
    <xf numFmtId="164" fontId="4" fillId="2" borderId="3" applyAlignment="1" pivotButton="0" quotePrefix="0" xfId="1">
      <alignment vertical="center"/>
    </xf>
    <xf numFmtId="164" fontId="4" fillId="2" borderId="4" applyAlignment="1" pivotButton="0" quotePrefix="0" xfId="1">
      <alignment vertical="center"/>
    </xf>
    <xf numFmtId="0" fontId="25" fillId="4" borderId="1" applyAlignment="1" applyProtection="1" pivotButton="0" quotePrefix="0" xfId="0">
      <alignment vertical="center" wrapText="1"/>
      <protection locked="0" hidden="1"/>
    </xf>
    <xf numFmtId="0" fontId="16" fillId="2" borderId="1" applyAlignment="1" applyProtection="1" pivotButton="0" quotePrefix="0" xfId="0">
      <alignment vertical="center" wrapText="1"/>
      <protection locked="1" hidden="1"/>
    </xf>
    <xf numFmtId="0" fontId="0" fillId="0" borderId="10" applyAlignment="1" pivotButton="0" quotePrefix="0" xfId="0">
      <alignment horizontal="center"/>
    </xf>
    <xf numFmtId="0" fontId="0" fillId="0" borderId="50" pivotButton="0" quotePrefix="0" xfId="0"/>
    <xf numFmtId="0" fontId="0" fillId="0" borderId="51" pivotButton="0" quotePrefix="0" xfId="0"/>
    <xf numFmtId="0" fontId="22" fillId="0" borderId="10" applyAlignment="1" pivotButton="0" quotePrefix="0" xfId="0">
      <alignment horizontal="center" vertical="center"/>
    </xf>
    <xf numFmtId="0" fontId="0" fillId="0" borderId="52" pivotButton="0" quotePrefix="0" xfId="0"/>
    <xf numFmtId="0" fontId="0" fillId="0" borderId="53" pivotButton="0" quotePrefix="0" xfId="0"/>
    <xf numFmtId="0" fontId="0" fillId="0" borderId="49" pivotButton="0" quotePrefix="0" xfId="0"/>
    <xf numFmtId="0" fontId="0" fillId="0" borderId="0" pivotButton="0" quotePrefix="0" xfId="0"/>
    <xf numFmtId="0" fontId="0" fillId="0" borderId="54" pivotButton="0" quotePrefix="0" xfId="0"/>
    <xf numFmtId="0" fontId="0" fillId="0" borderId="55" pivotButton="0" quotePrefix="0" xfId="0"/>
    <xf numFmtId="0" fontId="0" fillId="0" borderId="56" pivotButton="0" quotePrefix="0" xfId="0"/>
    <xf numFmtId="0" fontId="0" fillId="0" borderId="57" pivotButton="0" quotePrefix="0" xfId="0"/>
    <xf numFmtId="0" fontId="6" fillId="4" borderId="1" applyAlignment="1" applyProtection="1" pivotButton="0" quotePrefix="0" xfId="0">
      <alignment horizontal="center" vertical="center"/>
      <protection locked="1" hidden="1"/>
    </xf>
    <xf numFmtId="0" fontId="0" fillId="0" borderId="5" applyProtection="1" pivotButton="0" quotePrefix="0" xfId="0">
      <protection locked="1" hidden="1"/>
    </xf>
    <xf numFmtId="0" fontId="0" fillId="0" borderId="7" applyProtection="1" pivotButton="0" quotePrefix="0" xfId="0">
      <protection locked="1" hidden="1"/>
    </xf>
    <xf numFmtId="0" fontId="3" fillId="4" borderId="1" applyAlignment="1" applyProtection="1" pivotButton="0" quotePrefix="0" xfId="0">
      <alignment horizontal="center" vertical="center"/>
      <protection locked="0" hidden="1"/>
    </xf>
    <xf numFmtId="0" fontId="0" fillId="0" borderId="5" applyProtection="1" pivotButton="0" quotePrefix="0" xfId="0">
      <protection locked="0" hidden="1"/>
    </xf>
    <xf numFmtId="0" fontId="0" fillId="0" borderId="7" applyProtection="1" pivotButton="0" quotePrefix="0" xfId="0">
      <protection locked="0" hidden="1"/>
    </xf>
    <xf numFmtId="0" fontId="5" fillId="4" borderId="1" applyAlignment="1" applyProtection="1" pivotButton="0" quotePrefix="0" xfId="0">
      <alignment horizontal="center" vertical="center" wrapText="1"/>
      <protection locked="1" hidden="1"/>
    </xf>
    <xf numFmtId="0" fontId="0" fillId="0" borderId="41" applyProtection="1" pivotButton="0" quotePrefix="0" xfId="0">
      <protection locked="1" hidden="1"/>
    </xf>
    <xf numFmtId="0" fontId="0" fillId="0" borderId="43" applyProtection="1" pivotButton="0" quotePrefix="0" xfId="0">
      <protection locked="1" hidden="1"/>
    </xf>
    <xf numFmtId="0" fontId="27" fillId="4" borderId="1" applyAlignment="1" applyProtection="1" pivotButton="0" quotePrefix="0" xfId="0">
      <alignment horizontal="center" vertical="center"/>
      <protection locked="1" hidden="1"/>
    </xf>
    <xf numFmtId="0" fontId="14" fillId="4" borderId="1" applyAlignment="1" applyProtection="1" pivotButton="0" quotePrefix="0" xfId="0">
      <alignment horizontal="center" vertical="center" wrapText="1"/>
      <protection locked="1" hidden="1"/>
    </xf>
    <xf numFmtId="0" fontId="15" fillId="4" borderId="1" applyAlignment="1" applyProtection="1" pivotButton="0" quotePrefix="0" xfId="0">
      <alignment horizontal="center" vertical="center"/>
      <protection locked="0" hidden="1"/>
    </xf>
    <xf numFmtId="0" fontId="6" fillId="0" borderId="1" applyAlignment="1" pivotButton="0" quotePrefix="0" xfId="0">
      <alignment horizontal="center" vertical="center"/>
    </xf>
    <xf numFmtId="0" fontId="0" fillId="0" borderId="7" pivotButton="0" quotePrefix="0" xfId="0"/>
    <xf numFmtId="0" fontId="6" fillId="0" borderId="1" applyAlignment="1" applyProtection="1" pivotButton="0" quotePrefix="0" xfId="0">
      <alignment horizontal="center" vertical="center"/>
      <protection locked="1" hidden="1"/>
    </xf>
    <xf numFmtId="0" fontId="5" fillId="0" borderId="3" applyAlignment="1" applyProtection="1" pivotButton="0" quotePrefix="0" xfId="0">
      <alignment horizontal="center" vertical="center" wrapText="1"/>
      <protection locked="1" hidden="1"/>
    </xf>
    <xf numFmtId="0" fontId="0" fillId="0" borderId="58" applyProtection="1" pivotButton="0" quotePrefix="0" xfId="0">
      <protection locked="1" hidden="1"/>
    </xf>
    <xf numFmtId="0" fontId="0" fillId="0" borderId="59" applyProtection="1" pivotButton="0" quotePrefix="0" xfId="0">
      <protection locked="1" hidden="1"/>
    </xf>
    <xf numFmtId="168" fontId="3" fillId="0" borderId="3" applyAlignment="1" applyProtection="1" pivotButton="0" quotePrefix="0" xfId="0">
      <alignment horizontal="center" vertical="center"/>
      <protection locked="0" hidden="1"/>
    </xf>
    <xf numFmtId="168" fontId="3" fillId="0" borderId="1" applyAlignment="1" applyProtection="1" pivotButton="0" quotePrefix="0" xfId="0">
      <alignment horizontal="center" vertical="center"/>
      <protection locked="0" hidden="1"/>
    </xf>
    <xf numFmtId="0" fontId="5" fillId="0" borderId="1" applyAlignment="1" applyProtection="1" pivotButton="0" quotePrefix="0" xfId="0">
      <alignment horizontal="center" vertical="center" wrapText="1"/>
      <protection locked="1" hidden="1"/>
    </xf>
    <xf numFmtId="166" fontId="1" fillId="0" borderId="1" applyAlignment="1" pivotButton="0" quotePrefix="0" xfId="5">
      <alignment horizontal="center" vertical="center"/>
    </xf>
    <xf numFmtId="0" fontId="1" fillId="0" borderId="1" applyAlignment="1" pivotButton="0" quotePrefix="0" xfId="5">
      <alignment horizontal="center" vertical="center"/>
    </xf>
    <xf numFmtId="0" fontId="1" fillId="0" borderId="1" applyAlignment="1" pivotButton="0" quotePrefix="0" xfId="5">
      <alignment horizontal="left" vertical="center"/>
    </xf>
    <xf numFmtId="175" fontId="1" fillId="0" borderId="5" applyAlignment="1" pivotButton="0" quotePrefix="0" xfId="5">
      <alignment horizontal="center" vertical="center"/>
    </xf>
    <xf numFmtId="0" fontId="0" fillId="0" borderId="5" pivotButton="0" quotePrefix="0" xfId="0"/>
    <xf numFmtId="0" fontId="1" fillId="0" borderId="8" applyAlignment="1" pivotButton="0" quotePrefix="0" xfId="5">
      <alignment horizontal="center" vertical="center"/>
    </xf>
    <xf numFmtId="0" fontId="0" fillId="0" borderId="8" pivotButton="0" quotePrefix="0" xfId="0"/>
    <xf numFmtId="166" fontId="16" fillId="0" borderId="1" applyAlignment="1" pivotButton="0" quotePrefix="0" xfId="5">
      <alignment horizontal="center" vertical="center"/>
    </xf>
    <xf numFmtId="0" fontId="16" fillId="0" borderId="1" applyAlignment="1" pivotButton="0" quotePrefix="0" xfId="5">
      <alignment horizontal="center" vertical="center"/>
    </xf>
    <xf numFmtId="0" fontId="3" fillId="0" borderId="3" applyAlignment="1" applyProtection="1" pivotButton="0" quotePrefix="0" xfId="0">
      <alignment horizontal="center" vertical="center"/>
      <protection locked="0" hidden="0"/>
    </xf>
    <xf numFmtId="0" fontId="0" fillId="0" borderId="5" applyProtection="1" pivotButton="0" quotePrefix="0" xfId="0">
      <protection locked="0" hidden="0"/>
    </xf>
    <xf numFmtId="0" fontId="0" fillId="0" borderId="7" applyProtection="1" pivotButton="0" quotePrefix="0" xfId="0">
      <protection locked="0" hidden="0"/>
    </xf>
    <xf numFmtId="0" fontId="5" fillId="0" borderId="3" applyAlignment="1" pivotButton="0" quotePrefix="0" xfId="0">
      <alignment horizontal="center" vertical="center" wrapText="1"/>
    </xf>
    <xf numFmtId="0" fontId="0" fillId="0" borderId="58" pivotButton="0" quotePrefix="0" xfId="0"/>
    <xf numFmtId="0" fontId="0" fillId="0" borderId="59" pivotButton="0" quotePrefix="0" xfId="0"/>
    <xf numFmtId="1" fontId="41" fillId="19" borderId="1" applyAlignment="1" pivotButton="0" quotePrefix="0" xfId="8">
      <alignment horizontal="center"/>
    </xf>
    <xf numFmtId="0" fontId="0" fillId="0" borderId="1" applyAlignment="1" pivotButton="0" quotePrefix="0" xfId="8">
      <alignment horizontal="left"/>
    </xf>
    <xf numFmtId="0" fontId="14" fillId="20" borderId="1" applyAlignment="1" pivotButton="0" quotePrefix="0" xfId="8">
      <alignment horizontal="center"/>
    </xf>
    <xf numFmtId="0" fontId="4" fillId="0" borderId="1" applyAlignment="1" pivotButton="0" quotePrefix="0" xfId="0">
      <alignment horizontal="center" vertical="center"/>
    </xf>
    <xf numFmtId="9" fontId="4" fillId="0" borderId="1" applyAlignment="1" pivotButton="0" quotePrefix="0" xfId="0">
      <alignment horizontal="center" vertical="center"/>
    </xf>
    <xf numFmtId="0" fontId="14" fillId="18" borderId="1" applyAlignment="1" pivotButton="0" quotePrefix="0" xfId="8">
      <alignment horizontal="center"/>
    </xf>
    <xf numFmtId="168" fontId="34" fillId="13" borderId="20" applyAlignment="1" pivotButton="0" quotePrefix="0" xfId="7">
      <alignment horizontal="center"/>
    </xf>
    <xf numFmtId="0" fontId="0" fillId="0" borderId="25" pivotButton="0" quotePrefix="0" xfId="0"/>
    <xf numFmtId="168" fontId="32" fillId="0" borderId="38" applyAlignment="1" pivotButton="0" quotePrefix="0" xfId="7">
      <alignment horizontal="center" vertical="center" wrapText="1"/>
    </xf>
    <xf numFmtId="0" fontId="0" fillId="0" borderId="16" pivotButton="0" quotePrefix="0" xfId="0"/>
    <xf numFmtId="0" fontId="0" fillId="0" borderId="23" pivotButton="0" quotePrefix="0" xfId="0"/>
    <xf numFmtId="165" fontId="37" fillId="0" borderId="1" applyAlignment="1" applyProtection="1" pivotButton="0" quotePrefix="0" xfId="1">
      <alignment horizontal="left" vertical="center"/>
      <protection locked="0" hidden="0"/>
    </xf>
    <xf numFmtId="1" fontId="2" fillId="2" borderId="18" applyAlignment="1" pivotButton="0" quotePrefix="0" xfId="1">
      <alignment horizontal="center"/>
    </xf>
    <xf numFmtId="0" fontId="0" fillId="0" borderId="46" pivotButton="0" quotePrefix="0" xfId="0"/>
    <xf numFmtId="165" fontId="19" fillId="0" borderId="11" applyAlignment="1" pivotButton="0" quotePrefix="0" xfId="1">
      <alignment horizontal="center"/>
    </xf>
    <xf numFmtId="0" fontId="0" fillId="0" borderId="45" pivotButton="0" quotePrefix="0" xfId="0"/>
    <xf numFmtId="1" fontId="2" fillId="2" borderId="12" applyAlignment="1" pivotButton="0" quotePrefix="0" xfId="1">
      <alignment horizontal="center"/>
    </xf>
    <xf numFmtId="168" fontId="2" fillId="15" borderId="38" applyAlignment="1" pivotButton="0" quotePrefix="0" xfId="7">
      <alignment horizontal="center" vertical="center" wrapText="1"/>
    </xf>
    <xf numFmtId="0" fontId="0" fillId="0" borderId="31" pivotButton="0" quotePrefix="0" xfId="0"/>
    <xf numFmtId="0" fontId="0" fillId="0" borderId="32" pivotButton="0" quotePrefix="0" xfId="0"/>
    <xf numFmtId="0" fontId="6" fillId="0" borderId="1" applyAlignment="1" applyProtection="1" pivotButton="0" quotePrefix="0" xfId="0">
      <alignment horizontal="center" vertical="center"/>
      <protection locked="0" hidden="0"/>
    </xf>
    <xf numFmtId="0" fontId="2" fillId="16" borderId="1" applyAlignment="1" pivotButton="0" quotePrefix="0" xfId="0">
      <alignment horizontal="center"/>
    </xf>
    <xf numFmtId="168" fontId="2" fillId="15" borderId="32" applyAlignment="1" pivotButton="0" quotePrefix="0" xfId="7">
      <alignment horizontal="center" vertical="center" wrapText="1"/>
    </xf>
    <xf numFmtId="168" fontId="19" fillId="0" borderId="1" applyAlignment="1" pivotButton="0" quotePrefix="0" xfId="7">
      <alignment horizontal="center" wrapText="1"/>
    </xf>
    <xf numFmtId="164" fontId="14" fillId="4" borderId="0" applyAlignment="1" pivotButton="0" quotePrefix="0" xfId="1">
      <alignment horizontal="center" vertical="center"/>
    </xf>
    <xf numFmtId="0" fontId="17" fillId="4" borderId="0" pivotButton="0" quotePrefix="0" xfId="0"/>
    <xf numFmtId="164" fontId="17" fillId="4" borderId="0" pivotButton="0" quotePrefix="0" xfId="0"/>
  </cellXfs>
  <cellStyles count="12">
    <cellStyle name="Normal" xfId="0" builtinId="0"/>
    <cellStyle name="Comma" xfId="1" builtinId="3"/>
    <cellStyle name="Normal 2" xfId="2"/>
    <cellStyle name="Comma 2" xfId="3"/>
    <cellStyle name="Per cent" xfId="4" builtinId="5"/>
    <cellStyle name="Normal 3" xfId="5"/>
    <cellStyle name="Hyperlink" xfId="6" builtinId="8"/>
    <cellStyle name="Comma 3" xfId="7"/>
    <cellStyle name="Normal_DC.029.019.00.Autolift throughput original" xfId="8"/>
    <cellStyle name="Percent 2" xfId="9"/>
    <cellStyle name="Comma 4" xfId="10"/>
    <cellStyle name="Normal 4" xfId="11"/>
  </cellStyles>
  <dxfs count="61">
    <dxf>
      <fill>
        <patternFill>
          <bgColor rgb="FFFF0000"/>
        </patternFill>
      </fill>
    </dxf>
    <dxf>
      <font>
        <b val="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val="1"/>
      </font>
      <fill>
        <patternFill>
          <bgColor rgb="FFFF0000"/>
        </patternFill>
      </fill>
    </dxf>
    <dxf>
      <font>
        <b val="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val="1"/>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val="1"/>
      </font>
      <fill>
        <patternFill>
          <bgColor rgb="FFFF0000"/>
        </patternFill>
      </fill>
    </dxf>
    <dxf>
      <font>
        <b val="1"/>
      </font>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ill>
        <patternFill>
          <bgColor rgb="FFFFC7CE"/>
        </patternFill>
      </fill>
    </dxf>
    <dxf>
      <font>
        <b val="1"/>
      </font>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ont>
        <b val="1"/>
      </font>
      <fill>
        <patternFill>
          <bgColor rgb="FFFF0000"/>
        </patternFill>
      </fill>
    </dxf>
    <dxf>
      <font>
        <b val="1"/>
      </font>
      <fill>
        <patternFill>
          <bgColor rgb="FFFF0000"/>
        </patternFill>
      </fill>
    </dxf>
    <dxf>
      <fill>
        <patternFill>
          <bgColor rgb="FFFF0000"/>
        </patternFill>
      </fill>
    </dxf>
    <dxf>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ill>
        <patternFill>
          <bgColor rgb="FFFF0000"/>
        </patternFill>
      </fill>
    </dxf>
    <dxf>
      <font>
        <b val="1"/>
      </font>
      <fill>
        <patternFill>
          <bgColor rgb="FFFF0000"/>
        </patternFill>
      </fill>
    </dxf>
    <dxf>
      <fill>
        <patternFill>
          <bgColor rgb="FFFF0000"/>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styles" Target="styles.xml" Id="rId33" /><Relationship Type="http://schemas.openxmlformats.org/officeDocument/2006/relationships/theme" Target="theme/theme1.xml" Id="rId34" /></Relationship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 Type="http://schemas.openxmlformats.org/officeDocument/2006/relationships/image" Target="/xl/media/image3.png" Id="rId2" /><Relationship Type="http://schemas.openxmlformats.org/officeDocument/2006/relationships/image" Target="/xl/media/image4.png" Id="rId3" /><Relationship Type="http://schemas.openxmlformats.org/officeDocument/2006/relationships/image" Target="/xl/media/image5.png" Id="rId4" /></Relationships>
</file>

<file path=xl/drawings/_rels/drawing3.xml.rels><Relationships xmlns="http://schemas.openxmlformats.org/package/2006/relationships"><Relationship Type="http://schemas.openxmlformats.org/officeDocument/2006/relationships/image" Target="/xl/media/image6.png" Id="rId1" /><Relationship Type="http://schemas.openxmlformats.org/officeDocument/2006/relationships/image" Target="/xl/media/image7.png" Id="rId2" /></Relationships>
</file>

<file path=xl/drawings/_rels/drawing4.xml.rels><Relationships xmlns="http://schemas.openxmlformats.org/package/2006/relationships"><Relationship Type="http://schemas.openxmlformats.org/officeDocument/2006/relationships/image" Target="/xl/media/image8.png" Id="rId1" /><Relationship Type="http://schemas.openxmlformats.org/officeDocument/2006/relationships/image" Target="/xl/media/image9.png" Id="rId2" /></Relationships>
</file>

<file path=xl/drawings/_rels/drawing5.xml.rels><Relationships xmlns="http://schemas.openxmlformats.org/package/2006/relationships"><Relationship Type="http://schemas.openxmlformats.org/officeDocument/2006/relationships/image" Target="/xl/media/image10.png" Id="rId1" /><Relationship Type="http://schemas.openxmlformats.org/officeDocument/2006/relationships/image" Target="/xl/media/image11.png" Id="rId2" /></Relationships>
</file>

<file path=xl/drawings/_rels/drawing6.xml.rels><Relationships xmlns="http://schemas.openxmlformats.org/package/2006/relationships"><Relationship Type="http://schemas.openxmlformats.org/officeDocument/2006/relationships/image" Target="/xl/media/image12.png" Id="rId1" /><Relationship Type="http://schemas.openxmlformats.org/officeDocument/2006/relationships/image" Target="/xl/media/image13.png" Id="rId2" /></Relationships>
</file>

<file path=xl/drawings/_rels/drawing7.xml.rels><Relationships xmlns="http://schemas.openxmlformats.org/package/2006/relationships"><Relationship Type="http://schemas.openxmlformats.org/officeDocument/2006/relationships/image" Target="/xl/media/image14.png" Id="rId1" /><Relationship Type="http://schemas.openxmlformats.org/officeDocument/2006/relationships/image" Target="/xl/media/image15.png" Id="rId2" /><Relationship Type="http://schemas.openxmlformats.org/officeDocument/2006/relationships/image" Target="/xl/media/image16.png" Id="rId3" /></Relationships>
</file>

<file path=xl/drawings/_rels/drawing8.xml.rels><Relationships xmlns="http://schemas.openxmlformats.org/package/2006/relationships"><Relationship Type="http://schemas.openxmlformats.org/officeDocument/2006/relationships/image" Target="/xl/media/image17.png" Id="rId1" /><Relationship Type="http://schemas.openxmlformats.org/officeDocument/2006/relationships/image" Target="/xl/media/image18.png" Id="rId2" /><Relationship Type="http://schemas.openxmlformats.org/officeDocument/2006/relationships/image" Target="/xl/media/image19.png" Id="rId3" /><Relationship Type="http://schemas.openxmlformats.org/officeDocument/2006/relationships/image" Target="/xl/media/image20.png" Id="rId4" /></Relationships>
</file>

<file path=xl/drawings/_rels/drawing9.xml.rels><Relationships xmlns="http://schemas.openxmlformats.org/package/2006/relationships"><Relationship Type="http://schemas.openxmlformats.org/officeDocument/2006/relationships/image" Target="/xl/media/image21.png" Id="rId1" /></Relationships>
</file>

<file path=xl/drawings/_rels/drawing10.xml.rels><Relationships xmlns="http://schemas.openxmlformats.org/package/2006/relationships"><Relationship Type="http://schemas.openxmlformats.org/officeDocument/2006/relationships/image" Target="/xl/media/image22.png" Id="rId1" /></Relationships>
</file>

<file path=xl/drawings/_rels/drawing11.xml.rels><Relationships xmlns="http://schemas.openxmlformats.org/package/2006/relationships"><Relationship Type="http://schemas.openxmlformats.org/officeDocument/2006/relationships/image" Target="/xl/media/image23.png" Id="rId1" /></Relationships>
</file>

<file path=xl/drawings/_rels/drawing12.xml.rels><Relationships xmlns="http://schemas.openxmlformats.org/package/2006/relationships"><Relationship Type="http://schemas.openxmlformats.org/officeDocument/2006/relationships/image" Target="/xl/media/image24.png" Id="rId1" /></Relationships>
</file>

<file path=xl/drawings/_rels/drawing13.xml.rels><Relationships xmlns="http://schemas.openxmlformats.org/package/2006/relationships"><Relationship Type="http://schemas.openxmlformats.org/officeDocument/2006/relationships/image" Target="/xl/media/image25.png" Id="rId1" /></Relationships>
</file>

<file path=xl/drawings/_rels/drawing14.xml.rels><Relationships xmlns="http://schemas.openxmlformats.org/package/2006/relationships"><Relationship Type="http://schemas.openxmlformats.org/officeDocument/2006/relationships/image" Target="/xl/media/image26.png" Id="rId1" /></Relationships>
</file>

<file path=xl/drawings/_rels/drawing15.xml.rels><Relationships xmlns="http://schemas.openxmlformats.org/package/2006/relationships"><Relationship Type="http://schemas.openxmlformats.org/officeDocument/2006/relationships/image" Target="/xl/media/image27.png" Id="rId1" /><Relationship Type="http://schemas.openxmlformats.org/officeDocument/2006/relationships/image" Target="/xl/media/image28.png" Id="rId2" /></Relationships>
</file>

<file path=xl/drawings/_rels/drawing16.xml.rels><Relationships xmlns="http://schemas.openxmlformats.org/package/2006/relationships"><Relationship Type="http://schemas.openxmlformats.org/officeDocument/2006/relationships/image" Target="/xl/media/image29.png" Id="rId1" /></Relationships>
</file>

<file path=xl/drawings/_rels/drawing17.xml.rels><Relationships xmlns="http://schemas.openxmlformats.org/package/2006/relationships"><Relationship Type="http://schemas.openxmlformats.org/officeDocument/2006/relationships/image" Target="/xl/media/image30.png" Id="rId1" /></Relationships>
</file>

<file path=xl/drawings/_rels/drawing18.xml.rels><Relationships xmlns="http://schemas.openxmlformats.org/package/2006/relationships"><Relationship Type="http://schemas.openxmlformats.org/officeDocument/2006/relationships/image" Target="/xl/media/image31.png" Id="rId1" /></Relationships>
</file>

<file path=xl/drawings/_rels/drawing19.xml.rels><Relationships xmlns="http://schemas.openxmlformats.org/package/2006/relationships"><Relationship Type="http://schemas.openxmlformats.org/officeDocument/2006/relationships/image" Target="/xl/media/image32.png" Id="rId1" /><Relationship Type="http://schemas.openxmlformats.org/officeDocument/2006/relationships/image" Target="/xl/media/image33.png" Id="rId2" /></Relationships>
</file>

<file path=xl/drawings/_rels/drawing20.xml.rels><Relationships xmlns="http://schemas.openxmlformats.org/package/2006/relationships"><Relationship Type="http://schemas.openxmlformats.org/officeDocument/2006/relationships/image" Target="/xl/media/image34.png" Id="rId1" /><Relationship Type="http://schemas.openxmlformats.org/officeDocument/2006/relationships/image" Target="/xl/media/image35.png" Id="rId2" /></Relationships>
</file>

<file path=xl/drawings/_rels/drawing21.xml.rels><Relationships xmlns="http://schemas.openxmlformats.org/package/2006/relationships"><Relationship Type="http://schemas.openxmlformats.org/officeDocument/2006/relationships/image" Target="/xl/media/image36.png" Id="rId1" /></Relationships>
</file>

<file path=xl/drawings/_rels/drawing22.xml.rels><Relationships xmlns="http://schemas.openxmlformats.org/package/2006/relationships"><Relationship Type="http://schemas.openxmlformats.org/officeDocument/2006/relationships/image" Target="/xl/media/image37.png" Id="rId1" /></Relationships>
</file>

<file path=xl/drawings/_rels/drawing23.xml.rels><Relationships xmlns="http://schemas.openxmlformats.org/package/2006/relationships"><Relationship Type="http://schemas.openxmlformats.org/officeDocument/2006/relationships/image" Target="/xl/media/image38.png" Id="rId1" /></Relationships>
</file>

<file path=xl/drawings/_rels/drawing24.xml.rels><Relationships xmlns="http://schemas.openxmlformats.org/package/2006/relationships"><Relationship Type="http://schemas.openxmlformats.org/officeDocument/2006/relationships/image" Target="/xl/media/image39.png" Id="rId1" /></Relationships>
</file>

<file path=xl/drawings/_rels/drawing25.xml.rels><Relationships xmlns="http://schemas.openxmlformats.org/package/2006/relationships"><Relationship Type="http://schemas.openxmlformats.org/officeDocument/2006/relationships/image" Target="/xl/media/image40.png" Id="rId1" /></Relationships>
</file>

<file path=xl/drawings/_rels/drawing26.xml.rels><Relationships xmlns="http://schemas.openxmlformats.org/package/2006/relationships"><Relationship Type="http://schemas.openxmlformats.org/officeDocument/2006/relationships/image" Target="/xl/media/image41.png" Id="rId1" /></Relationships>
</file>

<file path=xl/drawings/_rels/drawing27.xml.rels><Relationships xmlns="http://schemas.openxmlformats.org/package/2006/relationships"><Relationship Type="http://schemas.openxmlformats.org/officeDocument/2006/relationships/image" Target="/xl/media/image42.png" Id="rId1" /><Relationship Type="http://schemas.openxmlformats.org/officeDocument/2006/relationships/image" Target="/xl/media/image43.png" Id="rId2" /></Relationships>
</file>

<file path=xl/drawings/_rels/drawing28.xml.rels><Relationships xmlns="http://schemas.openxmlformats.org/package/2006/relationships"><Relationship Type="http://schemas.openxmlformats.org/officeDocument/2006/relationships/image" Target="/xl/media/image44.png" Id="rId1" /></Relationships>
</file>

<file path=xl/drawings/_rels/drawing29.xml.rels><Relationships xmlns="http://schemas.openxmlformats.org/package/2006/relationships"><Relationship Type="http://schemas.openxmlformats.org/officeDocument/2006/relationships/image" Target="/xl/media/image45.png" Id="rId1" /></Relationships>
</file>

<file path=xl/drawings/_rels/drawing30.xml.rels><Relationships xmlns="http://schemas.openxmlformats.org/package/2006/relationships"><Relationship Type="http://schemas.openxmlformats.org/officeDocument/2006/relationships/image" Target="/xl/media/image46.png" Id="rId1"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1905000</colOff>
      <row>2</row>
      <rowOff>76447</rowOff>
    </to>
    <pic>
      <nvPicPr>
        <cNvPr id="3" name="Picture 2"/>
        <cNvPicPr>
          <a:picLocks noChangeAspect="1"/>
        </cNvPicPr>
      </nvPicPr>
      <blipFill>
        <a:blip r:embed="rId1"/>
        <a:stretch>
          <a:fillRect/>
        </a:stretch>
      </blipFill>
      <spPr>
        <a:xfrm>
          <a:off x="0" y="0"/>
          <a:ext cx="1905000" cy="444747"/>
        </a:xfrm>
        <a:prstGeom prst="rect">
          <avLst/>
        </a:prstGeom>
        <a:ln>
          <a:prstDash val="solid"/>
        </a:ln>
      </spPr>
    </pic>
    <clientData/>
  </twoCellAnchor>
</wsDr>
</file>

<file path=xl/drawings/drawing2.xml><?xml version="1.0" encoding="utf-8"?>
<wsDr xmlns:a="http://schemas.openxmlformats.org/drawingml/2006/main" xmlns:r="http://schemas.openxmlformats.org/officeDocument/2006/relationships" xmlns="http://schemas.openxmlformats.org/drawingml/2006/spreadsheetDrawing">
  <twoCellAnchor editAs="oneCell">
    <from>
      <col>2</col>
      <colOff>284364</colOff>
      <row>9</row>
      <rowOff>138950</rowOff>
    </from>
    <to>
      <col>6</col>
      <colOff>2563</colOff>
      <row>20</row>
      <rowOff>94634</rowOff>
    </to>
    <pic>
      <nvPicPr>
        <cNvPr id="3" name="Picture 2"/>
        <cNvPicPr>
          <a:picLocks noChangeAspect="1"/>
        </cNvPicPr>
      </nvPicPr>
      <blipFill>
        <a:blip r:embed="rId1"/>
        <a:stretch>
          <a:fillRect/>
        </a:stretch>
      </blipFill>
      <spPr>
        <a:xfrm>
          <a:off x="5955821" y="3230493"/>
          <a:ext cx="4878028" cy="2829512"/>
        </a:xfrm>
        <a:prstGeom prst="rect">
          <avLst/>
        </a:prstGeom>
        <a:ln>
          <a:prstDash val="solid"/>
        </a:ln>
      </spPr>
    </pic>
    <clientData/>
  </twoCellAnchor>
  <twoCellAnchor editAs="oneCell">
    <from>
      <col>5</col>
      <colOff>995585</colOff>
      <row>40</row>
      <rowOff>29358</rowOff>
    </from>
    <to>
      <col>26</col>
      <colOff>307255</colOff>
      <row>68</row>
      <rowOff>127001</rowOff>
    </to>
    <pic>
      <nvPicPr>
        <cNvPr id="4" name="Picture 3"/>
        <cNvPicPr>
          <a:picLocks noChangeAspect="1"/>
        </cNvPicPr>
      </nvPicPr>
      <blipFill>
        <a:blip r:embed="rId2"/>
        <a:stretch>
          <a:fillRect/>
        </a:stretch>
      </blipFill>
      <spPr>
        <a:xfrm>
          <a:off x="11005494" y="8838540"/>
          <a:ext cx="10453034" cy="5616371"/>
        </a:xfrm>
        <a:prstGeom prst="rect">
          <avLst/>
        </a:prstGeom>
        <a:solidFill>
          <a:srgbClr val="FFFFFF"/>
        </a:solidFill>
        <a:ln w="88900" cap="sq">
          <a:solidFill>
            <a:srgbClr val="FFFFFF"/>
          </a:solidFill>
          <a:prstDash val="solid"/>
          <a:miter lim="800000"/>
        </a:ln>
        <a:sp3d/>
      </spPr>
    </pic>
    <clientData/>
  </twoCellAnchor>
  <twoCellAnchor editAs="oneCell">
    <from>
      <col>6</col>
      <colOff>0</colOff>
      <row>71</row>
      <rowOff>0</rowOff>
    </from>
    <to>
      <col>30</col>
      <colOff>255552</colOff>
      <row>109</row>
      <rowOff>72590</rowOff>
    </to>
    <pic>
      <nvPicPr>
        <cNvPr id="5" name="Picture 4"/>
        <cNvPicPr>
          <a:picLocks noChangeAspect="1"/>
        </cNvPicPr>
      </nvPicPr>
      <blipFill>
        <a:blip r:embed="rId3"/>
        <a:stretch>
          <a:fillRect/>
        </a:stretch>
      </blipFill>
      <spPr>
        <a:xfrm>
          <a:off x="10831286" y="15142029"/>
          <a:ext cx="12980952" cy="7104762"/>
        </a:xfrm>
        <a:prstGeom prst="rect">
          <avLst/>
        </a:prstGeom>
        <a:solidFill>
          <a:srgbClr val="FFFFFF"/>
        </a:solidFill>
        <a:ln w="88900" cap="sq">
          <a:solidFill>
            <a:srgbClr val="FFFFFF"/>
          </a:solidFill>
          <a:prstDash val="solid"/>
          <a:miter lim="800000"/>
        </a:ln>
        <a:sp3d/>
      </spPr>
    </pic>
    <clientData/>
  </twoCellAnchor>
  <twoCellAnchor editAs="oneCell">
    <from>
      <col>0</col>
      <colOff>0</colOff>
      <row>0</row>
      <rowOff>0</rowOff>
    </from>
    <to>
      <col>0</col>
      <colOff>2409068</colOff>
      <row>0</row>
      <rowOff>562428</rowOff>
    </to>
    <pic>
      <nvPicPr>
        <cNvPr id="6" name="Picture 5"/>
        <cNvPicPr>
          <a:picLocks noChangeAspect="1"/>
        </cNvPicPr>
      </nvPicPr>
      <blipFill>
        <a:blip r:embed="rId4"/>
        <a:stretch>
          <a:fillRect/>
        </a:stretch>
      </blipFill>
      <spPr>
        <a:xfrm>
          <a:off x="0" y="0"/>
          <a:ext cx="2409068" cy="562428"/>
        </a:xfrm>
        <a:prstGeom prst="rect">
          <avLst/>
        </a:prstGeom>
        <a:ln>
          <a:prstDash val="solid"/>
        </a:ln>
      </spPr>
    </pic>
    <clientData/>
  </twoCellAnchor>
</wsDr>
</file>

<file path=xl/drawings/drawing3.xml><?xml version="1.0" encoding="utf-8"?>
<wsDr xmlns:a="http://schemas.openxmlformats.org/drawingml/2006/main" xmlns:r="http://schemas.openxmlformats.org/officeDocument/2006/relationships" xmlns="http://schemas.openxmlformats.org/drawingml/2006/spreadsheetDrawing">
  <twoCellAnchor editAs="oneCell">
    <from>
      <col>0</col>
      <colOff>690282</colOff>
      <row>34</row>
      <rowOff>44824</rowOff>
    </from>
    <to>
      <col>5</col>
      <colOff>1086738</colOff>
      <row>60</row>
      <rowOff>107577</rowOff>
    </to>
    <pic>
      <nvPicPr>
        <cNvPr id="3" name="Picture 2"/>
        <cNvPicPr>
          <a:picLocks noChangeAspect="1"/>
        </cNvPicPr>
      </nvPicPr>
      <blipFill>
        <a:blip r:embed="rId1"/>
        <a:stretch>
          <a:fillRect/>
        </a:stretch>
      </blipFill>
      <spPr>
        <a:xfrm>
          <a:off x="690282" y="9619130"/>
          <a:ext cx="8697774" cy="4724400"/>
        </a:xfrm>
        <a:prstGeom prst="rect">
          <avLst/>
        </a:prstGeom>
        <a:solidFill>
          <a:srgbClr val="FFFFFF"/>
        </a:solidFill>
        <a:ln w="88900" cap="sq">
          <a:solidFill>
            <a:srgbClr val="FFFFFF"/>
          </a:solidFill>
          <a:prstDash val="solid"/>
          <a:miter lim="800000"/>
        </a:ln>
        <a:sp3d/>
      </spPr>
    </pic>
    <clientData/>
  </twoCellAnchor>
  <twoCellAnchor editAs="oneCell">
    <from>
      <col>0</col>
      <colOff>0</colOff>
      <row>0</row>
      <rowOff>0</rowOff>
    </from>
    <to>
      <col>0</col>
      <colOff>2409068</colOff>
      <row>0</row>
      <rowOff>562428</rowOff>
    </to>
    <pic>
      <nvPicPr>
        <cNvPr id="4" name="Picture 3"/>
        <cNvPicPr>
          <a:picLocks noChangeAspect="1"/>
        </cNvPicPr>
      </nvPicPr>
      <blipFill>
        <a:blip r:embed="rId2"/>
        <a:stretch>
          <a:fillRect/>
        </a:stretch>
      </blipFill>
      <spPr>
        <a:xfrm>
          <a:off x="0" y="0"/>
          <a:ext cx="2409068" cy="562428"/>
        </a:xfrm>
        <a:prstGeom prst="rect">
          <avLst/>
        </a:prstGeom>
        <a:ln>
          <a:prstDash val="solid"/>
        </a:ln>
      </spPr>
    </pic>
    <clientData/>
  </twoCellAnchor>
</wsDr>
</file>

<file path=xl/drawings/drawing4.xml><?xml version="1.0" encoding="utf-8"?>
<wsDr xmlns:a="http://schemas.openxmlformats.org/drawingml/2006/main" xmlns:r="http://schemas.openxmlformats.org/officeDocument/2006/relationships" xmlns="http://schemas.openxmlformats.org/drawingml/2006/spreadsheetDrawing">
  <twoCellAnchor editAs="oneCell">
    <from>
      <col>0</col>
      <colOff>681318</colOff>
      <row>33</row>
      <rowOff>170329</rowOff>
    </from>
    <to>
      <col>5</col>
      <colOff>1302853</colOff>
      <row>60</row>
      <rowOff>30697</rowOff>
    </to>
    <pic>
      <nvPicPr>
        <cNvPr id="3" name="Picture 2"/>
        <cNvPicPr>
          <a:picLocks noChangeAspect="1"/>
        </cNvPicPr>
      </nvPicPr>
      <blipFill>
        <a:blip r:embed="rId1"/>
        <a:stretch>
          <a:fillRect/>
        </a:stretch>
      </blipFill>
      <spPr>
        <a:xfrm>
          <a:off x="681318" y="9565341"/>
          <a:ext cx="8697774" cy="4724400"/>
        </a:xfrm>
        <a:prstGeom prst="rect">
          <avLst/>
        </a:prstGeom>
        <a:solidFill>
          <a:srgbClr val="FFFFFF"/>
        </a:solidFill>
        <a:ln w="88900" cap="sq">
          <a:solidFill>
            <a:srgbClr val="FFFFFF"/>
          </a:solidFill>
          <a:prstDash val="solid"/>
          <a:miter lim="800000"/>
        </a:ln>
        <a:sp3d/>
      </spPr>
    </pic>
    <clientData/>
  </twoCellAnchor>
  <twoCellAnchor editAs="oneCell">
    <from>
      <col>0</col>
      <colOff>32988</colOff>
      <row>0</row>
      <rowOff>0</rowOff>
    </from>
    <to>
      <col>0</col>
      <colOff>2439582</colOff>
      <row>0</row>
      <rowOff>550058</rowOff>
    </to>
    <pic>
      <nvPicPr>
        <cNvPr id="4" name="Picture 3"/>
        <cNvPicPr>
          <a:picLocks noChangeAspect="1"/>
        </cNvPicPr>
      </nvPicPr>
      <blipFill>
        <a:blip r:embed="rId2"/>
        <a:stretch>
          <a:fillRect/>
        </a:stretch>
      </blipFill>
      <spPr>
        <a:xfrm>
          <a:off x="32988" y="0"/>
          <a:ext cx="2406594" cy="550058"/>
        </a:xfrm>
        <a:prstGeom prst="rect">
          <avLst/>
        </a:prstGeom>
        <a:ln>
          <a:prstDash val="solid"/>
        </a:ln>
      </spPr>
    </pic>
    <clientData/>
  </twoCellAnchor>
</wsDr>
</file>

<file path=xl/drawings/drawing5.xml><?xml version="1.0" encoding="utf-8"?>
<wsDr xmlns:a="http://schemas.openxmlformats.org/drawingml/2006/main" xmlns:r="http://schemas.openxmlformats.org/officeDocument/2006/relationships" xmlns="http://schemas.openxmlformats.org/drawingml/2006/spreadsheetDrawing">
  <twoCellAnchor editAs="oneCell">
    <from>
      <col>0</col>
      <colOff>869577</colOff>
      <row>34</row>
      <rowOff>53788</rowOff>
    </from>
    <to>
      <col>5</col>
      <colOff>1491966</colOff>
      <row>60</row>
      <rowOff>116541</rowOff>
    </to>
    <pic>
      <nvPicPr>
        <cNvPr id="3" name="Picture 2"/>
        <cNvPicPr>
          <a:picLocks noChangeAspect="1"/>
        </cNvPicPr>
      </nvPicPr>
      <blipFill>
        <a:blip r:embed="rId1"/>
        <a:stretch>
          <a:fillRect/>
        </a:stretch>
      </blipFill>
      <spPr>
        <a:xfrm>
          <a:off x="869577" y="9628094"/>
          <a:ext cx="8697774" cy="4724400"/>
        </a:xfrm>
        <a:prstGeom prst="rect">
          <avLst/>
        </a:prstGeom>
        <a:solidFill>
          <a:srgbClr val="FFFFFF"/>
        </a:solidFill>
        <a:ln w="88900" cap="sq">
          <a:solidFill>
            <a:srgbClr val="FFFFFF"/>
          </a:solidFill>
          <a:prstDash val="solid"/>
          <a:miter lim="800000"/>
        </a:ln>
        <a:sp3d/>
      </spPr>
    </pic>
    <clientData/>
  </twoCellAnchor>
  <twoCellAnchor editAs="oneCell">
    <from>
      <col>0</col>
      <colOff>0</colOff>
      <row>0</row>
      <rowOff>0</rowOff>
    </from>
    <to>
      <col>0</col>
      <colOff>2406594</colOff>
      <row>0</row>
      <rowOff>550058</rowOff>
    </to>
    <pic>
      <nvPicPr>
        <cNvPr id="4" name="Picture 3"/>
        <cNvPicPr>
          <a:picLocks noChangeAspect="1"/>
        </cNvPicPr>
      </nvPicPr>
      <blipFill>
        <a:blip r:embed="rId2"/>
        <a:stretch>
          <a:fillRect/>
        </a:stretch>
      </blipFill>
      <spPr>
        <a:xfrm>
          <a:off x="0" y="0"/>
          <a:ext cx="2406594" cy="550058"/>
        </a:xfrm>
        <a:prstGeom prst="rect">
          <avLst/>
        </a:prstGeom>
        <a:ln>
          <a:prstDash val="solid"/>
        </a:ln>
      </spPr>
    </pic>
    <clientData/>
  </twoCellAnchor>
</wsDr>
</file>

<file path=xl/drawings/drawing6.xml><?xml version="1.0" encoding="utf-8"?>
<wsDr xmlns:a="http://schemas.openxmlformats.org/drawingml/2006/main" xmlns:r="http://schemas.openxmlformats.org/officeDocument/2006/relationships" xmlns="http://schemas.openxmlformats.org/drawingml/2006/spreadsheetDrawing">
  <twoCellAnchor editAs="oneCell">
    <from>
      <col>0</col>
      <colOff>1048870</colOff>
      <row>33</row>
      <rowOff>116541</rowOff>
    </from>
    <to>
      <col>5</col>
      <colOff>1713201</colOff>
      <row>60</row>
      <rowOff>3628</rowOff>
    </to>
    <pic>
      <nvPicPr>
        <cNvPr id="3" name="Picture 2"/>
        <cNvPicPr>
          <a:picLocks noChangeAspect="1"/>
        </cNvPicPr>
      </nvPicPr>
      <blipFill>
        <a:blip r:embed="rId1"/>
        <a:stretch>
          <a:fillRect/>
        </a:stretch>
      </blipFill>
      <spPr>
        <a:xfrm>
          <a:off x="1048870" y="9511553"/>
          <a:ext cx="8697774" cy="4724400"/>
        </a:xfrm>
        <a:prstGeom prst="rect">
          <avLst/>
        </a:prstGeom>
        <a:solidFill>
          <a:srgbClr val="FFFFFF"/>
        </a:solidFill>
        <a:ln w="88900" cap="sq">
          <a:solidFill>
            <a:srgbClr val="FFFFFF"/>
          </a:solidFill>
          <a:prstDash val="solid"/>
          <a:miter lim="800000"/>
        </a:ln>
        <a:sp3d/>
      </spPr>
    </pic>
    <clientData/>
  </twoCellAnchor>
  <twoCellAnchor editAs="oneCell">
    <from>
      <col>0</col>
      <colOff>0</colOff>
      <row>0</row>
      <rowOff>0</rowOff>
    </from>
    <to>
      <col>0</col>
      <colOff>2406594</colOff>
      <row>0</row>
      <rowOff>550058</rowOff>
    </to>
    <pic>
      <nvPicPr>
        <cNvPr id="4" name="Picture 3"/>
        <cNvPicPr>
          <a:picLocks noChangeAspect="1"/>
        </cNvPicPr>
      </nvPicPr>
      <blipFill>
        <a:blip r:embed="rId2"/>
        <a:stretch>
          <a:fillRect/>
        </a:stretch>
      </blipFill>
      <spPr>
        <a:xfrm>
          <a:off x="0" y="0"/>
          <a:ext cx="2406594" cy="550058"/>
        </a:xfrm>
        <a:prstGeom prst="rect">
          <avLst/>
        </a:prstGeom>
        <a:ln>
          <a:prstDash val="solid"/>
        </a:ln>
      </spPr>
    </pic>
    <clientData/>
  </twoCellAnchor>
</wsDr>
</file>

<file path=xl/drawings/drawing7.xml><?xml version="1.0" encoding="utf-8"?>
<wsDr xmlns:a="http://schemas.openxmlformats.org/drawingml/2006/main" xmlns:r="http://schemas.openxmlformats.org/officeDocument/2006/relationships" xmlns="http://schemas.openxmlformats.org/drawingml/2006/spreadsheetDrawing">
  <twoCellAnchor editAs="oneCell">
    <from>
      <col>0</col>
      <colOff>751114</colOff>
      <row>52</row>
      <rowOff>65314</rowOff>
    </from>
    <to>
      <col>9</col>
      <colOff>435773</colOff>
      <row>86</row>
      <rowOff>76201</rowOff>
    </to>
    <pic>
      <nvPicPr>
        <cNvPr id="3" name="Picture 2"/>
        <cNvPicPr>
          <a:picLocks noChangeAspect="1"/>
        </cNvPicPr>
      </nvPicPr>
      <blipFill>
        <a:blip r:embed="rId1"/>
        <a:stretch>
          <a:fillRect/>
        </a:stretch>
      </blipFill>
      <spPr>
        <a:xfrm>
          <a:off x="751114" y="11996057"/>
          <a:ext cx="11498861" cy="6302829"/>
        </a:xfrm>
        <a:prstGeom prst="rect">
          <avLst/>
        </a:prstGeom>
        <a:solidFill>
          <a:srgbClr val="FFFFFF"/>
        </a:solidFill>
        <a:ln w="88900" cap="sq">
          <a:solidFill>
            <a:srgbClr val="FFFFFF"/>
          </a:solidFill>
          <a:prstDash val="solid"/>
          <a:miter lim="800000"/>
        </a:ln>
        <a:sp3d/>
      </spPr>
    </pic>
    <clientData/>
  </twoCellAnchor>
  <twoCellAnchor editAs="oneCell">
    <from>
      <col>7</col>
      <colOff>337930</colOff>
      <row>51</row>
      <rowOff>87087</rowOff>
    </from>
    <to>
      <col>26</col>
      <colOff>516810</colOff>
      <row>86</row>
      <rowOff>174170</rowOff>
    </to>
    <pic>
      <nvPicPr>
        <cNvPr id="4" name="Picture 3"/>
        <cNvPicPr>
          <a:picLocks noChangeAspect="1"/>
        </cNvPicPr>
      </nvPicPr>
      <blipFill>
        <a:blip r:embed="rId2"/>
        <a:stretch>
          <a:fillRect/>
        </a:stretch>
      </blipFill>
      <spPr>
        <a:xfrm>
          <a:off x="13095987" y="11832773"/>
          <a:ext cx="11772166" cy="6564084"/>
        </a:xfrm>
        <a:prstGeom prst="rect">
          <avLst/>
        </a:prstGeom>
        <a:solidFill>
          <a:srgbClr val="FFFFFF"/>
        </a:solidFill>
        <a:ln w="88900" cap="sq">
          <a:solidFill>
            <a:srgbClr val="FFFFFF"/>
          </a:solidFill>
          <a:prstDash val="solid"/>
          <a:miter lim="800000"/>
        </a:ln>
        <a:sp3d/>
      </spPr>
    </pic>
    <clientData/>
  </twoCellAnchor>
  <twoCellAnchor editAs="oneCell">
    <from>
      <col>0</col>
      <colOff>0</colOff>
      <row>0</row>
      <rowOff>0</rowOff>
    </from>
    <to>
      <col>0</col>
      <colOff>2406594</colOff>
      <row>0</row>
      <rowOff>550058</rowOff>
    </to>
    <pic>
      <nvPicPr>
        <cNvPr id="5" name="Picture 4"/>
        <cNvPicPr>
          <a:picLocks noChangeAspect="1"/>
        </cNvPicPr>
      </nvPicPr>
      <blipFill>
        <a:blip r:embed="rId3"/>
        <a:stretch>
          <a:fillRect/>
        </a:stretch>
      </blipFill>
      <spPr>
        <a:xfrm>
          <a:off x="0" y="0"/>
          <a:ext cx="2406594" cy="550058"/>
        </a:xfrm>
        <a:prstGeom prst="rect">
          <avLst/>
        </a:prstGeom>
        <a:ln>
          <a:prstDash val="solid"/>
        </a:ln>
      </spPr>
    </pic>
    <clientData/>
  </twoCellAnchor>
</wsDr>
</file>

<file path=xl/drawings/drawing8.xml><?xml version="1.0" encoding="utf-8"?>
<wsDr xmlns:a="http://schemas.openxmlformats.org/drawingml/2006/main" xmlns:r="http://schemas.openxmlformats.org/officeDocument/2006/relationships" xmlns="http://schemas.openxmlformats.org/drawingml/2006/spreadsheetDrawing">
  <twoCellAnchor editAs="oneCell">
    <from>
      <col>0</col>
      <colOff>0</colOff>
      <row>23</row>
      <rowOff>1</rowOff>
    </from>
    <to>
      <col>3</col>
      <colOff>572234</colOff>
      <row>44</row>
      <rowOff>177239</rowOff>
    </to>
    <pic>
      <nvPicPr>
        <cNvPr id="3" name="Picture 2"/>
        <cNvPicPr>
          <a:picLocks noChangeAspect="1"/>
        </cNvPicPr>
      </nvPicPr>
      <blipFill>
        <a:blip r:embed="rId1"/>
        <a:stretch>
          <a:fillRect/>
        </a:stretch>
      </blipFill>
      <spPr>
        <a:xfrm>
          <a:off x="0" y="5979460"/>
          <a:ext cx="5628328" cy="3944469"/>
        </a:xfrm>
        <a:prstGeom prst="rect">
          <avLst/>
        </a:prstGeom>
        <a:solidFill>
          <a:srgbClr val="FFFFFF"/>
        </a:solidFill>
        <a:ln w="88900" cap="sq">
          <a:solidFill>
            <a:srgbClr val="FFFFFF"/>
          </a:solidFill>
          <a:prstDash val="solid"/>
          <a:miter lim="800000"/>
        </a:ln>
        <a:sp3d/>
      </spPr>
    </pic>
    <clientData/>
  </twoCellAnchor>
  <twoCellAnchor editAs="oneCell">
    <from>
      <col>0</col>
      <colOff>0</colOff>
      <row>75</row>
      <rowOff>80682</rowOff>
    </from>
    <to>
      <col>3</col>
      <colOff>709400</colOff>
      <row>100</row>
      <rowOff>116540</rowOff>
    </to>
    <pic>
      <nvPicPr>
        <cNvPr id="4" name="Picture 3"/>
        <cNvPicPr>
          <a:picLocks noChangeAspect="1"/>
        </cNvPicPr>
      </nvPicPr>
      <blipFill>
        <a:blip r:embed="rId2"/>
        <a:stretch>
          <a:fillRect/>
        </a:stretch>
      </blipFill>
      <spPr>
        <a:xfrm>
          <a:off x="0" y="15383435"/>
          <a:ext cx="5765494" cy="4518211"/>
        </a:xfrm>
        <a:prstGeom prst="rect">
          <avLst/>
        </a:prstGeom>
        <a:solidFill>
          <a:srgbClr val="FFFFFF"/>
        </a:solidFill>
        <a:ln w="88900" cap="sq">
          <a:solidFill>
            <a:srgbClr val="FFFFFF"/>
          </a:solidFill>
          <a:prstDash val="solid"/>
          <a:miter lim="800000"/>
        </a:ln>
        <a:sp3d/>
      </spPr>
    </pic>
    <clientData/>
  </twoCellAnchor>
  <twoCellAnchor editAs="oneCell">
    <from>
      <col>0</col>
      <colOff>0</colOff>
      <row>46</row>
      <rowOff>166530</rowOff>
    </from>
    <to>
      <col>3</col>
      <colOff>654424</colOff>
      <row>71</row>
      <rowOff>161364</rowOff>
    </to>
    <pic>
      <nvPicPr>
        <cNvPr id="5" name="Picture 4"/>
        <cNvPicPr>
          <a:picLocks noChangeAspect="1"/>
        </cNvPicPr>
      </nvPicPr>
      <blipFill>
        <a:blip r:embed="rId3"/>
        <a:stretch>
          <a:fillRect/>
        </a:stretch>
      </blipFill>
      <spPr>
        <a:xfrm>
          <a:off x="0" y="10269754"/>
          <a:ext cx="5710518" cy="4477186"/>
        </a:xfrm>
        <a:prstGeom prst="rect">
          <avLst/>
        </a:prstGeom>
        <a:solidFill>
          <a:srgbClr val="FFFFFF"/>
        </a:solidFill>
        <a:ln w="88900" cap="sq">
          <a:solidFill>
            <a:srgbClr val="FFFFFF"/>
          </a:solidFill>
          <a:prstDash val="solid"/>
          <a:miter lim="800000"/>
        </a:ln>
        <a:sp3d/>
      </spPr>
    </pic>
    <clientData/>
  </twoCellAnchor>
  <twoCellAnchor editAs="oneCell">
    <from>
      <col>0</col>
      <colOff>0</colOff>
      <row>0</row>
      <rowOff>0</rowOff>
    </from>
    <to>
      <col>0</col>
      <colOff>2339919</colOff>
      <row>0</row>
      <rowOff>550058</rowOff>
    </to>
    <pic>
      <nvPicPr>
        <cNvPr id="6" name="Picture 5"/>
        <cNvPicPr>
          <a:picLocks noChangeAspect="1"/>
        </cNvPicPr>
      </nvPicPr>
      <blipFill>
        <a:blip r:embed="rId4"/>
        <a:stretch>
          <a:fillRect/>
        </a:stretch>
      </blipFill>
      <spPr>
        <a:xfrm>
          <a:off x="0" y="0"/>
          <a:ext cx="2406594" cy="550058"/>
        </a:xfrm>
        <a:prstGeom prst="rect">
          <avLst/>
        </a:prstGeom>
        <a:ln>
          <a:prstDash val="solid"/>
        </a:ln>
      </spPr>
    </pic>
    <clientData/>
  </twoCellAnchor>
</wsDr>
</file>

<file path=xl/drawings/drawing9.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2406594</colOff>
      <row>0</row>
      <rowOff>550058</rowOff>
    </to>
    <pic>
      <nvPicPr>
        <cNvPr id="3" name="Picture 2"/>
        <cNvPicPr>
          <a:picLocks noChangeAspect="1"/>
        </cNvPicPr>
      </nvPicPr>
      <blipFill>
        <a:blip r:embed="rId1"/>
        <a:stretch>
          <a:fillRect/>
        </a:stretch>
      </blipFill>
      <spPr>
        <a:xfrm>
          <a:off x="0" y="0"/>
          <a:ext cx="2406594" cy="550058"/>
        </a:xfrm>
        <a:prstGeom prst="rect">
          <avLst/>
        </a:prstGeom>
        <a:ln>
          <a:prstDash val="solid"/>
        </a:ln>
      </spPr>
    </pic>
    <clientData/>
  </twoCellAnchor>
</wsDr>
</file>

<file path=xl/drawings/drawing10.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2406594</colOff>
      <row>3</row>
      <rowOff>783</rowOff>
    </to>
    <pic>
      <nvPicPr>
        <cNvPr id="3" name="Picture 2"/>
        <cNvPicPr>
          <a:picLocks noChangeAspect="1"/>
        </cNvPicPr>
      </nvPicPr>
      <blipFill>
        <a:blip r:embed="rId1"/>
        <a:stretch>
          <a:fillRect/>
        </a:stretch>
      </blipFill>
      <spPr>
        <a:xfrm>
          <a:off x="0" y="0"/>
          <a:ext cx="2406594" cy="550058"/>
        </a:xfrm>
        <a:prstGeom prst="rect">
          <avLst/>
        </a:prstGeom>
        <a:ln>
          <a:prstDash val="solid"/>
        </a:ln>
      </spPr>
    </pic>
    <clientData/>
  </twoCellAnchor>
</wsDr>
</file>

<file path=xl/drawings/drawing11.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1835150</colOff>
      <row>2</row>
      <rowOff>51147</rowOff>
    </to>
    <pic>
      <nvPicPr>
        <cNvPr id="3" name="Picture 2"/>
        <cNvPicPr>
          <a:picLocks noChangeAspect="1"/>
        </cNvPicPr>
      </nvPicPr>
      <blipFill>
        <a:blip r:embed="rId1"/>
        <a:stretch>
          <a:fillRect/>
        </a:stretch>
      </blipFill>
      <spPr>
        <a:xfrm>
          <a:off x="0" y="0"/>
          <a:ext cx="1835150" cy="419447"/>
        </a:xfrm>
        <a:prstGeom prst="rect">
          <avLst/>
        </a:prstGeom>
        <a:ln>
          <a:prstDash val="solid"/>
        </a:ln>
      </spPr>
    </pic>
    <clientData/>
  </twoCellAnchor>
</wsDr>
</file>

<file path=xl/drawings/drawing12.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2576176</colOff>
      <row>0</row>
      <rowOff>588818</rowOff>
    </to>
    <pic>
      <nvPicPr>
        <cNvPr id="3" name="Picture 2"/>
        <cNvPicPr>
          <a:picLocks noChangeAspect="1"/>
        </cNvPicPr>
      </nvPicPr>
      <blipFill>
        <a:blip r:embed="rId1"/>
        <a:stretch>
          <a:fillRect/>
        </a:stretch>
      </blipFill>
      <spPr>
        <a:xfrm>
          <a:off x="0" y="0"/>
          <a:ext cx="2576176" cy="588818"/>
        </a:xfrm>
        <a:prstGeom prst="rect">
          <avLst/>
        </a:prstGeom>
        <a:ln>
          <a:prstDash val="solid"/>
        </a:ln>
      </spPr>
    </pic>
    <clientData/>
  </twoCellAnchor>
</wsDr>
</file>

<file path=xl/drawings/drawing13.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2576176</colOff>
      <row>0</row>
      <rowOff>588818</rowOff>
    </to>
    <pic>
      <nvPicPr>
        <cNvPr id="3" name="Picture 2"/>
        <cNvPicPr>
          <a:picLocks noChangeAspect="1"/>
        </cNvPicPr>
      </nvPicPr>
      <blipFill>
        <a:blip r:embed="rId1"/>
        <a:stretch>
          <a:fillRect/>
        </a:stretch>
      </blipFill>
      <spPr>
        <a:xfrm>
          <a:off x="0" y="0"/>
          <a:ext cx="2576176" cy="588818"/>
        </a:xfrm>
        <a:prstGeom prst="rect">
          <avLst/>
        </a:prstGeom>
        <a:ln>
          <a:prstDash val="solid"/>
        </a:ln>
      </spPr>
    </pic>
    <clientData/>
  </twoCellAnchor>
</wsDr>
</file>

<file path=xl/drawings/drawing14.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1</col>
      <colOff>4426</colOff>
      <row>0</row>
      <rowOff>588818</rowOff>
    </to>
    <pic>
      <nvPicPr>
        <cNvPr id="3" name="Picture 2"/>
        <cNvPicPr>
          <a:picLocks noChangeAspect="1"/>
        </cNvPicPr>
      </nvPicPr>
      <blipFill>
        <a:blip r:embed="rId1"/>
        <a:stretch>
          <a:fillRect/>
        </a:stretch>
      </blipFill>
      <spPr>
        <a:xfrm>
          <a:off x="0" y="0"/>
          <a:ext cx="2576176" cy="588818"/>
        </a:xfrm>
        <a:prstGeom prst="rect">
          <avLst/>
        </a:prstGeom>
        <a:ln>
          <a:prstDash val="solid"/>
        </a:ln>
      </spPr>
    </pic>
    <clientData/>
  </twoCellAnchor>
</wsDr>
</file>

<file path=xl/drawings/drawing15.xml><?xml version="1.0" encoding="utf-8"?>
<wsDr xmlns:a="http://schemas.openxmlformats.org/drawingml/2006/main" xmlns:r="http://schemas.openxmlformats.org/officeDocument/2006/relationships" xmlns="http://schemas.openxmlformats.org/drawingml/2006/spreadsheetDrawing">
  <twoCellAnchor editAs="oneCell">
    <from>
      <col>32</col>
      <colOff>368300</colOff>
      <row>2</row>
      <rowOff>120650</rowOff>
    </from>
    <to>
      <col>37</col>
      <colOff>342900</colOff>
      <row>19</row>
      <rowOff>101600</rowOff>
    </to>
    <pic>
      <nvPicPr>
        <cNvPr id="2" name="Picture 1"/>
        <cNvPicPr>
          <a:picLocks noChangeAspect="1" noChangeArrowheads="1"/>
        </cNvPicPr>
      </nvPicPr>
      <blipFill>
        <a:blip r:embed="rId1"/>
        <a:srcRect/>
        <a:stretch>
          <a:fillRect/>
        </a:stretch>
      </blipFill>
      <spPr bwMode="auto">
        <a:xfrm>
          <a:off x="22796500" y="304800"/>
          <a:ext cx="3149600" cy="3276600"/>
        </a:xfrm>
        <a:prstGeom prst="rect">
          <avLst/>
        </a:prstGeom>
        <a:noFill/>
        <a:ln>
          <a:noFill/>
          <a:prstDash val="solid"/>
        </a:ln>
      </spPr>
    </pic>
    <clientData/>
  </twoCellAnchor>
  <twoCellAnchor editAs="oneCell">
    <from>
      <col>0</col>
      <colOff>0</colOff>
      <row>0</row>
      <rowOff>0</rowOff>
    </from>
    <to>
      <col>0</col>
      <colOff>2390588</colOff>
      <row>1</row>
      <rowOff>19349</rowOff>
    </to>
    <pic>
      <nvPicPr>
        <cNvPr id="3" name="Picture 2"/>
        <cNvPicPr>
          <a:picLocks noChangeAspect="1"/>
        </cNvPicPr>
      </nvPicPr>
      <blipFill>
        <a:blip r:embed="rId2"/>
        <a:stretch>
          <a:fillRect/>
        </a:stretch>
      </blipFill>
      <spPr>
        <a:xfrm>
          <a:off x="0" y="0"/>
          <a:ext cx="2390588" cy="546399"/>
        </a:xfrm>
        <a:prstGeom prst="rect">
          <avLst/>
        </a:prstGeom>
        <a:ln>
          <a:prstDash val="solid"/>
        </a:ln>
      </spPr>
    </pic>
    <clientData/>
  </twoCellAnchor>
</wsDr>
</file>

<file path=xl/drawings/drawing16.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17.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18.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19.xml><?xml version="1.0" encoding="utf-8"?>
<wsDr xmlns:a="http://schemas.openxmlformats.org/drawingml/2006/main" xmlns:r="http://schemas.openxmlformats.org/officeDocument/2006/relationships" xmlns="http://schemas.openxmlformats.org/drawingml/2006/spreadsheetDrawing">
  <twoCellAnchor editAs="oneCell">
    <from>
      <col>3</col>
      <colOff>2802817</colOff>
      <row>2</row>
      <rowOff>144780</rowOff>
    </from>
    <to>
      <col>3</col>
      <colOff>4397502</colOff>
      <row>10</row>
      <rowOff>144780</rowOff>
    </to>
    <pic>
      <nvPicPr>
        <cNvPr id="2" name="Picture 1"/>
        <cNvPicPr>
          <a:picLocks noChangeAspect="1"/>
        </cNvPicPr>
      </nvPicPr>
      <blipFill>
        <a:blip cstate="print" r:embed="rId1"/>
        <a:stretch>
          <a:fillRect/>
        </a:stretch>
      </blipFill>
      <spPr>
        <a:xfrm>
          <a:off x="9311567" y="335280"/>
          <a:ext cx="1594685" cy="1638300"/>
        </a:xfrm>
        <a:prstGeom prst="rect">
          <avLst/>
        </a:prstGeom>
        <a:ln>
          <a:prstDash val="solid"/>
        </a:ln>
      </spPr>
    </pic>
    <clientData/>
  </twoCellAnchor>
  <twoCellAnchor editAs="oneCell">
    <from>
      <col>0</col>
      <colOff>0</colOff>
      <row>0</row>
      <rowOff>0</rowOff>
    </from>
    <to>
      <col>0</col>
      <colOff>2390588</colOff>
      <row>0</row>
      <rowOff>546399</rowOff>
    </to>
    <pic>
      <nvPicPr>
        <cNvPr id="3" name="Picture 2"/>
        <cNvPicPr>
          <a:picLocks noChangeAspect="1"/>
        </cNvPicPr>
      </nvPicPr>
      <blipFill>
        <a:blip r:embed="rId2"/>
        <a:stretch>
          <a:fillRect/>
        </a:stretch>
      </blipFill>
      <spPr>
        <a:xfrm>
          <a:off x="0" y="0"/>
          <a:ext cx="2390588" cy="546399"/>
        </a:xfrm>
        <a:prstGeom prst="rect">
          <avLst/>
        </a:prstGeom>
        <a:ln>
          <a:prstDash val="solid"/>
        </a:ln>
      </spPr>
    </pic>
    <clientData/>
  </twoCellAnchor>
</wsDr>
</file>

<file path=xl/drawings/drawing20.xml><?xml version="1.0" encoding="utf-8"?>
<wsDr xmlns:a="http://schemas.openxmlformats.org/drawingml/2006/main" xmlns:r="http://schemas.openxmlformats.org/officeDocument/2006/relationships" xmlns="http://schemas.openxmlformats.org/drawingml/2006/spreadsheetDrawing">
  <twoCellAnchor editAs="oneCell">
    <from>
      <col>1</col>
      <colOff>520363</colOff>
      <row>22</row>
      <rowOff>179144</rowOff>
    </from>
    <to>
      <col>1</col>
      <colOff>1417067</colOff>
      <row>27</row>
      <rowOff>180415</rowOff>
    </to>
    <pic>
      <nvPicPr>
        <cNvPr id="2" name="Picture 1"/>
        <cNvPicPr>
          <a:picLocks noChangeAspect="1"/>
        </cNvPicPr>
      </nvPicPr>
      <blipFill>
        <a:blip cstate="print" r:embed="rId1"/>
        <a:stretch>
          <a:fillRect/>
        </a:stretch>
      </blipFill>
      <spPr>
        <a:xfrm>
          <a:off x="3493657" y="3070262"/>
          <a:ext cx="896704" cy="935093"/>
        </a:xfrm>
        <a:prstGeom prst="rect">
          <avLst/>
        </a:prstGeom>
        <a:ln>
          <a:prstDash val="solid"/>
        </a:ln>
      </spPr>
    </pic>
    <clientData/>
  </twoCellAnchor>
  <twoCellAnchor editAs="oneCell">
    <from>
      <col>0</col>
      <colOff>0</colOff>
      <row>0</row>
      <rowOff>0</rowOff>
    </from>
    <to>
      <col>0</col>
      <colOff>2390588</colOff>
      <row>0</row>
      <rowOff>546399</rowOff>
    </to>
    <pic>
      <nvPicPr>
        <cNvPr id="3" name="Picture 2"/>
        <cNvPicPr>
          <a:picLocks noChangeAspect="1"/>
        </cNvPicPr>
      </nvPicPr>
      <blipFill>
        <a:blip r:embed="rId2"/>
        <a:stretch>
          <a:fillRect/>
        </a:stretch>
      </blipFill>
      <spPr>
        <a:xfrm>
          <a:off x="0" y="0"/>
          <a:ext cx="2390588" cy="546399"/>
        </a:xfrm>
        <a:prstGeom prst="rect">
          <avLst/>
        </a:prstGeom>
        <a:ln>
          <a:prstDash val="solid"/>
        </a:ln>
      </spPr>
    </pic>
    <clientData/>
  </twoCellAnchor>
</wsDr>
</file>

<file path=xl/drawings/drawing21.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2.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2" name="Picture 1"/>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3.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2" name="Picture 1"/>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4.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5.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1</row>
      <rowOff>68281</rowOff>
    </to>
    <pic>
      <nvPicPr>
        <cNvPr id="2" name="Picture 1"/>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6.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2" name="Picture 1"/>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27.xml><?xml version="1.0" encoding="utf-8"?>
<wsDr xmlns:a="http://schemas.openxmlformats.org/drawingml/2006/main" xmlns:r="http://schemas.openxmlformats.org/officeDocument/2006/relationships" xmlns="http://schemas.openxmlformats.org/drawingml/2006/spreadsheetDrawing">
  <twoCellAnchor editAs="oneCell">
    <from>
      <col>3</col>
      <colOff>3120570</colOff>
      <row>4</row>
      <rowOff>177735</rowOff>
    </from>
    <to>
      <col>3</col>
      <colOff>4374241</colOff>
      <row>10</row>
      <rowOff>110085</rowOff>
    </to>
    <pic>
      <nvPicPr>
        <cNvPr id="2" name="Picture 1"/>
        <cNvPicPr>
          <a:picLocks noChangeAspect="1"/>
        </cNvPicPr>
      </nvPicPr>
      <blipFill>
        <a:blip cstate="print" r:embed="rId1"/>
        <a:stretch>
          <a:fillRect/>
        </a:stretch>
      </blipFill>
      <spPr>
        <a:xfrm>
          <a:off x="9506856" y="1230021"/>
          <a:ext cx="1253671" cy="1229564"/>
        </a:xfrm>
        <a:prstGeom prst="rect">
          <avLst/>
        </a:prstGeom>
        <a:ln>
          <a:prstDash val="solid"/>
        </a:ln>
      </spPr>
    </pic>
    <clientData/>
  </twoCellAnchor>
  <twoCellAnchor editAs="oneCell">
    <from>
      <col>0</col>
      <colOff>0</colOff>
      <row>0</row>
      <rowOff>0</rowOff>
    </from>
    <to>
      <col>0</col>
      <colOff>2248647</colOff>
      <row>0</row>
      <rowOff>513957</rowOff>
    </to>
    <pic>
      <nvPicPr>
        <cNvPr id="3" name="Picture 2"/>
        <cNvPicPr>
          <a:picLocks noChangeAspect="1"/>
        </cNvPicPr>
      </nvPicPr>
      <blipFill>
        <a:blip r:embed="rId2"/>
        <a:stretch>
          <a:fillRect/>
        </a:stretch>
      </blipFill>
      <spPr>
        <a:xfrm>
          <a:off x="0" y="0"/>
          <a:ext cx="2248647" cy="513957"/>
        </a:xfrm>
        <a:prstGeom prst="rect">
          <avLst/>
        </a:prstGeom>
        <a:ln>
          <a:prstDash val="solid"/>
        </a:ln>
      </spPr>
    </pic>
    <clientData/>
  </twoCellAnchor>
</wsDr>
</file>

<file path=xl/drawings/drawing28.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2390588</colOff>
      <row>0</row>
      <rowOff>546399</rowOff>
    </to>
    <pic>
      <nvPicPr>
        <cNvPr id="2" name="Picture 1"/>
        <cNvPicPr>
          <a:picLocks noChangeAspect="1"/>
        </cNvPicPr>
      </nvPicPr>
      <blipFill>
        <a:blip r:embed="rId1"/>
        <a:stretch>
          <a:fillRect/>
        </a:stretch>
      </blipFill>
      <spPr>
        <a:xfrm>
          <a:off x="736600" y="0"/>
          <a:ext cx="2390588" cy="546399"/>
        </a:xfrm>
        <a:prstGeom prst="rect">
          <avLst/>
        </a:prstGeom>
        <a:ln>
          <a:prstDash val="solid"/>
        </a:ln>
      </spPr>
    </pic>
    <clientData/>
  </twoCellAnchor>
</wsDr>
</file>

<file path=xl/drawings/drawing29.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2</col>
      <colOff>1128059</colOff>
      <row>0</row>
      <rowOff>546399</rowOff>
    </to>
    <pic>
      <nvPicPr>
        <cNvPr id="3" name="Picture 2"/>
        <cNvPicPr>
          <a:picLocks noChangeAspect="1"/>
        </cNvPicPr>
      </nvPicPr>
      <blipFill>
        <a:blip r:embed="rId1"/>
        <a:stretch>
          <a:fillRect/>
        </a:stretch>
      </blipFill>
      <spPr>
        <a:xfrm>
          <a:off x="0" y="0"/>
          <a:ext cx="2390588" cy="546399"/>
        </a:xfrm>
        <a:prstGeom prst="rect">
          <avLst/>
        </a:prstGeom>
        <a:ln>
          <a:prstDash val="solid"/>
        </a:ln>
      </spPr>
    </pic>
    <clientData/>
  </twoCellAnchor>
</wsDr>
</file>

<file path=xl/drawings/drawing30.xml><?xml version="1.0" encoding="utf-8"?>
<wsDr xmlns:a="http://schemas.openxmlformats.org/drawingml/2006/main" xmlns:r="http://schemas.openxmlformats.org/officeDocument/2006/relationships" xmlns="http://schemas.openxmlformats.org/drawingml/2006/spreadsheetDrawing">
  <twoCellAnchor editAs="oneCell">
    <from>
      <col>0</col>
      <colOff>0</colOff>
      <row>0</row>
      <rowOff>0</rowOff>
    </from>
    <to>
      <col>0</col>
      <colOff>2379107</colOff>
      <row>0</row>
      <rowOff>550209</rowOff>
    </to>
    <pic>
      <nvPicPr>
        <cNvPr id="2" name="Picture 1"/>
        <cNvPicPr>
          <a:picLocks noChangeAspect="1"/>
        </cNvPicPr>
      </nvPicPr>
      <blipFill>
        <a:blip r:embed="rId1"/>
        <a:stretch>
          <a:fillRect/>
        </a:stretch>
      </blipFill>
      <spPr>
        <a:xfrm>
          <a:off x="0" y="0"/>
          <a:ext cx="2382917" cy="554019"/>
        </a:xfrm>
        <a:prstGeom prst="rect">
          <avLst/>
        </a:prstGeom>
        <a:ln>
          <a:prstDash val="solid"/>
        </a:ln>
      </spPr>
    </pic>
    <clientData/>
  </twoCellAnchor>
</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_rels/sheet13.xml.rels><Relationships xmlns="http://schemas.openxmlformats.org/package/2006/relationships"><Relationship Type="http://schemas.openxmlformats.org/officeDocument/2006/relationships/drawing" Target="/xl/drawings/drawing13.xml" Id="rId1" /></Relationships>
</file>

<file path=xl/worksheets/_rels/sheet14.xml.rels><Relationships xmlns="http://schemas.openxmlformats.org/package/2006/relationships"><Relationship Type="http://schemas.openxmlformats.org/officeDocument/2006/relationships/drawing" Target="/xl/drawings/drawing14.xml" Id="rId1" /></Relationships>
</file>

<file path=xl/worksheets/_rels/sheet15.xml.rels><Relationships xmlns="http://schemas.openxmlformats.org/package/2006/relationships"><Relationship Type="http://schemas.openxmlformats.org/officeDocument/2006/relationships/drawing" Target="/xl/drawings/drawing15.xml" Id="rId1" /></Relationships>
</file>

<file path=xl/worksheets/_rels/sheet16.xml.rels><Relationships xmlns="http://schemas.openxmlformats.org/package/2006/relationships"><Relationship Type="http://schemas.openxmlformats.org/officeDocument/2006/relationships/drawing" Target="/xl/drawings/drawing16.xml" Id="rId1" /></Relationships>
</file>

<file path=xl/worksheets/_rels/sheet17.xml.rels><Relationships xmlns="http://schemas.openxmlformats.org/package/2006/relationships"><Relationship Type="http://schemas.openxmlformats.org/officeDocument/2006/relationships/drawing" Target="/xl/drawings/drawing17.xml" Id="rId1" /></Relationships>
</file>

<file path=xl/worksheets/_rels/sheet18.xml.rels><Relationships xmlns="http://schemas.openxmlformats.org/package/2006/relationships"><Relationship Type="http://schemas.openxmlformats.org/officeDocument/2006/relationships/drawing" Target="/xl/drawings/drawing18.xml" Id="rId1" /></Relationships>
</file>

<file path=xl/worksheets/_rels/sheet19.xml.rels><Relationships xmlns="http://schemas.openxmlformats.org/package/2006/relationships"><Relationship Type="http://schemas.openxmlformats.org/officeDocument/2006/relationships/drawing" Target="/xl/drawings/drawing19.xml" Id="rId1" /></Relationships>
</file>

<file path=xl/worksheets/_rels/sheet20.xml.rels><Relationships xmlns="http://schemas.openxmlformats.org/package/2006/relationships"><Relationship Type="http://schemas.openxmlformats.org/officeDocument/2006/relationships/drawing" Target="/xl/drawings/drawing20.xml" Id="rId1" /></Relationships>
</file>

<file path=xl/worksheets/_rels/sheet21.xml.rels><Relationships xmlns="http://schemas.openxmlformats.org/package/2006/relationships"><Relationship Type="http://schemas.openxmlformats.org/officeDocument/2006/relationships/drawing" Target="/xl/drawings/drawing21.xml" Id="rId1" /></Relationships>
</file>

<file path=xl/worksheets/_rels/sheet22.xml.rels><Relationships xmlns="http://schemas.openxmlformats.org/package/2006/relationships"><Relationship Type="http://schemas.openxmlformats.org/officeDocument/2006/relationships/drawing" Target="/xl/drawings/drawing22.xml" Id="rId1" /></Relationships>
</file>

<file path=xl/worksheets/_rels/sheet23.xml.rels><Relationships xmlns="http://schemas.openxmlformats.org/package/2006/relationships"><Relationship Type="http://schemas.openxmlformats.org/officeDocument/2006/relationships/drawing" Target="/xl/drawings/drawing23.xml" Id="rId1" /></Relationships>
</file>

<file path=xl/worksheets/_rels/sheet24.xml.rels><Relationships xmlns="http://schemas.openxmlformats.org/package/2006/relationships"><Relationship Type="http://schemas.openxmlformats.org/officeDocument/2006/relationships/drawing" Target="/xl/drawings/drawing24.xml" Id="rId1" /></Relationships>
</file>

<file path=xl/worksheets/_rels/sheet25.xml.rels><Relationships xmlns="http://schemas.openxmlformats.org/package/2006/relationships"><Relationship Type="http://schemas.openxmlformats.org/officeDocument/2006/relationships/drawing" Target="/xl/drawings/drawing25.xml" Id="rId1" /></Relationships>
</file>

<file path=xl/worksheets/_rels/sheet26.xml.rels><Relationships xmlns="http://schemas.openxmlformats.org/package/2006/relationships"><Relationship Type="http://schemas.openxmlformats.org/officeDocument/2006/relationships/drawing" Target="/xl/drawings/drawing26.xml" Id="rId1" /></Relationships>
</file>

<file path=xl/worksheets/_rels/sheet28.xml.rels><Relationships xmlns="http://schemas.openxmlformats.org/package/2006/relationships"><Relationship Type="http://schemas.openxmlformats.org/officeDocument/2006/relationships/drawing" Target="/xl/drawings/drawing27.xml" Id="rId1" /></Relationships>
</file>

<file path=xl/worksheets/_rels/sheet29.xml.rels><Relationships xmlns="http://schemas.openxmlformats.org/package/2006/relationships"><Relationship Type="http://schemas.openxmlformats.org/officeDocument/2006/relationships/drawing" Target="/xl/drawings/drawing28.xml" Id="rId1" /></Relationships>
</file>

<file path=xl/worksheets/_rels/sheet30.xml.rels><Relationships xmlns="http://schemas.openxmlformats.org/package/2006/relationships"><Relationship Type="http://schemas.openxmlformats.org/officeDocument/2006/relationships/drawing" Target="/xl/drawings/drawing29.xml" Id="rId1" /></Relationships>
</file>

<file path=xl/worksheets/_rels/sheet31.xml.rels><Relationships xmlns="http://schemas.openxmlformats.org/package/2006/relationships"><Relationship Type="http://schemas.openxmlformats.org/officeDocument/2006/relationships/drawing" Target="/xl/drawings/drawing30.xml" Id="rId1" /></Relationships>
</file>

<file path=xl/worksheets/sheet1.xml><?xml version="1.0" encoding="utf-8"?>
<worksheet xmlns:r="http://schemas.openxmlformats.org/officeDocument/2006/relationships" xmlns="http://schemas.openxmlformats.org/spreadsheetml/2006/main">
  <sheetPr codeName="Sheet2">
    <tabColor rgb="FF00B0F0"/>
    <outlinePr summaryBelow="1" summaryRight="1"/>
    <pageSetUpPr/>
  </sheetPr>
  <dimension ref="A1:I3"/>
  <sheetViews>
    <sheetView showGridLines="0" workbookViewId="0">
      <selection activeCell="G14" sqref="G14"/>
    </sheetView>
  </sheetViews>
  <sheetFormatPr baseColWidth="10" defaultColWidth="8.83203125" defaultRowHeight="15"/>
  <cols>
    <col width="29.33203125" customWidth="1" style="516" min="1" max="1"/>
    <col width="43.83203125" customWidth="1" style="516" min="7" max="7"/>
    <col width="17.5" customWidth="1" style="516" min="8" max="8"/>
    <col width="16.1640625" customWidth="1" style="516" min="9" max="9"/>
  </cols>
  <sheetData>
    <row r="1">
      <c r="A1" s="509" t="n"/>
      <c r="B1" s="512" t="inlineStr">
        <is>
          <t>STANDARD CALCULATION TOOL</t>
        </is>
      </c>
      <c r="C1" s="513" t="n"/>
      <c r="D1" s="513" t="n"/>
      <c r="E1" s="513" t="n"/>
      <c r="F1" s="513" t="n"/>
      <c r="G1" s="514" t="n"/>
      <c r="H1" s="141" t="inlineStr">
        <is>
          <t>Doc.No.:-</t>
        </is>
      </c>
      <c r="I1" s="141" t="inlineStr">
        <is>
          <t xml:space="preserve">FRM/SD/01 </t>
        </is>
      </c>
    </row>
    <row r="2">
      <c r="A2" s="510" t="n"/>
      <c r="B2" s="515" t="n"/>
      <c r="G2" s="517" t="n"/>
      <c r="H2" s="141" t="inlineStr">
        <is>
          <t>Rev.No./Date:-</t>
        </is>
      </c>
      <c r="I2" s="142" t="inlineStr">
        <is>
          <t>00</t>
        </is>
      </c>
    </row>
    <row r="3" ht="25.5" customHeight="1" s="516">
      <c r="A3" s="511" t="n"/>
      <c r="B3" s="518" t="n"/>
      <c r="C3" s="519" t="n"/>
      <c r="D3" s="519" t="n"/>
      <c r="E3" s="519" t="n"/>
      <c r="F3" s="519" t="n"/>
      <c r="G3" s="520" t="n"/>
      <c r="H3" s="143" t="inlineStr">
        <is>
          <t>Origin Date:-</t>
        </is>
      </c>
      <c r="I3" s="143" t="inlineStr">
        <is>
          <t>01.09.2022</t>
        </is>
      </c>
    </row>
  </sheetData>
  <mergeCells count="2">
    <mergeCell ref="A1:A3"/>
    <mergeCell ref="B1:G3"/>
  </mergeCells>
  <pageMargins left="0.7" right="0.7" top="0.75" bottom="0.75" header="0.3" footer="0.3"/>
  <drawing r:id="rId1"/>
</worksheet>
</file>

<file path=xl/worksheets/sheet2.xml><?xml version="1.0" encoding="utf-8"?>
<worksheet xmlns:r="http://schemas.openxmlformats.org/officeDocument/2006/relationships" xmlns="http://schemas.openxmlformats.org/spreadsheetml/2006/main">
  <sheetPr codeName="Sheet1">
    <tabColor theme="7"/>
    <outlinePr summaryBelow="1" summaryRight="1"/>
    <pageSetUpPr fitToPage="1"/>
  </sheetPr>
  <dimension ref="A1:CP80"/>
  <sheetViews>
    <sheetView showGridLines="0" zoomScale="70" zoomScaleNormal="70" workbookViewId="0">
      <pane xSplit="6" topLeftCell="G1" activePane="topRight" state="frozen"/>
      <selection activeCell="A3" sqref="A3"/>
      <selection pane="topRight" activeCell="H5" sqref="H5"/>
    </sheetView>
  </sheetViews>
  <sheetFormatPr baseColWidth="10" defaultColWidth="8.6640625" defaultRowHeight="15"/>
  <cols>
    <col width="52.83203125" customWidth="1" style="1" min="1" max="1"/>
    <col width="29.6640625" bestFit="1" customWidth="1" style="1" min="2" max="2"/>
    <col width="14.5" customWidth="1" style="1" min="3" max="3"/>
    <col width="28.5" bestFit="1" customWidth="1" style="1" min="4" max="4"/>
    <col width="17.5" bestFit="1" customWidth="1" style="1" min="5" max="5"/>
    <col width="14.5" customWidth="1" style="1" min="6" max="6"/>
    <col width="16.83203125" customWidth="1" style="1" min="7" max="7"/>
    <col width="8.5" customWidth="1" style="222" min="9" max="9"/>
    <col width="16.5" customWidth="1" style="222" min="10" max="10"/>
    <col hidden="1" width="18.5" customWidth="1" style="222" min="11" max="11"/>
    <col hidden="1" width="12.6640625" customWidth="1" style="222" min="12" max="12"/>
    <col width="27.5" bestFit="1" customWidth="1" style="222" min="13" max="13"/>
    <col width="48.33203125" bestFit="1" customWidth="1" style="222" min="14" max="14"/>
    <col hidden="1" width="11.5" customWidth="1" style="222" min="15" max="15"/>
    <col hidden="1" width="6.5" customWidth="1" style="222" min="16" max="16"/>
    <col hidden="1" width="11.6640625" customWidth="1" style="222" min="17" max="17"/>
    <col width="9.33203125" customWidth="1" style="222" min="18" max="18"/>
    <col hidden="1" width="10.6640625" customWidth="1" style="222" min="19" max="19"/>
    <col hidden="1" width="12.5" customWidth="1" style="222" min="20" max="20"/>
    <col hidden="1" width="9.5" customWidth="1" style="222" min="21" max="21"/>
    <col hidden="1" width="11.6640625" customWidth="1" style="222" min="22" max="22"/>
    <col hidden="1" width="11.5" customWidth="1" style="222" min="23" max="23"/>
    <col hidden="1" width="8.6640625" customWidth="1" style="222" min="24" max="24"/>
    <col hidden="1" width="11.33203125" customWidth="1" style="222" min="25" max="25"/>
    <col width="8.6640625" customWidth="1" style="222" min="26" max="26"/>
    <col width="9.33203125" customWidth="1" style="222" min="27" max="27"/>
    <col width="14.33203125" customWidth="1" style="222" min="28" max="28"/>
    <col width="8.6640625" customWidth="1" style="222" min="29" max="29"/>
    <col width="8.5" customWidth="1" style="222" min="30" max="30"/>
    <col width="16.5" customWidth="1" style="222" min="31" max="31"/>
    <col hidden="1" width="18.5" customWidth="1" style="222" min="32" max="32"/>
    <col hidden="1" width="12.6640625" customWidth="1" style="222" min="33" max="33"/>
    <col width="27.5" bestFit="1" customWidth="1" style="222" min="34" max="34"/>
    <col width="48.33203125" bestFit="1" customWidth="1" style="222" min="35" max="35"/>
    <col hidden="1" width="11.5" customWidth="1" style="222" min="36" max="36"/>
    <col hidden="1" width="6.5" customWidth="1" style="222" min="37" max="37"/>
    <col hidden="1" width="11.6640625" customWidth="1" style="222" min="38" max="38"/>
    <col width="9.33203125" customWidth="1" style="222" min="39" max="39"/>
    <col hidden="1" width="10.6640625" customWidth="1" style="222" min="40" max="40"/>
    <col hidden="1" width="12.5" customWidth="1" style="222" min="41" max="41"/>
    <col hidden="1" width="9.5" customWidth="1" style="222" min="42" max="42"/>
    <col hidden="1" width="11.6640625" customWidth="1" style="222" min="43" max="43"/>
    <col hidden="1" width="11.5" customWidth="1" style="222" min="44" max="44"/>
    <col hidden="1" width="8.6640625" customWidth="1" style="222" min="45" max="45"/>
    <col hidden="1" width="11.33203125" customWidth="1" style="222" min="46" max="46"/>
    <col width="8.6640625" customWidth="1" style="222" min="47" max="47"/>
    <col width="9.33203125" customWidth="1" style="222" min="48" max="48"/>
    <col width="14.33203125" customWidth="1" style="222" min="49" max="49"/>
    <col width="8.1640625" customWidth="1" style="222" min="50" max="50"/>
    <col width="8.5" customWidth="1" style="222" min="51" max="51"/>
    <col width="16.5" customWidth="1" style="222" min="52" max="52"/>
    <col hidden="1" width="18.5" customWidth="1" style="222" min="53" max="53"/>
    <col hidden="1" width="12.6640625" customWidth="1" style="222" min="54" max="54"/>
    <col width="27.5" bestFit="1" customWidth="1" style="222" min="55" max="55"/>
    <col width="48.33203125" bestFit="1" customWidth="1" style="222" min="56" max="56"/>
    <col hidden="1" width="11.5" customWidth="1" style="222" min="57" max="57"/>
    <col hidden="1" width="6.5" customWidth="1" style="222" min="58" max="58"/>
    <col hidden="1" width="11.6640625" customWidth="1" style="222" min="59" max="59"/>
    <col width="9.33203125" customWidth="1" style="222" min="60" max="60"/>
    <col hidden="1" width="10.6640625" customWidth="1" style="222" min="61" max="61"/>
    <col hidden="1" width="12.5" customWidth="1" style="222" min="62" max="62"/>
    <col hidden="1" width="9.5" customWidth="1" style="222" min="63" max="63"/>
    <col hidden="1" width="11.6640625" customWidth="1" style="222" min="64" max="64"/>
    <col hidden="1" width="11.5" customWidth="1" style="222" min="65" max="65"/>
    <col hidden="1" width="8.6640625" customWidth="1" style="222" min="66" max="66"/>
    <col hidden="1" width="11.33203125" customWidth="1" style="222" min="67" max="67"/>
    <col width="8.6640625" customWidth="1" style="222" min="68" max="68"/>
    <col width="9.33203125" customWidth="1" style="222" min="69" max="69"/>
    <col width="14.33203125" customWidth="1" style="222" min="70" max="70"/>
    <col width="8.6640625" customWidth="1" style="222" min="71" max="71"/>
    <col width="8.5" customWidth="1" style="222" min="72" max="72"/>
    <col width="16.5" customWidth="1" style="222" min="73" max="73"/>
    <col hidden="1" width="18.5" customWidth="1" style="222" min="74" max="74"/>
    <col hidden="1" width="12.6640625" customWidth="1" style="222" min="75" max="75"/>
    <col width="27.5" bestFit="1" customWidth="1" style="222" min="76" max="76"/>
    <col width="26.6640625" bestFit="1" customWidth="1" style="222" min="77" max="77"/>
    <col hidden="1" width="11.5" customWidth="1" style="222" min="78" max="78"/>
    <col hidden="1" width="6.5" customWidth="1" style="222" min="79" max="79"/>
    <col hidden="1" width="11.6640625" customWidth="1" style="222" min="80" max="80"/>
    <col width="9.33203125" customWidth="1" style="222" min="81" max="81"/>
    <col hidden="1" width="10.6640625" customWidth="1" style="222" min="82" max="82"/>
    <col hidden="1" width="12.5" customWidth="1" style="222" min="83" max="83"/>
    <col hidden="1" width="9.5" customWidth="1" style="222" min="84" max="84"/>
    <col hidden="1" width="11.6640625" customWidth="1" style="222" min="85" max="85"/>
    <col hidden="1" width="11.5" customWidth="1" style="222" min="86" max="86"/>
    <col hidden="1" width="8.6640625" customWidth="1" style="222" min="87" max="87"/>
    <col hidden="1" width="11.33203125" customWidth="1" style="222" min="88" max="88"/>
    <col width="8.6640625" customWidth="1" style="222" min="89" max="89"/>
    <col width="9.33203125" customWidth="1" style="222" min="90" max="90"/>
    <col width="14.33203125" customWidth="1" style="222" min="91" max="91"/>
    <col hidden="1" width="13" customWidth="1" style="516" min="94" max="94"/>
  </cols>
  <sheetData>
    <row r="1" ht="63.5" customFormat="1" customHeight="1" s="24">
      <c r="A1" s="1" t="n"/>
      <c r="B1" s="144">
        <f>'Master List'!$F$2</f>
        <v/>
      </c>
      <c r="D1" s="1" t="n"/>
      <c r="E1" s="1" t="n"/>
      <c r="F1" s="1" t="n"/>
      <c r="G1" s="1" t="n"/>
      <c r="I1" s="222" t="n"/>
      <c r="J1" s="222" t="n"/>
      <c r="K1" s="222" t="n"/>
      <c r="L1" s="222" t="n"/>
      <c r="M1" s="222" t="n"/>
      <c r="N1" s="222" t="n"/>
      <c r="O1" s="222" t="n"/>
      <c r="P1" s="222" t="n"/>
      <c r="Q1" s="222" t="n"/>
      <c r="R1" s="222" t="n"/>
      <c r="S1" s="222" t="n"/>
      <c r="T1" s="222" t="n"/>
      <c r="U1" s="222" t="n"/>
      <c r="V1" s="222" t="n"/>
      <c r="W1" s="222" t="n"/>
      <c r="X1" s="222" t="n"/>
      <c r="Y1" s="222" t="n"/>
      <c r="Z1" s="222" t="n"/>
      <c r="AA1" s="222" t="n"/>
      <c r="AB1" s="222" t="n"/>
      <c r="AC1" s="222" t="n"/>
      <c r="AD1" s="222" t="n"/>
      <c r="AE1" s="222" t="n"/>
      <c r="AF1" s="222" t="n"/>
      <c r="AG1" s="222" t="n"/>
      <c r="AH1" s="222" t="n"/>
      <c r="AI1" s="222" t="n"/>
      <c r="AJ1" s="222" t="n"/>
      <c r="AK1" s="222" t="n"/>
      <c r="AL1" s="222" t="n"/>
      <c r="AM1" s="222" t="n"/>
      <c r="AN1" s="222" t="n"/>
      <c r="AO1" s="222" t="n"/>
      <c r="AP1" s="222" t="n"/>
      <c r="AQ1" s="222" t="n"/>
      <c r="AR1" s="222" t="n"/>
      <c r="AS1" s="222" t="n"/>
      <c r="AT1" s="222" t="n"/>
      <c r="AU1" s="222" t="n"/>
      <c r="AV1" s="222" t="n"/>
      <c r="AW1" s="222" t="n"/>
      <c r="AX1" s="222" t="n"/>
      <c r="AY1" s="222" t="n"/>
      <c r="AZ1" s="222" t="n"/>
      <c r="BA1" s="222" t="n"/>
      <c r="BB1" s="222" t="n"/>
      <c r="BC1" s="222" t="n"/>
      <c r="BD1" s="222" t="n"/>
      <c r="BE1" s="222" t="n"/>
      <c r="BF1" s="222" t="n"/>
      <c r="BG1" s="222" t="n"/>
      <c r="BH1" s="222" t="n"/>
      <c r="BI1" s="222" t="n"/>
      <c r="BJ1" s="222" t="n"/>
      <c r="BK1" s="222" t="n"/>
      <c r="BL1" s="222" t="n"/>
      <c r="BM1" s="222" t="n"/>
      <c r="BN1" s="222" t="n"/>
      <c r="BO1" s="222" t="n"/>
      <c r="BP1" s="222" t="n"/>
      <c r="BQ1" s="222" t="n"/>
      <c r="BR1" s="222" t="n"/>
      <c r="BS1" s="222" t="n"/>
      <c r="BT1" s="222" t="n"/>
      <c r="BU1" s="222" t="n"/>
      <c r="BV1" s="222" t="n"/>
      <c r="BW1" s="222" t="n"/>
      <c r="BX1" s="222" t="n"/>
      <c r="BY1" s="222" t="n"/>
      <c r="BZ1" s="222" t="n"/>
      <c r="CA1" s="222" t="n"/>
      <c r="CB1" s="222" t="n"/>
      <c r="CC1" s="222" t="n"/>
      <c r="CD1" s="222" t="n"/>
      <c r="CE1" s="222" t="n"/>
      <c r="CF1" s="222" t="n"/>
      <c r="CG1" s="222" t="n"/>
      <c r="CH1" s="222" t="n"/>
      <c r="CI1" s="222" t="n"/>
      <c r="CJ1" s="222" t="n"/>
      <c r="CK1" s="222" t="n"/>
      <c r="CL1" s="222" t="n"/>
      <c r="CM1" s="222" t="n"/>
    </row>
    <row r="2" ht="23.75" customFormat="1" customHeight="1" s="24">
      <c r="A2" s="34" t="inlineStr">
        <is>
          <t>Equipment</t>
        </is>
      </c>
      <c r="B2" s="400" t="inlineStr">
        <is>
          <t>Dynamo</t>
        </is>
      </c>
      <c r="D2" s="1" t="n"/>
      <c r="E2" s="1" t="n"/>
      <c r="F2" s="1" t="n"/>
      <c r="G2" s="1" t="n"/>
      <c r="I2" s="222" t="n"/>
      <c r="J2" s="222" t="n"/>
      <c r="K2" s="222" t="n"/>
      <c r="L2" s="222" t="n"/>
      <c r="M2" s="222" t="n"/>
      <c r="N2" s="222" t="n"/>
      <c r="O2" s="222" t="n"/>
      <c r="P2" s="222" t="n"/>
      <c r="Q2" s="222" t="n"/>
      <c r="R2" s="222" t="n"/>
      <c r="S2" s="222" t="n"/>
      <c r="T2" s="222" t="n"/>
      <c r="U2" s="222" t="n"/>
      <c r="V2" s="222" t="n"/>
      <c r="W2" s="222" t="n"/>
      <c r="X2" s="222" t="n"/>
      <c r="Y2" s="222" t="n"/>
      <c r="Z2" s="222" t="n"/>
      <c r="AA2" s="222" t="n"/>
      <c r="AB2" s="222" t="n"/>
      <c r="AC2" s="222" t="n"/>
      <c r="AD2" s="222" t="n"/>
      <c r="AE2" s="222" t="n"/>
      <c r="AF2" s="222" t="n"/>
      <c r="AG2" s="222" t="n"/>
      <c r="AH2" s="222" t="n"/>
      <c r="AI2" s="222" t="n"/>
      <c r="AJ2" s="222" t="n"/>
      <c r="AK2" s="222" t="n"/>
      <c r="AL2" s="222" t="n"/>
      <c r="AM2" s="222" t="n"/>
      <c r="AN2" s="222" t="n"/>
      <c r="AO2" s="222" t="n"/>
      <c r="AP2" s="222" t="n"/>
      <c r="AQ2" s="222" t="n"/>
      <c r="AR2" s="222" t="n"/>
      <c r="AS2" s="222" t="n"/>
      <c r="AT2" s="222" t="n"/>
      <c r="AU2" s="222" t="n"/>
      <c r="AV2" s="222" t="n"/>
      <c r="AW2" s="222" t="n"/>
      <c r="AX2" s="222" t="n"/>
      <c r="AY2" s="222" t="n"/>
      <c r="AZ2" s="222" t="n"/>
      <c r="BA2" s="222" t="n"/>
      <c r="BB2" s="222" t="n"/>
      <c r="BC2" s="222" t="n"/>
      <c r="BD2" s="222" t="n"/>
      <c r="BE2" s="222" t="n"/>
      <c r="BF2" s="222" t="n"/>
      <c r="BG2" s="222" t="n"/>
      <c r="BH2" s="222" t="n"/>
      <c r="BI2" s="222" t="n"/>
      <c r="BJ2" s="222" t="n"/>
      <c r="BK2" s="222" t="n"/>
      <c r="BL2" s="222" t="n"/>
      <c r="BM2" s="222" t="n"/>
      <c r="BN2" s="222" t="n"/>
      <c r="BO2" s="222" t="n"/>
      <c r="BP2" s="222" t="n"/>
      <c r="BQ2" s="222" t="n"/>
      <c r="BR2" s="222" t="n"/>
      <c r="BS2" s="222" t="n"/>
      <c r="BT2" s="222" t="n"/>
      <c r="BU2" s="222" t="n"/>
      <c r="BV2" s="222" t="n"/>
      <c r="BW2" s="222" t="n"/>
      <c r="BX2" s="222" t="n"/>
      <c r="BY2" s="222" t="n"/>
      <c r="BZ2" s="222" t="n"/>
      <c r="CA2" s="222" t="n"/>
      <c r="CB2" s="222" t="n"/>
      <c r="CC2" s="222" t="n"/>
      <c r="CD2" s="222" t="n"/>
      <c r="CE2" s="222" t="n"/>
      <c r="CF2" s="222" t="n"/>
      <c r="CG2" s="222" t="n"/>
      <c r="CH2" s="222" t="n"/>
      <c r="CI2" s="222" t="n"/>
      <c r="CJ2" s="222" t="n"/>
      <c r="CK2" s="222" t="n"/>
      <c r="CL2" s="222" t="n"/>
      <c r="CM2" s="222" t="n"/>
    </row>
    <row r="3" ht="23.75" customFormat="1" customHeight="1" s="24">
      <c r="A3" s="34" t="inlineStr">
        <is>
          <t>Utilization</t>
        </is>
      </c>
      <c r="B3" s="401">
        <f>AB8</f>
        <v/>
      </c>
      <c r="D3" s="1" t="n"/>
      <c r="E3" s="1" t="n"/>
      <c r="F3" s="1" t="n"/>
      <c r="G3" s="1" t="n"/>
      <c r="I3" s="222" t="n"/>
      <c r="J3" s="222" t="n"/>
      <c r="K3" s="222" t="n"/>
      <c r="L3" s="222" t="n"/>
      <c r="M3" s="222" t="n"/>
      <c r="N3" s="222" t="n"/>
      <c r="O3" s="222" t="n"/>
      <c r="P3" s="222" t="n"/>
      <c r="Q3" s="222" t="n"/>
      <c r="R3" s="222" t="n"/>
      <c r="S3" s="222" t="n"/>
      <c r="T3" s="222" t="n"/>
      <c r="U3" s="222" t="n"/>
      <c r="V3" s="222" t="n"/>
      <c r="W3" s="222" t="n"/>
      <c r="X3" s="222" t="n"/>
      <c r="Y3" s="222" t="n"/>
      <c r="Z3" s="222" t="n"/>
      <c r="AA3" s="222" t="n"/>
      <c r="AB3" s="222" t="n"/>
      <c r="AC3" s="222" t="n"/>
      <c r="AD3" s="222" t="n"/>
      <c r="AE3" s="222" t="n"/>
      <c r="AF3" s="222" t="n"/>
      <c r="AG3" s="222" t="n"/>
      <c r="AH3" s="222" t="n"/>
      <c r="AI3" s="222" t="n"/>
      <c r="AJ3" s="222" t="n"/>
      <c r="AK3" s="222" t="n"/>
      <c r="AL3" s="222" t="n"/>
      <c r="AM3" s="222" t="n"/>
      <c r="AN3" s="222" t="n"/>
      <c r="AO3" s="222" t="n"/>
      <c r="AP3" s="222" t="n"/>
      <c r="AQ3" s="222" t="n"/>
      <c r="AR3" s="222" t="n"/>
      <c r="AS3" s="222" t="n"/>
      <c r="AT3" s="222" t="n"/>
      <c r="AU3" s="222" t="n"/>
      <c r="AV3" s="222" t="n"/>
      <c r="AW3" s="222" t="n"/>
      <c r="AX3" s="222" t="n"/>
      <c r="AY3" s="222" t="n"/>
      <c r="AZ3" s="222" t="n"/>
      <c r="BA3" s="222" t="n"/>
      <c r="BB3" s="222" t="n"/>
      <c r="BC3" s="222" t="n"/>
      <c r="BD3" s="222" t="n"/>
      <c r="BE3" s="222" t="n"/>
      <c r="BF3" s="222" t="n"/>
      <c r="BG3" s="222" t="n"/>
      <c r="BH3" s="222" t="n"/>
      <c r="BI3" s="222" t="n"/>
      <c r="BJ3" s="222" t="n"/>
      <c r="BK3" s="222" t="n"/>
      <c r="BL3" s="222" t="n"/>
      <c r="BM3" s="222" t="n"/>
      <c r="BN3" s="222" t="n"/>
      <c r="BO3" s="222" t="n"/>
      <c r="BP3" s="222" t="n"/>
      <c r="BQ3" s="222" t="n"/>
      <c r="BR3" s="222" t="n"/>
      <c r="BS3" s="222" t="n"/>
      <c r="BT3" s="222" t="n"/>
      <c r="BU3" s="222" t="n"/>
      <c r="BV3" s="222" t="n"/>
      <c r="BW3" s="222" t="n"/>
      <c r="BX3" s="222" t="n"/>
      <c r="BY3" s="222" t="n"/>
      <c r="BZ3" s="222" t="n"/>
      <c r="CA3" s="222" t="n"/>
      <c r="CB3" s="222" t="n"/>
      <c r="CC3" s="222" t="n"/>
      <c r="CD3" s="222" t="n"/>
      <c r="CE3" s="222" t="n"/>
      <c r="CF3" s="222" t="n"/>
      <c r="CG3" s="222" t="n"/>
      <c r="CH3" s="222" t="n"/>
      <c r="CI3" s="222" t="n"/>
      <c r="CJ3" s="222" t="n"/>
      <c r="CK3" s="222" t="n"/>
      <c r="CL3" s="222" t="n"/>
      <c r="CM3" s="222" t="n"/>
    </row>
    <row r="4" ht="23.75" customFormat="1" customHeight="1" s="1">
      <c r="A4" s="180" t="inlineStr">
        <is>
          <t>Project name</t>
        </is>
      </c>
      <c r="B4" s="181" t="n"/>
      <c r="I4" s="222" t="n"/>
      <c r="J4" s="222" t="n"/>
      <c r="K4" s="222" t="n"/>
      <c r="L4" s="222" t="n"/>
      <c r="M4" s="222" t="n"/>
      <c r="N4" s="222" t="n"/>
      <c r="O4" s="222" t="n"/>
      <c r="P4" s="222" t="n"/>
      <c r="Q4" s="222" t="n"/>
      <c r="R4" s="222" t="n"/>
      <c r="S4" s="222" t="n"/>
      <c r="T4" s="222" t="n"/>
      <c r="U4" s="222" t="n"/>
      <c r="V4" s="222" t="n"/>
      <c r="W4" s="222" t="n"/>
      <c r="X4" s="222" t="n"/>
      <c r="Y4" s="222" t="n"/>
      <c r="Z4" s="222" t="n"/>
      <c r="AA4" s="222" t="n"/>
      <c r="AB4" s="222" t="n"/>
      <c r="AC4" s="222" t="n"/>
      <c r="AD4" s="222" t="n"/>
      <c r="AE4" s="222" t="n"/>
      <c r="AF4" s="222" t="n"/>
      <c r="AG4" s="222" t="n"/>
      <c r="AH4" s="222" t="n"/>
      <c r="AI4" s="222" t="n"/>
      <c r="AJ4" s="222" t="n"/>
      <c r="AK4" s="222" t="n"/>
      <c r="AL4" s="222" t="n"/>
      <c r="AM4" s="222" t="n"/>
      <c r="AN4" s="222" t="n"/>
      <c r="AO4" s="222" t="n"/>
      <c r="AP4" s="222" t="n"/>
      <c r="AQ4" s="222" t="n"/>
      <c r="AR4" s="222" t="n"/>
      <c r="AS4" s="222" t="n"/>
      <c r="AT4" s="222" t="n"/>
      <c r="AU4" s="222" t="n"/>
      <c r="AV4" s="222" t="n"/>
      <c r="AW4" s="222" t="n"/>
      <c r="AX4" s="222" t="n"/>
      <c r="AY4" s="222" t="n"/>
      <c r="AZ4" s="222" t="n"/>
      <c r="BA4" s="222" t="n"/>
      <c r="BB4" s="222" t="n"/>
      <c r="BC4" s="222" t="n"/>
      <c r="BD4" s="222" t="n"/>
      <c r="BE4" s="222" t="n"/>
      <c r="BF4" s="222" t="n"/>
      <c r="BG4" s="222" t="n"/>
      <c r="BH4" s="222" t="n"/>
      <c r="BI4" s="222" t="n"/>
      <c r="BJ4" s="222" t="n"/>
      <c r="BK4" s="222" t="n"/>
      <c r="BL4" s="222" t="n"/>
      <c r="BM4" s="222" t="n"/>
      <c r="BN4" s="222" t="n"/>
      <c r="BO4" s="222" t="n"/>
      <c r="BP4" s="222" t="n"/>
      <c r="BQ4" s="222" t="n"/>
      <c r="BR4" s="222" t="n"/>
      <c r="BS4" s="222" t="n"/>
      <c r="BT4" s="222" t="n"/>
      <c r="BU4" s="222" t="n"/>
      <c r="BV4" s="222" t="n"/>
      <c r="BW4" s="222" t="n"/>
      <c r="BX4" s="222" t="n"/>
      <c r="BY4" s="222" t="n"/>
      <c r="BZ4" s="222" t="n"/>
      <c r="CA4" s="222" t="n"/>
      <c r="CB4" s="222" t="n"/>
      <c r="CC4" s="222" t="n"/>
      <c r="CD4" s="222" t="n"/>
      <c r="CE4" s="222" t="n"/>
      <c r="CF4" s="222" t="n"/>
      <c r="CG4" s="222" t="n"/>
      <c r="CH4" s="222" t="n"/>
      <c r="CI4" s="222" t="n"/>
      <c r="CJ4" s="222" t="n"/>
      <c r="CK4" s="222" t="n"/>
      <c r="CL4" s="222" t="n"/>
      <c r="CM4" s="222" t="n"/>
    </row>
    <row r="5" ht="23.75" customFormat="1" customHeight="1" s="1">
      <c r="A5" s="180" t="inlineStr">
        <is>
          <t>Revision</t>
        </is>
      </c>
      <c r="B5" s="181" t="n"/>
      <c r="I5" s="524">
        <f>A25</f>
        <v/>
      </c>
      <c r="J5" s="525" t="n"/>
      <c r="K5" s="525" t="n"/>
      <c r="L5" s="525" t="n"/>
      <c r="M5" s="525" t="n"/>
      <c r="N5" s="525" t="n"/>
      <c r="O5" s="525" t="n"/>
      <c r="P5" s="525" t="n"/>
      <c r="Q5" s="525" t="n"/>
      <c r="R5" s="525" t="n"/>
      <c r="S5" s="525" t="n"/>
      <c r="T5" s="525" t="n"/>
      <c r="U5" s="525" t="n"/>
      <c r="V5" s="525" t="n"/>
      <c r="W5" s="525" t="n"/>
      <c r="X5" s="525" t="n"/>
      <c r="Y5" s="525" t="n"/>
      <c r="Z5" s="525" t="n"/>
      <c r="AA5" s="525" t="n"/>
      <c r="AB5" s="526" t="n"/>
      <c r="AC5" s="222" t="n"/>
      <c r="AD5" s="524">
        <f>A26</f>
        <v/>
      </c>
      <c r="AE5" s="525" t="n"/>
      <c r="AF5" s="525" t="n"/>
      <c r="AG5" s="525" t="n"/>
      <c r="AH5" s="525" t="n"/>
      <c r="AI5" s="525" t="n"/>
      <c r="AJ5" s="525" t="n"/>
      <c r="AK5" s="525" t="n"/>
      <c r="AL5" s="525" t="n"/>
      <c r="AM5" s="525" t="n"/>
      <c r="AN5" s="525" t="n"/>
      <c r="AO5" s="525" t="n"/>
      <c r="AP5" s="525" t="n"/>
      <c r="AQ5" s="525" t="n"/>
      <c r="AR5" s="525" t="n"/>
      <c r="AS5" s="525" t="n"/>
      <c r="AT5" s="525" t="n"/>
      <c r="AU5" s="525" t="n"/>
      <c r="AV5" s="525" t="n"/>
      <c r="AW5" s="526" t="n"/>
      <c r="AX5" s="222" t="n"/>
      <c r="AY5" s="524">
        <f>A27</f>
        <v/>
      </c>
      <c r="AZ5" s="525" t="n"/>
      <c r="BA5" s="525" t="n"/>
      <c r="BB5" s="525" t="n"/>
      <c r="BC5" s="525" t="n"/>
      <c r="BD5" s="525" t="n"/>
      <c r="BE5" s="525" t="n"/>
      <c r="BF5" s="525" t="n"/>
      <c r="BG5" s="525" t="n"/>
      <c r="BH5" s="525" t="n"/>
      <c r="BI5" s="525" t="n"/>
      <c r="BJ5" s="525" t="n"/>
      <c r="BK5" s="525" t="n"/>
      <c r="BL5" s="525" t="n"/>
      <c r="BM5" s="525" t="n"/>
      <c r="BN5" s="525" t="n"/>
      <c r="BO5" s="525" t="n"/>
      <c r="BP5" s="525" t="n"/>
      <c r="BQ5" s="525" t="n"/>
      <c r="BR5" s="526" t="n"/>
      <c r="BS5" s="222" t="n"/>
      <c r="BT5" s="524">
        <f>A28</f>
        <v/>
      </c>
      <c r="BU5" s="525" t="n"/>
      <c r="BV5" s="525" t="n"/>
      <c r="BW5" s="525" t="n"/>
      <c r="BX5" s="525" t="n"/>
      <c r="BY5" s="525" t="n"/>
      <c r="BZ5" s="525" t="n"/>
      <c r="CA5" s="525" t="n"/>
      <c r="CB5" s="525" t="n"/>
      <c r="CC5" s="525" t="n"/>
      <c r="CD5" s="525" t="n"/>
      <c r="CE5" s="525" t="n"/>
      <c r="CF5" s="525" t="n"/>
      <c r="CG5" s="525" t="n"/>
      <c r="CH5" s="525" t="n"/>
      <c r="CI5" s="525" t="n"/>
      <c r="CJ5" s="525" t="n"/>
      <c r="CK5" s="525" t="n"/>
      <c r="CL5" s="525" t="n"/>
      <c r="CM5" s="526" t="n"/>
    </row>
    <row r="6" ht="18" customFormat="1" customHeight="1" s="1">
      <c r="I6" s="527" t="inlineStr">
        <is>
          <t>S.No</t>
        </is>
      </c>
      <c r="J6" s="527" t="n"/>
      <c r="K6" s="527" t="n"/>
      <c r="L6" s="527" t="n"/>
      <c r="M6" s="521" t="inlineStr">
        <is>
          <t>Cycles / Hour</t>
        </is>
      </c>
      <c r="N6" s="522" t="n"/>
      <c r="O6" s="522" t="n"/>
      <c r="P6" s="522" t="n"/>
      <c r="Q6" s="522" t="n"/>
      <c r="R6" s="522" t="n"/>
      <c r="S6" s="522" t="n"/>
      <c r="T6" s="522" t="n"/>
      <c r="U6" s="522" t="n"/>
      <c r="V6" s="522" t="n"/>
      <c r="W6" s="522" t="n"/>
      <c r="X6" s="522" t="n"/>
      <c r="Y6" s="522" t="n"/>
      <c r="Z6" s="522" t="n"/>
      <c r="AA6" s="523" t="n"/>
      <c r="AB6" s="224">
        <f>3600/AB7</f>
        <v/>
      </c>
      <c r="AC6" s="222" t="n"/>
      <c r="AD6" s="527" t="inlineStr">
        <is>
          <t>S.No</t>
        </is>
      </c>
      <c r="AE6" s="527" t="n"/>
      <c r="AF6" s="527" t="n"/>
      <c r="AG6" s="527" t="n"/>
      <c r="AH6" s="521" t="inlineStr">
        <is>
          <t>Cycles / Hour</t>
        </is>
      </c>
      <c r="AI6" s="522" t="n"/>
      <c r="AJ6" s="522" t="n"/>
      <c r="AK6" s="522" t="n"/>
      <c r="AL6" s="522" t="n"/>
      <c r="AM6" s="522" t="n"/>
      <c r="AN6" s="522" t="n"/>
      <c r="AO6" s="522" t="n"/>
      <c r="AP6" s="522" t="n"/>
      <c r="AQ6" s="522" t="n"/>
      <c r="AR6" s="522" t="n"/>
      <c r="AS6" s="522" t="n"/>
      <c r="AT6" s="522" t="n"/>
      <c r="AU6" s="522" t="n"/>
      <c r="AV6" s="523" t="n"/>
      <c r="AW6" s="224">
        <f>3600/AW7</f>
        <v/>
      </c>
      <c r="AX6" s="222" t="n"/>
      <c r="AY6" s="527" t="inlineStr">
        <is>
          <t>S.No</t>
        </is>
      </c>
      <c r="AZ6" s="527" t="n"/>
      <c r="BA6" s="527" t="n"/>
      <c r="BB6" s="527" t="n"/>
      <c r="BC6" s="521" t="inlineStr">
        <is>
          <t>Cycles / Hour</t>
        </is>
      </c>
      <c r="BD6" s="522" t="n"/>
      <c r="BE6" s="522" t="n"/>
      <c r="BF6" s="522" t="n"/>
      <c r="BG6" s="522" t="n"/>
      <c r="BH6" s="522" t="n"/>
      <c r="BI6" s="522" t="n"/>
      <c r="BJ6" s="522" t="n"/>
      <c r="BK6" s="522" t="n"/>
      <c r="BL6" s="522" t="n"/>
      <c r="BM6" s="522" t="n"/>
      <c r="BN6" s="522" t="n"/>
      <c r="BO6" s="522" t="n"/>
      <c r="BP6" s="522" t="n"/>
      <c r="BQ6" s="523" t="n"/>
      <c r="BR6" s="224">
        <f>3600/BR7</f>
        <v/>
      </c>
      <c r="BS6" s="222" t="n"/>
      <c r="BT6" s="527" t="inlineStr">
        <is>
          <t>S.No</t>
        </is>
      </c>
      <c r="BU6" s="527" t="n"/>
      <c r="BV6" s="527" t="n"/>
      <c r="BW6" s="527" t="n"/>
      <c r="BX6" s="521" t="inlineStr">
        <is>
          <t>Cycles / Hour</t>
        </is>
      </c>
      <c r="BY6" s="522" t="n"/>
      <c r="BZ6" s="522" t="n"/>
      <c r="CA6" s="522" t="n"/>
      <c r="CB6" s="522" t="n"/>
      <c r="CC6" s="522" t="n"/>
      <c r="CD6" s="522" t="n"/>
      <c r="CE6" s="522" t="n"/>
      <c r="CF6" s="522" t="n"/>
      <c r="CG6" s="522" t="n"/>
      <c r="CH6" s="522" t="n"/>
      <c r="CI6" s="522" t="n"/>
      <c r="CJ6" s="522" t="n"/>
      <c r="CK6" s="522" t="n"/>
      <c r="CL6" s="523" t="n"/>
      <c r="CM6" s="224">
        <f>3600/CM7</f>
        <v/>
      </c>
    </row>
    <row r="7" ht="23" customFormat="1" customHeight="1" s="1">
      <c r="A7" s="35" t="inlineStr">
        <is>
          <t>Cycles/ Hr</t>
        </is>
      </c>
      <c r="B7" s="57">
        <f>SUMPRODUCT(D25:D28,C25:C28)</f>
        <v/>
      </c>
      <c r="I7" s="528" t="n"/>
      <c r="J7" s="527" t="n"/>
      <c r="K7" s="527" t="n"/>
      <c r="L7" s="527" t="n"/>
      <c r="M7" s="521" t="inlineStr">
        <is>
          <t>Effective Cycle Time</t>
        </is>
      </c>
      <c r="N7" s="522" t="n"/>
      <c r="O7" s="522" t="n"/>
      <c r="P7" s="522" t="n"/>
      <c r="Q7" s="522" t="n"/>
      <c r="R7" s="522" t="n"/>
      <c r="S7" s="522" t="n"/>
      <c r="T7" s="522" t="n"/>
      <c r="U7" s="522" t="n"/>
      <c r="V7" s="522" t="n"/>
      <c r="W7" s="522" t="n"/>
      <c r="X7" s="522" t="n"/>
      <c r="Y7" s="522" t="n"/>
      <c r="Z7" s="522" t="n"/>
      <c r="AA7" s="523" t="n"/>
      <c r="AB7" s="225">
        <f>AB9/AB8</f>
        <v/>
      </c>
      <c r="AC7" s="222" t="n"/>
      <c r="AD7" s="528" t="n"/>
      <c r="AE7" s="527" t="n"/>
      <c r="AF7" s="527" t="n"/>
      <c r="AG7" s="527" t="n"/>
      <c r="AH7" s="521" t="inlineStr">
        <is>
          <t>Effective Cycle Time</t>
        </is>
      </c>
      <c r="AI7" s="522" t="n"/>
      <c r="AJ7" s="522" t="n"/>
      <c r="AK7" s="522" t="n"/>
      <c r="AL7" s="522" t="n"/>
      <c r="AM7" s="522" t="n"/>
      <c r="AN7" s="522" t="n"/>
      <c r="AO7" s="522" t="n"/>
      <c r="AP7" s="522" t="n"/>
      <c r="AQ7" s="522" t="n"/>
      <c r="AR7" s="522" t="n"/>
      <c r="AS7" s="522" t="n"/>
      <c r="AT7" s="522" t="n"/>
      <c r="AU7" s="522" t="n"/>
      <c r="AV7" s="523" t="n"/>
      <c r="AW7" s="225">
        <f>AW9/AW8</f>
        <v/>
      </c>
      <c r="AX7" s="222" t="n"/>
      <c r="AY7" s="528" t="n"/>
      <c r="AZ7" s="527" t="n"/>
      <c r="BA7" s="527" t="n"/>
      <c r="BB7" s="527" t="n"/>
      <c r="BC7" s="521" t="inlineStr">
        <is>
          <t>Effective Cycle Time</t>
        </is>
      </c>
      <c r="BD7" s="522" t="n"/>
      <c r="BE7" s="522" t="n"/>
      <c r="BF7" s="522" t="n"/>
      <c r="BG7" s="522" t="n"/>
      <c r="BH7" s="522" t="n"/>
      <c r="BI7" s="522" t="n"/>
      <c r="BJ7" s="522" t="n"/>
      <c r="BK7" s="522" t="n"/>
      <c r="BL7" s="522" t="n"/>
      <c r="BM7" s="522" t="n"/>
      <c r="BN7" s="522" t="n"/>
      <c r="BO7" s="522" t="n"/>
      <c r="BP7" s="522" t="n"/>
      <c r="BQ7" s="523" t="n"/>
      <c r="BR7" s="225">
        <f>BR9/BR8</f>
        <v/>
      </c>
      <c r="BS7" s="222" t="n"/>
      <c r="BT7" s="528" t="n"/>
      <c r="BU7" s="527" t="n"/>
      <c r="BV7" s="527" t="n"/>
      <c r="BW7" s="527" t="n"/>
      <c r="BX7" s="521" t="inlineStr">
        <is>
          <t>Effective Cycle Time</t>
        </is>
      </c>
      <c r="BY7" s="522" t="n"/>
      <c r="BZ7" s="522" t="n"/>
      <c r="CA7" s="522" t="n"/>
      <c r="CB7" s="522" t="n"/>
      <c r="CC7" s="522" t="n"/>
      <c r="CD7" s="522" t="n"/>
      <c r="CE7" s="522" t="n"/>
      <c r="CF7" s="522" t="n"/>
      <c r="CG7" s="522" t="n"/>
      <c r="CH7" s="522" t="n"/>
      <c r="CI7" s="522" t="n"/>
      <c r="CJ7" s="522" t="n"/>
      <c r="CK7" s="522" t="n"/>
      <c r="CL7" s="523" t="n"/>
      <c r="CM7" s="225">
        <f>CM9/CM8</f>
        <v/>
      </c>
    </row>
    <row r="8" ht="23" customFormat="1" customHeight="1" s="1">
      <c r="A8" s="35">
        <f>B14&amp;" "&amp;"Per Hr"</f>
        <v/>
      </c>
      <c r="B8" s="57">
        <f>SUMPRODUCT(C25:C28,E25:E28)</f>
        <v/>
      </c>
      <c r="I8" s="528" t="n"/>
      <c r="J8" s="527" t="n"/>
      <c r="K8" s="527" t="n"/>
      <c r="L8" s="527" t="n"/>
      <c r="M8" s="521" t="inlineStr">
        <is>
          <t>Equipment Utilization</t>
        </is>
      </c>
      <c r="N8" s="522" t="n"/>
      <c r="O8" s="522" t="n"/>
      <c r="P8" s="522" t="n"/>
      <c r="Q8" s="522" t="n"/>
      <c r="R8" s="522" t="n"/>
      <c r="S8" s="522" t="n"/>
      <c r="T8" s="522" t="n"/>
      <c r="U8" s="522" t="n"/>
      <c r="V8" s="522" t="n"/>
      <c r="W8" s="522" t="n"/>
      <c r="X8" s="522" t="n"/>
      <c r="Y8" s="522" t="n"/>
      <c r="Z8" s="522" t="n"/>
      <c r="AA8" s="523" t="n"/>
      <c r="AB8" s="226">
        <f>'Master List'!$G$1</f>
        <v/>
      </c>
      <c r="AC8" s="222" t="n"/>
      <c r="AD8" s="528" t="n"/>
      <c r="AE8" s="527" t="n"/>
      <c r="AF8" s="527" t="n"/>
      <c r="AG8" s="527" t="n"/>
      <c r="AH8" s="521" t="inlineStr">
        <is>
          <t>Equipment Utilization</t>
        </is>
      </c>
      <c r="AI8" s="522" t="n"/>
      <c r="AJ8" s="522" t="n"/>
      <c r="AK8" s="522" t="n"/>
      <c r="AL8" s="522" t="n"/>
      <c r="AM8" s="522" t="n"/>
      <c r="AN8" s="522" t="n"/>
      <c r="AO8" s="522" t="n"/>
      <c r="AP8" s="522" t="n"/>
      <c r="AQ8" s="522" t="n"/>
      <c r="AR8" s="522" t="n"/>
      <c r="AS8" s="522" t="n"/>
      <c r="AT8" s="522" t="n"/>
      <c r="AU8" s="522" t="n"/>
      <c r="AV8" s="523" t="n"/>
      <c r="AW8" s="226">
        <f>'Master List'!$G$1</f>
        <v/>
      </c>
      <c r="AX8" s="222" t="n"/>
      <c r="AY8" s="528" t="n"/>
      <c r="AZ8" s="527" t="n"/>
      <c r="BA8" s="527" t="n"/>
      <c r="BB8" s="527" t="n"/>
      <c r="BC8" s="521" t="inlineStr">
        <is>
          <t>Equipment Utilization</t>
        </is>
      </c>
      <c r="BD8" s="522" t="n"/>
      <c r="BE8" s="522" t="n"/>
      <c r="BF8" s="522" t="n"/>
      <c r="BG8" s="522" t="n"/>
      <c r="BH8" s="522" t="n"/>
      <c r="BI8" s="522" t="n"/>
      <c r="BJ8" s="522" t="n"/>
      <c r="BK8" s="522" t="n"/>
      <c r="BL8" s="522" t="n"/>
      <c r="BM8" s="522" t="n"/>
      <c r="BN8" s="522" t="n"/>
      <c r="BO8" s="522" t="n"/>
      <c r="BP8" s="522" t="n"/>
      <c r="BQ8" s="523" t="n"/>
      <c r="BR8" s="226">
        <f>'Master List'!$G$1</f>
        <v/>
      </c>
      <c r="BS8" s="222" t="n"/>
      <c r="BT8" s="528" t="n"/>
      <c r="BU8" s="527" t="n"/>
      <c r="BV8" s="527" t="n"/>
      <c r="BW8" s="527" t="n"/>
      <c r="BX8" s="521" t="inlineStr">
        <is>
          <t>Equipment Utilization</t>
        </is>
      </c>
      <c r="BY8" s="522" t="n"/>
      <c r="BZ8" s="522" t="n"/>
      <c r="CA8" s="522" t="n"/>
      <c r="CB8" s="522" t="n"/>
      <c r="CC8" s="522" t="n"/>
      <c r="CD8" s="522" t="n"/>
      <c r="CE8" s="522" t="n"/>
      <c r="CF8" s="522" t="n"/>
      <c r="CG8" s="522" t="n"/>
      <c r="CH8" s="522" t="n"/>
      <c r="CI8" s="522" t="n"/>
      <c r="CJ8" s="522" t="n"/>
      <c r="CK8" s="522" t="n"/>
      <c r="CL8" s="523" t="n"/>
      <c r="CM8" s="226">
        <f>'Master List'!$G$1</f>
        <v/>
      </c>
    </row>
    <row r="9" ht="23" customFormat="1" customHeight="1" s="1">
      <c r="A9" s="35" t="inlineStr">
        <is>
          <t>Dynamo required</t>
        </is>
      </c>
      <c r="B9" s="57">
        <f>IFERROR(ROUNDUP(((B16/B8)*(1+B19))*(1+B20),0),0)</f>
        <v/>
      </c>
      <c r="I9" s="528" t="n"/>
      <c r="J9" s="527" t="n"/>
      <c r="K9" s="527" t="n"/>
      <c r="L9" s="527" t="n"/>
      <c r="M9" s="521" t="inlineStr">
        <is>
          <t>Cycle Time</t>
        </is>
      </c>
      <c r="N9" s="522" t="n"/>
      <c r="O9" s="522" t="n"/>
      <c r="P9" s="522" t="n"/>
      <c r="Q9" s="522" t="n"/>
      <c r="R9" s="522" t="n"/>
      <c r="S9" s="522" t="n"/>
      <c r="T9" s="522" t="n"/>
      <c r="U9" s="522" t="n"/>
      <c r="V9" s="522" t="n"/>
      <c r="W9" s="522" t="n"/>
      <c r="X9" s="522" t="n"/>
      <c r="Y9" s="522" t="n"/>
      <c r="Z9" s="522" t="n"/>
      <c r="AA9" s="523" t="n"/>
      <c r="AB9" s="227">
        <f>SUM(AB11:AB96)</f>
        <v/>
      </c>
      <c r="AC9" s="222" t="n"/>
      <c r="AD9" s="528" t="n"/>
      <c r="AE9" s="527" t="n"/>
      <c r="AF9" s="527" t="n"/>
      <c r="AG9" s="527" t="n"/>
      <c r="AH9" s="521" t="inlineStr">
        <is>
          <t>Cycle Time</t>
        </is>
      </c>
      <c r="AI9" s="522" t="n"/>
      <c r="AJ9" s="522" t="n"/>
      <c r="AK9" s="522" t="n"/>
      <c r="AL9" s="522" t="n"/>
      <c r="AM9" s="522" t="n"/>
      <c r="AN9" s="522" t="n"/>
      <c r="AO9" s="522" t="n"/>
      <c r="AP9" s="522" t="n"/>
      <c r="AQ9" s="522" t="n"/>
      <c r="AR9" s="522" t="n"/>
      <c r="AS9" s="522" t="n"/>
      <c r="AT9" s="522" t="n"/>
      <c r="AU9" s="522" t="n"/>
      <c r="AV9" s="523" t="n"/>
      <c r="AW9" s="227">
        <f>SUM(AW11:AW96)</f>
        <v/>
      </c>
      <c r="AX9" s="222" t="n"/>
      <c r="AY9" s="528" t="n"/>
      <c r="AZ9" s="527" t="n"/>
      <c r="BA9" s="527" t="n"/>
      <c r="BB9" s="527" t="n"/>
      <c r="BC9" s="521" t="inlineStr">
        <is>
          <t>Cycle Time</t>
        </is>
      </c>
      <c r="BD9" s="522" t="n"/>
      <c r="BE9" s="522" t="n"/>
      <c r="BF9" s="522" t="n"/>
      <c r="BG9" s="522" t="n"/>
      <c r="BH9" s="522" t="n"/>
      <c r="BI9" s="522" t="n"/>
      <c r="BJ9" s="522" t="n"/>
      <c r="BK9" s="522" t="n"/>
      <c r="BL9" s="522" t="n"/>
      <c r="BM9" s="522" t="n"/>
      <c r="BN9" s="522" t="n"/>
      <c r="BO9" s="522" t="n"/>
      <c r="BP9" s="522" t="n"/>
      <c r="BQ9" s="523" t="n"/>
      <c r="BR9" s="227">
        <f>SUM(BR11:BR96)</f>
        <v/>
      </c>
      <c r="BS9" s="222" t="n"/>
      <c r="BT9" s="528" t="n"/>
      <c r="BU9" s="527" t="n"/>
      <c r="BV9" s="527" t="n"/>
      <c r="BW9" s="527" t="n"/>
      <c r="BX9" s="521" t="inlineStr">
        <is>
          <t>Cycle Time</t>
        </is>
      </c>
      <c r="BY9" s="522" t="n"/>
      <c r="BZ9" s="522" t="n"/>
      <c r="CA9" s="522" t="n"/>
      <c r="CB9" s="522" t="n"/>
      <c r="CC9" s="522" t="n"/>
      <c r="CD9" s="522" t="n"/>
      <c r="CE9" s="522" t="n"/>
      <c r="CF9" s="522" t="n"/>
      <c r="CG9" s="522" t="n"/>
      <c r="CH9" s="522" t="n"/>
      <c r="CI9" s="522" t="n"/>
      <c r="CJ9" s="522" t="n"/>
      <c r="CK9" s="522" t="n"/>
      <c r="CL9" s="523" t="n"/>
      <c r="CM9" s="227">
        <f>SUM(CM11:CM96)</f>
        <v/>
      </c>
    </row>
    <row r="10" ht="56" customFormat="1" customHeight="1" s="6">
      <c r="A10" s="1" t="n"/>
      <c r="B10" s="1" t="inlineStr">
        <is>
          <t>Dynamo1000</t>
        </is>
      </c>
      <c r="C10" s="1" t="n"/>
      <c r="D10" s="1" t="n"/>
      <c r="E10" s="1" t="n"/>
      <c r="F10" s="1" t="n"/>
      <c r="G10" s="1" t="n"/>
      <c r="I10" s="529" t="n"/>
      <c r="J10" s="527" t="inlineStr">
        <is>
          <t>AMR</t>
        </is>
      </c>
      <c r="K10" s="527" t="inlineStr">
        <is>
          <t>Condition</t>
        </is>
      </c>
      <c r="L10" s="527" t="inlineStr">
        <is>
          <t>Aisle width M</t>
        </is>
      </c>
      <c r="M10" s="527" t="inlineStr">
        <is>
          <t>Activity Type</t>
        </is>
      </c>
      <c r="N10" s="228" t="inlineStr">
        <is>
          <t>Steps</t>
        </is>
      </c>
      <c r="O10" s="228" t="inlineStr">
        <is>
          <t>Time to consider in absence of data (sec)</t>
        </is>
      </c>
      <c r="P10" s="228" t="inlineStr">
        <is>
          <t>Speed (m / sec)</t>
        </is>
      </c>
      <c r="Q10" s="228" t="inlineStr">
        <is>
          <t>Acceleration (m / sec^2)</t>
        </is>
      </c>
      <c r="R10" s="228" t="inlineStr">
        <is>
          <t>Total Distance (m)</t>
        </is>
      </c>
      <c r="S10" s="228" t="inlineStr">
        <is>
          <t>Time to Reach Max Speed (sec)</t>
        </is>
      </c>
      <c r="T10" s="228" t="inlineStr">
        <is>
          <t>Distance in accerlaration (m)</t>
        </is>
      </c>
      <c r="U10" s="228" t="inlineStr">
        <is>
          <t>Distance in Max speed (m)</t>
        </is>
      </c>
      <c r="V10" s="228" t="inlineStr">
        <is>
          <t>Distance in de-acceleration (m)</t>
        </is>
      </c>
      <c r="W10" s="228" t="inlineStr">
        <is>
          <t>Time in acceleration (sec)</t>
        </is>
      </c>
      <c r="X10" s="228" t="inlineStr">
        <is>
          <t>Time in full speed (sec)</t>
        </is>
      </c>
      <c r="Y10" s="228" t="inlineStr">
        <is>
          <t>Time in de-acceleration (sec)</t>
        </is>
      </c>
      <c r="Z10" s="228" t="inlineStr">
        <is>
          <t>Time (sec)</t>
        </is>
      </c>
      <c r="AA10" s="228" t="inlineStr">
        <is>
          <t>Units</t>
        </is>
      </c>
      <c r="AB10" s="228" t="inlineStr">
        <is>
          <t>Total Time</t>
        </is>
      </c>
      <c r="AC10" s="222" t="n"/>
      <c r="AD10" s="529" t="n"/>
      <c r="AE10" s="527" t="inlineStr">
        <is>
          <t>AMR</t>
        </is>
      </c>
      <c r="AF10" s="527" t="inlineStr">
        <is>
          <t>Condition</t>
        </is>
      </c>
      <c r="AG10" s="527" t="inlineStr">
        <is>
          <t>Aisle width M</t>
        </is>
      </c>
      <c r="AH10" s="527" t="inlineStr">
        <is>
          <t>Activity Type</t>
        </is>
      </c>
      <c r="AI10" s="228" t="inlineStr">
        <is>
          <t>Steps</t>
        </is>
      </c>
      <c r="AJ10" s="228" t="inlineStr">
        <is>
          <t>Time to consider in absence of data (sec)</t>
        </is>
      </c>
      <c r="AK10" s="228" t="inlineStr">
        <is>
          <t>Speed (m / sec)</t>
        </is>
      </c>
      <c r="AL10" s="228" t="inlineStr">
        <is>
          <t>Acceleration (m / sec^2)</t>
        </is>
      </c>
      <c r="AM10" s="228" t="inlineStr">
        <is>
          <t>Total Distance (m)</t>
        </is>
      </c>
      <c r="AN10" s="228" t="inlineStr">
        <is>
          <t>Time to Reach Max Speed (sec)</t>
        </is>
      </c>
      <c r="AO10" s="228" t="inlineStr">
        <is>
          <t>Distance in accerlaration (m)</t>
        </is>
      </c>
      <c r="AP10" s="228" t="inlineStr">
        <is>
          <t>Distance in Max speed (m)</t>
        </is>
      </c>
      <c r="AQ10" s="228" t="inlineStr">
        <is>
          <t>Distance in de-acceleration (m)</t>
        </is>
      </c>
      <c r="AR10" s="228" t="inlineStr">
        <is>
          <t>Time in acceleration (sec)</t>
        </is>
      </c>
      <c r="AS10" s="228" t="inlineStr">
        <is>
          <t>Time in full speed (sec)</t>
        </is>
      </c>
      <c r="AT10" s="228" t="inlineStr">
        <is>
          <t>Time in de-acceleration (sec)</t>
        </is>
      </c>
      <c r="AU10" s="228" t="inlineStr">
        <is>
          <t>Time (sec)</t>
        </is>
      </c>
      <c r="AV10" s="228" t="inlineStr">
        <is>
          <t>Units</t>
        </is>
      </c>
      <c r="AW10" s="228" t="inlineStr">
        <is>
          <t>Total Time</t>
        </is>
      </c>
      <c r="AX10" s="222" t="n"/>
      <c r="AY10" s="529" t="n"/>
      <c r="AZ10" s="527" t="inlineStr">
        <is>
          <t>AMR</t>
        </is>
      </c>
      <c r="BA10" s="527" t="inlineStr">
        <is>
          <t>Condition</t>
        </is>
      </c>
      <c r="BB10" s="527" t="inlineStr">
        <is>
          <t>Aisle width M</t>
        </is>
      </c>
      <c r="BC10" s="527" t="inlineStr">
        <is>
          <t>Activity Type</t>
        </is>
      </c>
      <c r="BD10" s="228" t="inlineStr">
        <is>
          <t>Steps</t>
        </is>
      </c>
      <c r="BE10" s="228" t="inlineStr">
        <is>
          <t>Time to consider in absence of data (sec)</t>
        </is>
      </c>
      <c r="BF10" s="228" t="inlineStr">
        <is>
          <t>Speed (m / sec)</t>
        </is>
      </c>
      <c r="BG10" s="228" t="inlineStr">
        <is>
          <t>Acceleration (m / sec^2)</t>
        </is>
      </c>
      <c r="BH10" s="228" t="inlineStr">
        <is>
          <t>Total Distance (m)</t>
        </is>
      </c>
      <c r="BI10" s="228" t="inlineStr">
        <is>
          <t>Time to Reach Max Speed (sec)</t>
        </is>
      </c>
      <c r="BJ10" s="228" t="inlineStr">
        <is>
          <t>Distance in accerlaration (m)</t>
        </is>
      </c>
      <c r="BK10" s="228" t="inlineStr">
        <is>
          <t>Distance in Max speed (m)</t>
        </is>
      </c>
      <c r="BL10" s="228" t="inlineStr">
        <is>
          <t>Distance in de-acceleration (m)</t>
        </is>
      </c>
      <c r="BM10" s="228" t="inlineStr">
        <is>
          <t>Time in acceleration (sec)</t>
        </is>
      </c>
      <c r="BN10" s="228" t="inlineStr">
        <is>
          <t>Time in full speed (sec)</t>
        </is>
      </c>
      <c r="BO10" s="228" t="inlineStr">
        <is>
          <t>Time in de-acceleration (sec)</t>
        </is>
      </c>
      <c r="BP10" s="228" t="inlineStr">
        <is>
          <t>Time (sec)</t>
        </is>
      </c>
      <c r="BQ10" s="228" t="inlineStr">
        <is>
          <t>Units</t>
        </is>
      </c>
      <c r="BR10" s="228" t="inlineStr">
        <is>
          <t>Total Time</t>
        </is>
      </c>
      <c r="BS10" s="222" t="n"/>
      <c r="BT10" s="529" t="n"/>
      <c r="BU10" s="527" t="inlineStr">
        <is>
          <t>AMR</t>
        </is>
      </c>
      <c r="BV10" s="527" t="inlineStr">
        <is>
          <t>Condition</t>
        </is>
      </c>
      <c r="BW10" s="527" t="inlineStr">
        <is>
          <t>Aisle width M</t>
        </is>
      </c>
      <c r="BX10" s="527" t="inlineStr">
        <is>
          <t>Activity Type</t>
        </is>
      </c>
      <c r="BY10" s="228" t="inlineStr">
        <is>
          <t>Steps</t>
        </is>
      </c>
      <c r="BZ10" s="228" t="inlineStr">
        <is>
          <t>Time to consider in absence of data (sec)</t>
        </is>
      </c>
      <c r="CA10" s="228" t="inlineStr">
        <is>
          <t>Speed (m / sec)</t>
        </is>
      </c>
      <c r="CB10" s="228" t="inlineStr">
        <is>
          <t>Acceleration (m / sec^2)</t>
        </is>
      </c>
      <c r="CC10" s="228" t="inlineStr">
        <is>
          <t>Total Distance (m)</t>
        </is>
      </c>
      <c r="CD10" s="228" t="inlineStr">
        <is>
          <t>Time to Reach Max Speed (sec)</t>
        </is>
      </c>
      <c r="CE10" s="228" t="inlineStr">
        <is>
          <t>Distance in accerlaration (m)</t>
        </is>
      </c>
      <c r="CF10" s="228" t="inlineStr">
        <is>
          <t>Distance in Max speed (m)</t>
        </is>
      </c>
      <c r="CG10" s="228" t="inlineStr">
        <is>
          <t>Distance in de-acceleration (m)</t>
        </is>
      </c>
      <c r="CH10" s="228" t="inlineStr">
        <is>
          <t>Time in acceleration (sec)</t>
        </is>
      </c>
      <c r="CI10" s="228" t="inlineStr">
        <is>
          <t>Time in full speed (sec)</t>
        </is>
      </c>
      <c r="CJ10" s="228" t="inlineStr">
        <is>
          <t>Time in de-acceleration (sec)</t>
        </is>
      </c>
      <c r="CK10" s="228" t="inlineStr">
        <is>
          <t>Time (sec)</t>
        </is>
      </c>
      <c r="CL10" s="228" t="inlineStr">
        <is>
          <t>Units</t>
        </is>
      </c>
      <c r="CM10" s="228" t="inlineStr">
        <is>
          <t>Total Time</t>
        </is>
      </c>
    </row>
    <row r="11" ht="20" customFormat="1" customHeight="1" s="1">
      <c r="A11" s="171" t="inlineStr">
        <is>
          <t>Select Dynamo model</t>
        </is>
      </c>
      <c r="B11" s="172" t="inlineStr">
        <is>
          <t>Dynamo200</t>
        </is>
      </c>
      <c r="C11" s="6" t="n"/>
      <c r="D11" s="6" t="n"/>
      <c r="E11" s="6" t="n"/>
      <c r="F11" s="6" t="n"/>
      <c r="G11" s="6" t="n"/>
      <c r="I11" s="229" t="n">
        <v>1</v>
      </c>
      <c r="J11" s="229">
        <f>$B$11</f>
        <v/>
      </c>
      <c r="K11" s="229">
        <f>$B$13</f>
        <v/>
      </c>
      <c r="L11" s="229" t="n"/>
      <c r="M11" s="230">
        <f>J11&amp;K11&amp;L11</f>
        <v/>
      </c>
      <c r="N11" s="231" t="inlineStr">
        <is>
          <t>Getting loaded</t>
        </is>
      </c>
      <c r="O11" s="232">
        <f>IFERROR(VLOOKUP(M11,'Master List'!$A:$D,2,0),0)</f>
        <v/>
      </c>
      <c r="P11" s="232">
        <f>IFERROR(VLOOKUP(M11,'Master List'!$A:$D,3,0),0)</f>
        <v/>
      </c>
      <c r="Q11" s="232">
        <f>IFERROR(VLOOKUP(M11,'Master List'!$A:$D,4,0),0)</f>
        <v/>
      </c>
      <c r="R11" s="233" t="n"/>
      <c r="S11" s="232">
        <f>IFERROR(P11/Q11,0)</f>
        <v/>
      </c>
      <c r="T11" s="232">
        <f>IFERROR(IF(R11&lt;((1/2*Q11*S11^2)*2),1/2*Q11*SQRT((R11/2)*2/Q11)^2,1/2*Q11*S11^2),0)</f>
        <v/>
      </c>
      <c r="U11" s="232">
        <f>IFERROR(IF(R11-T11-V11&lt;=0,0,R11-T11-V11),0)</f>
        <v/>
      </c>
      <c r="V11" s="232">
        <f>T11</f>
        <v/>
      </c>
      <c r="W11" s="232">
        <f>IFERROR(IF(R11&lt;((1/2*Q11*S11^2)*2),SQRT((R11/2)*2/Q11),S11),0)</f>
        <v/>
      </c>
      <c r="X11" s="232">
        <f>IFERROR(U11/P11,0)</f>
        <v/>
      </c>
      <c r="Y11" s="232">
        <f>W11</f>
        <v/>
      </c>
      <c r="Z11" s="232">
        <f>IF(O11&gt;0,O11,SUM(W11:Y11))</f>
        <v/>
      </c>
      <c r="AA11" s="232" t="n">
        <v>1</v>
      </c>
      <c r="AB11" s="232">
        <f>Z11*AA11</f>
        <v/>
      </c>
      <c r="AC11" s="222" t="n"/>
      <c r="AD11" s="229" t="n">
        <v>1</v>
      </c>
      <c r="AE11" s="229">
        <f>$B$11</f>
        <v/>
      </c>
      <c r="AF11" s="229">
        <f>$B$13</f>
        <v/>
      </c>
      <c r="AG11" s="229" t="n"/>
      <c r="AH11" s="230">
        <f>AE11&amp;AF11&amp;AG11</f>
        <v/>
      </c>
      <c r="AI11" s="231" t="inlineStr">
        <is>
          <t>Getting loaded</t>
        </is>
      </c>
      <c r="AJ11" s="232">
        <f>IFERROR(VLOOKUP(AH11,'Master List'!$A:$D,2,0),0)</f>
        <v/>
      </c>
      <c r="AK11" s="232">
        <f>IFERROR(VLOOKUP(AH11,'Master List'!$A:$D,3,0),0)</f>
        <v/>
      </c>
      <c r="AL11" s="232">
        <f>IFERROR(VLOOKUP(AH11,'Master List'!$A:$D,4,0),0)</f>
        <v/>
      </c>
      <c r="AM11" s="233" t="n"/>
      <c r="AN11" s="232">
        <f>IFERROR(AK11/AL11,0)</f>
        <v/>
      </c>
      <c r="AO11" s="232">
        <f>IFERROR(IF(AM11&lt;((1/2*AL11*AN11^2)*2),1/2*AL11*SQRT((AM11/2)*2/AL11)^2,1/2*AL11*AN11^2),0)</f>
        <v/>
      </c>
      <c r="AP11" s="232">
        <f>IFERROR(IF(AM11-AO11-AQ11&lt;=0,0,AM11-AO11-AQ11),0)</f>
        <v/>
      </c>
      <c r="AQ11" s="232">
        <f>AO11</f>
        <v/>
      </c>
      <c r="AR11" s="232">
        <f>IFERROR(IF(AM11&lt;((1/2*AL11*AN11^2)*2),SQRT((AM11/2)*2/AL11),AN11),0)</f>
        <v/>
      </c>
      <c r="AS11" s="232">
        <f>IFERROR(AP11/AK11,0)</f>
        <v/>
      </c>
      <c r="AT11" s="232">
        <f>AR11</f>
        <v/>
      </c>
      <c r="AU11" s="232">
        <f>IF(AJ11&gt;0,AJ11,SUM(AR11:AT11))</f>
        <v/>
      </c>
      <c r="AV11" s="232" t="n">
        <v>1</v>
      </c>
      <c r="AW11" s="232">
        <f>AU11*AV11</f>
        <v/>
      </c>
      <c r="AX11" s="222" t="n"/>
      <c r="AY11" s="229" t="n">
        <v>1</v>
      </c>
      <c r="AZ11" s="229">
        <f>$B$11</f>
        <v/>
      </c>
      <c r="BA11" s="229">
        <f>$B$13</f>
        <v/>
      </c>
      <c r="BB11" s="229" t="n"/>
      <c r="BC11" s="230">
        <f>AZ11&amp;BA11&amp;BB11</f>
        <v/>
      </c>
      <c r="BD11" s="231" t="inlineStr">
        <is>
          <t>Getting loaded</t>
        </is>
      </c>
      <c r="BE11" s="232">
        <f>IFERROR(VLOOKUP(BC11,'Master List'!$A:$D,2,0),0)</f>
        <v/>
      </c>
      <c r="BF11" s="232">
        <f>IFERROR(VLOOKUP(BC11,'Master List'!$A:$D,3,0),0)</f>
        <v/>
      </c>
      <c r="BG11" s="232">
        <f>IFERROR(VLOOKUP(BC11,'Master List'!$A:$D,4,0),0)</f>
        <v/>
      </c>
      <c r="BH11" s="233" t="n"/>
      <c r="BI11" s="232">
        <f>IFERROR(BF11/BG11,0)</f>
        <v/>
      </c>
      <c r="BJ11" s="232">
        <f>IFERROR(IF(BH11&lt;((1/2*BG11*BI11^2)*2),1/2*BG11*SQRT((BH11/2)*2/BG11)^2,1/2*BG11*BI11^2),0)</f>
        <v/>
      </c>
      <c r="BK11" s="232">
        <f>IFERROR(IF(BH11-BJ11-BL11&lt;=0,0,BH11-BJ11-BL11),0)</f>
        <v/>
      </c>
      <c r="BL11" s="232">
        <f>BJ11</f>
        <v/>
      </c>
      <c r="BM11" s="232">
        <f>IFERROR(IF(BH11&lt;((1/2*BG11*BI11^2)*2),SQRT((BH11/2)*2/BG11),BI11),0)</f>
        <v/>
      </c>
      <c r="BN11" s="232">
        <f>IFERROR(BK11/BF11,0)</f>
        <v/>
      </c>
      <c r="BO11" s="232">
        <f>BM11</f>
        <v/>
      </c>
      <c r="BP11" s="232">
        <f>IF(BE11&gt;0,BE11,SUM(BM11:BO11))</f>
        <v/>
      </c>
      <c r="BQ11" s="232" t="n">
        <v>1</v>
      </c>
      <c r="BR11" s="232">
        <f>BP11*BQ11</f>
        <v/>
      </c>
      <c r="BS11" s="222" t="n"/>
      <c r="BT11" s="229" t="n">
        <v>1</v>
      </c>
      <c r="BU11" s="229">
        <f>$B$11</f>
        <v/>
      </c>
      <c r="BV11" s="229">
        <f>$B$13</f>
        <v/>
      </c>
      <c r="BW11" s="229" t="n"/>
      <c r="BX11" s="230">
        <f>BU11&amp;BV11&amp;BW11</f>
        <v/>
      </c>
      <c r="BY11" s="231" t="inlineStr">
        <is>
          <t>Getting loaded</t>
        </is>
      </c>
      <c r="BZ11" s="232">
        <f>IFERROR(VLOOKUP(BX11,'Master List'!$A:$D,2,0),0)</f>
        <v/>
      </c>
      <c r="CA11" s="232">
        <f>IFERROR(VLOOKUP(BX11,'Master List'!$A:$D,3,0),0)</f>
        <v/>
      </c>
      <c r="CB11" s="232">
        <f>IFERROR(VLOOKUP(BX11,'Master List'!$A:$D,4,0),0)</f>
        <v/>
      </c>
      <c r="CC11" s="233" t="n"/>
      <c r="CD11" s="232">
        <f>IFERROR(CA11/CB11,0)</f>
        <v/>
      </c>
      <c r="CE11" s="232">
        <f>IFERROR(IF(CC11&lt;((1/2*CB11*CD11^2)*2),1/2*CB11*SQRT((CC11/2)*2/CB11)^2,1/2*CB11*CD11^2),0)</f>
        <v/>
      </c>
      <c r="CF11" s="232">
        <f>IFERROR(IF(CC11-CE11-CG11&lt;=0,0,CC11-CE11-CG11),0)</f>
        <v/>
      </c>
      <c r="CG11" s="232">
        <f>CE11</f>
        <v/>
      </c>
      <c r="CH11" s="232">
        <f>IFERROR(IF(CC11&lt;((1/2*CB11*CD11^2)*2),SQRT((CC11/2)*2/CB11),CD11),0)</f>
        <v/>
      </c>
      <c r="CI11" s="232">
        <f>IFERROR(CF11/CA11,0)</f>
        <v/>
      </c>
      <c r="CJ11" s="232">
        <f>CH11</f>
        <v/>
      </c>
      <c r="CK11" s="232">
        <f>IF(BZ11&gt;0,BZ11,SUM(CH11:CJ11))</f>
        <v/>
      </c>
      <c r="CL11" s="232" t="n">
        <v>1</v>
      </c>
      <c r="CM11" s="232">
        <f>CK11*CL11</f>
        <v/>
      </c>
    </row>
    <row r="12" ht="20" customFormat="1" customHeight="1" s="1">
      <c r="A12" s="171" t="inlineStr">
        <is>
          <t>Select Aisle width available  M</t>
        </is>
      </c>
      <c r="B12" s="175" t="n">
        <v>2.5</v>
      </c>
      <c r="I12" s="229">
        <f>I11+1</f>
        <v/>
      </c>
      <c r="J12" s="229">
        <f>$B$11</f>
        <v/>
      </c>
      <c r="K12" s="229" t="inlineStr">
        <is>
          <t>_docking</t>
        </is>
      </c>
      <c r="L12" s="234" t="n"/>
      <c r="M12" s="230">
        <f>J12&amp;K12&amp;L12</f>
        <v/>
      </c>
      <c r="N12" s="231" t="inlineStr">
        <is>
          <t>Undocking</t>
        </is>
      </c>
      <c r="O12" s="232">
        <f>IFERROR(VLOOKUP(M12,'Master List'!$A:$D,2,0),0)</f>
        <v/>
      </c>
      <c r="P12" s="232">
        <f>IFERROR(VLOOKUP(M12,'Master List'!$A:$D,3,0),0)</f>
        <v/>
      </c>
      <c r="Q12" s="232">
        <f>IFERROR(VLOOKUP(M12,'Master List'!$A:$D,4,0),0)</f>
        <v/>
      </c>
      <c r="R12" s="235">
        <f>$B$38</f>
        <v/>
      </c>
      <c r="S12" s="232">
        <f>IFERROR(P12/Q12,0)</f>
        <v/>
      </c>
      <c r="T12" s="232">
        <f>IFERROR(IF(R12&lt;((1/2*Q12*S12^2)*2),1/2*Q12*SQRT((R12/2)*2/Q12)^2,1/2*Q12*S12^2),0)</f>
        <v/>
      </c>
      <c r="U12" s="232">
        <f>IFERROR(IF(R12-T12-V12&lt;=0,0,R12-T12-V12),0)</f>
        <v/>
      </c>
      <c r="V12" s="232">
        <f>T12</f>
        <v/>
      </c>
      <c r="W12" s="232">
        <f>IFERROR(IF(R12&lt;((1/2*Q12*S12^2)*2),SQRT((R12/2)*2/Q12),S12),0)</f>
        <v/>
      </c>
      <c r="X12" s="232">
        <f>IFERROR(U12/P12,0)</f>
        <v/>
      </c>
      <c r="Y12" s="232">
        <f>W12</f>
        <v/>
      </c>
      <c r="Z12" s="232">
        <f>IF(O12&gt;0,O12,SUM(W12:Y12))</f>
        <v/>
      </c>
      <c r="AA12" s="232" t="n">
        <v>1</v>
      </c>
      <c r="AB12" s="232">
        <f>Z12*AA12</f>
        <v/>
      </c>
      <c r="AC12" s="222" t="n"/>
      <c r="AD12" s="229">
        <f>AD11+1</f>
        <v/>
      </c>
      <c r="AE12" s="229">
        <f>$B$11</f>
        <v/>
      </c>
      <c r="AF12" s="229" t="inlineStr">
        <is>
          <t>_docking</t>
        </is>
      </c>
      <c r="AG12" s="234" t="n"/>
      <c r="AH12" s="230">
        <f>AE12&amp;AF12&amp;AG12</f>
        <v/>
      </c>
      <c r="AI12" s="231" t="inlineStr">
        <is>
          <t>Undocking</t>
        </is>
      </c>
      <c r="AJ12" s="232">
        <f>IFERROR(VLOOKUP(AH12,'Master List'!$A:$D,2,0),0)</f>
        <v/>
      </c>
      <c r="AK12" s="232">
        <f>IFERROR(VLOOKUP(AH12,'Master List'!$A:$D,3,0),0)</f>
        <v/>
      </c>
      <c r="AL12" s="232">
        <f>IFERROR(VLOOKUP(AH12,'Master List'!$A:$D,4,0),0)</f>
        <v/>
      </c>
      <c r="AM12" s="235">
        <f>$B$38</f>
        <v/>
      </c>
      <c r="AN12" s="232">
        <f>IFERROR(AK12/AL12,0)</f>
        <v/>
      </c>
      <c r="AO12" s="232">
        <f>IFERROR(IF(AM12&lt;((1/2*AL12*AN12^2)*2),1/2*AL12*SQRT((AM12/2)*2/AL12)^2,1/2*AL12*AN12^2),0)</f>
        <v/>
      </c>
      <c r="AP12" s="232">
        <f>IFERROR(IF(AM12-AO12-AQ12&lt;=0,0,AM12-AO12-AQ12),0)</f>
        <v/>
      </c>
      <c r="AQ12" s="232">
        <f>AO12</f>
        <v/>
      </c>
      <c r="AR12" s="232">
        <f>IFERROR(IF(AM12&lt;((1/2*AL12*AN12^2)*2),SQRT((AM12/2)*2/AL12),AN12),0)</f>
        <v/>
      </c>
      <c r="AS12" s="232">
        <f>IFERROR(AP12/AK12,0)</f>
        <v/>
      </c>
      <c r="AT12" s="232">
        <f>AR12</f>
        <v/>
      </c>
      <c r="AU12" s="232">
        <f>IF(AJ12&gt;0,AJ12,SUM(AR12:AT12))</f>
        <v/>
      </c>
      <c r="AV12" s="232" t="n">
        <v>1</v>
      </c>
      <c r="AW12" s="232">
        <f>AU12*AV12</f>
        <v/>
      </c>
      <c r="AX12" s="222" t="n"/>
      <c r="AY12" s="229">
        <f>AY11+1</f>
        <v/>
      </c>
      <c r="AZ12" s="229">
        <f>$B$11</f>
        <v/>
      </c>
      <c r="BA12" s="229" t="inlineStr">
        <is>
          <t>_docking</t>
        </is>
      </c>
      <c r="BB12" s="234" t="n"/>
      <c r="BC12" s="230">
        <f>AZ12&amp;BA12&amp;BB12</f>
        <v/>
      </c>
      <c r="BD12" s="231" t="inlineStr">
        <is>
          <t>Undocking</t>
        </is>
      </c>
      <c r="BE12" s="232">
        <f>IFERROR(VLOOKUP(BC12,'Master List'!$A:$D,2,0),0)</f>
        <v/>
      </c>
      <c r="BF12" s="232">
        <f>IFERROR(VLOOKUP(BC12,'Master List'!$A:$D,3,0),0)</f>
        <v/>
      </c>
      <c r="BG12" s="232">
        <f>IFERROR(VLOOKUP(BC12,'Master List'!$A:$D,4,0),0)</f>
        <v/>
      </c>
      <c r="BH12" s="235">
        <f>$B$38</f>
        <v/>
      </c>
      <c r="BI12" s="232">
        <f>IFERROR(BF12/BG12,0)</f>
        <v/>
      </c>
      <c r="BJ12" s="232">
        <f>IFERROR(IF(BH12&lt;((1/2*BG12*BI12^2)*2),1/2*BG12*SQRT((BH12/2)*2/BG12)^2,1/2*BG12*BI12^2),0)</f>
        <v/>
      </c>
      <c r="BK12" s="232">
        <f>IFERROR(IF(BH12-BJ12-BL12&lt;=0,0,BH12-BJ12-BL12),0)</f>
        <v/>
      </c>
      <c r="BL12" s="232">
        <f>BJ12</f>
        <v/>
      </c>
      <c r="BM12" s="232">
        <f>IFERROR(IF(BH12&lt;((1/2*BG12*BI12^2)*2),SQRT((BH12/2)*2/BG12),BI12),0)</f>
        <v/>
      </c>
      <c r="BN12" s="232">
        <f>IFERROR(BK12/BF12,0)</f>
        <v/>
      </c>
      <c r="BO12" s="232">
        <f>BM12</f>
        <v/>
      </c>
      <c r="BP12" s="232">
        <f>IF(BE12&gt;0,BE12,SUM(BM12:BO12))</f>
        <v/>
      </c>
      <c r="BQ12" s="232" t="n">
        <v>1</v>
      </c>
      <c r="BR12" s="232">
        <f>BP12*BQ12</f>
        <v/>
      </c>
      <c r="BS12" s="222" t="n"/>
      <c r="BT12" s="229">
        <f>BT11+1</f>
        <v/>
      </c>
      <c r="BU12" s="229">
        <f>$B$11</f>
        <v/>
      </c>
      <c r="BV12" s="229" t="inlineStr">
        <is>
          <t>_docking</t>
        </is>
      </c>
      <c r="BW12" s="234" t="n"/>
      <c r="BX12" s="230">
        <f>BU12&amp;BV12&amp;BW12</f>
        <v/>
      </c>
      <c r="BY12" s="231" t="inlineStr">
        <is>
          <t>Undocking</t>
        </is>
      </c>
      <c r="BZ12" s="232">
        <f>IFERROR(VLOOKUP(BX12,'Master List'!$A:$D,2,0),0)</f>
        <v/>
      </c>
      <c r="CA12" s="232">
        <f>IFERROR(VLOOKUP(BX12,'Master List'!$A:$D,3,0),0)</f>
        <v/>
      </c>
      <c r="CB12" s="232">
        <f>IFERROR(VLOOKUP(BX12,'Master List'!$A:$D,4,0),0)</f>
        <v/>
      </c>
      <c r="CC12" s="235">
        <f>$B$38</f>
        <v/>
      </c>
      <c r="CD12" s="232">
        <f>IFERROR(CA12/CB12,0)</f>
        <v/>
      </c>
      <c r="CE12" s="232">
        <f>IFERROR(IF(CC12&lt;((1/2*CB12*CD12^2)*2),1/2*CB12*SQRT((CC12/2)*2/CB12)^2,1/2*CB12*CD12^2),0)</f>
        <v/>
      </c>
      <c r="CF12" s="232">
        <f>IFERROR(IF(CC12-CE12-CG12&lt;=0,0,CC12-CE12-CG12),0)</f>
        <v/>
      </c>
      <c r="CG12" s="232">
        <f>CE12</f>
        <v/>
      </c>
      <c r="CH12" s="232">
        <f>IFERROR(IF(CC12&lt;((1/2*CB12*CD12^2)*2),SQRT((CC12/2)*2/CB12),CD12),0)</f>
        <v/>
      </c>
      <c r="CI12" s="232">
        <f>IFERROR(CF12/CA12,0)</f>
        <v/>
      </c>
      <c r="CJ12" s="232">
        <f>CH12</f>
        <v/>
      </c>
      <c r="CK12" s="232">
        <f>IF(BZ12&gt;0,BZ12,SUM(CH12:CJ12))</f>
        <v/>
      </c>
      <c r="CL12" s="232" t="n">
        <v>1</v>
      </c>
      <c r="CM12" s="232">
        <f>CK12*CL12</f>
        <v/>
      </c>
    </row>
    <row r="13" ht="20" customFormat="1" customHeight="1" s="1">
      <c r="A13" s="171" t="inlineStr">
        <is>
          <t>Load carry type</t>
        </is>
      </c>
      <c r="B13" s="172" t="inlineStr">
        <is>
          <t>_LifterUp/Down</t>
        </is>
      </c>
      <c r="I13" s="229">
        <f>I12+1</f>
        <v/>
      </c>
      <c r="J13" s="229">
        <f>$B$11</f>
        <v/>
      </c>
      <c r="K13" s="229" t="inlineStr">
        <is>
          <t>_loaded_</t>
        </is>
      </c>
      <c r="L13" s="234">
        <f>$B$12</f>
        <v/>
      </c>
      <c r="M13" s="230">
        <f>J13&amp;K13&amp;L13</f>
        <v/>
      </c>
      <c r="N13" s="231" t="inlineStr">
        <is>
          <t>Travel</t>
        </is>
      </c>
      <c r="O13" s="232">
        <f>IFERROR(VLOOKUP(M13,'Master List'!$A:$D,2,0),0)</f>
        <v/>
      </c>
      <c r="P13" s="232">
        <f>IFERROR(VLOOKUP(M13,'Master List'!$A:$D,3,0),0)</f>
        <v/>
      </c>
      <c r="Q13" s="232">
        <f>IFERROR(VLOOKUP(M13,'Master List'!$A:$D,4,0),0)</f>
        <v/>
      </c>
      <c r="R13" s="235">
        <f>IF(C32=0,($D$32-SUM(R12,R14)),(($D$32-SUM(R12,R14))/($C$32+1)))</f>
        <v/>
      </c>
      <c r="S13" s="232">
        <f>IFERROR(P13/Q13,0)</f>
        <v/>
      </c>
      <c r="T13" s="232">
        <f>IFERROR(IF(R13&lt;((1/2*Q13*S13^2)*2),1/2*Q13*SQRT((R13/2)*2/Q13)^2,1/2*Q13*S13^2),0)</f>
        <v/>
      </c>
      <c r="U13" s="232">
        <f>IFERROR(IF(R13-T13-V13&lt;=0,0,R13-T13-V13),0)</f>
        <v/>
      </c>
      <c r="V13" s="232">
        <f>T13</f>
        <v/>
      </c>
      <c r="W13" s="232">
        <f>IFERROR(IF(R13&lt;((1/2*Q13*S13^2)*2),SQRT((R13/2)*2/Q13),S13),0)</f>
        <v/>
      </c>
      <c r="X13" s="232">
        <f>IFERROR(U13/P13,0)</f>
        <v/>
      </c>
      <c r="Y13" s="232">
        <f>W13</f>
        <v/>
      </c>
      <c r="Z13" s="232">
        <f>IF(O13&gt;0,O13,SUM(W13:Y13))</f>
        <v/>
      </c>
      <c r="AA13" s="204">
        <f>IF($C$32=0,1,($C$32+1))</f>
        <v/>
      </c>
      <c r="AB13" s="232">
        <f>Z13*AA13</f>
        <v/>
      </c>
      <c r="AC13" s="222" t="n"/>
      <c r="AD13" s="229">
        <f>AD12+1</f>
        <v/>
      </c>
      <c r="AE13" s="229">
        <f>$B$11</f>
        <v/>
      </c>
      <c r="AF13" s="229" t="inlineStr">
        <is>
          <t>_loaded_</t>
        </is>
      </c>
      <c r="AG13" s="234">
        <f>$B$12</f>
        <v/>
      </c>
      <c r="AH13" s="230">
        <f>AE13&amp;AF13&amp;AG13</f>
        <v/>
      </c>
      <c r="AI13" s="231" t="inlineStr">
        <is>
          <t>Travel</t>
        </is>
      </c>
      <c r="AJ13" s="232">
        <f>IFERROR(VLOOKUP(AH13,'Master List'!$A:$D,2,0),0)</f>
        <v/>
      </c>
      <c r="AK13" s="232">
        <f>IFERROR(VLOOKUP(AH13,'Master List'!$A:$D,3,0),0)</f>
        <v/>
      </c>
      <c r="AL13" s="232">
        <f>IFERROR(VLOOKUP(AH13,'Master List'!$A:$D,4,0),0)</f>
        <v/>
      </c>
      <c r="AM13" s="235">
        <f>IF(C32=0,($E$32-SUM(AM12,AM14)),(($E$32-SUM(AM12,AM14))/($C$32+1)))</f>
        <v/>
      </c>
      <c r="AN13" s="232">
        <f>IFERROR(AK13/AL13,0)</f>
        <v/>
      </c>
      <c r="AO13" s="232">
        <f>IFERROR(IF(AM13&lt;((1/2*AL13*AN13^2)*2),1/2*AL13*SQRT((AM13/2)*2/AL13)^2,1/2*AL13*AN13^2),0)</f>
        <v/>
      </c>
      <c r="AP13" s="232">
        <f>IFERROR(IF(AM13-AO13-AQ13&lt;=0,0,AM13-AO13-AQ13),0)</f>
        <v/>
      </c>
      <c r="AQ13" s="232">
        <f>AO13</f>
        <v/>
      </c>
      <c r="AR13" s="232">
        <f>IFERROR(IF(AM13&lt;((1/2*AL13*AN13^2)*2),SQRT((AM13/2)*2/AL13),AN13),0)</f>
        <v/>
      </c>
      <c r="AS13" s="232">
        <f>IFERROR(AP13/AK13,0)</f>
        <v/>
      </c>
      <c r="AT13" s="232">
        <f>AR13</f>
        <v/>
      </c>
      <c r="AU13" s="232">
        <f>IF(AJ13&gt;0,AJ13,SUM(AR13:AT13))</f>
        <v/>
      </c>
      <c r="AV13" s="204">
        <f>IF($C$32=0,1,($C$32+1))</f>
        <v/>
      </c>
      <c r="AW13" s="232">
        <f>AU13*AV13</f>
        <v/>
      </c>
      <c r="AX13" s="222" t="n"/>
      <c r="AY13" s="229">
        <f>AY12+1</f>
        <v/>
      </c>
      <c r="AZ13" s="229">
        <f>$B$11</f>
        <v/>
      </c>
      <c r="BA13" s="229" t="inlineStr">
        <is>
          <t>_loaded_</t>
        </is>
      </c>
      <c r="BB13" s="234">
        <f>$B$12</f>
        <v/>
      </c>
      <c r="BC13" s="230">
        <f>AZ13&amp;BA13&amp;BB13</f>
        <v/>
      </c>
      <c r="BD13" s="231" t="inlineStr">
        <is>
          <t>Travel</t>
        </is>
      </c>
      <c r="BE13" s="232">
        <f>IFERROR(VLOOKUP(BC13,'Master List'!$A:$D,2,0),0)</f>
        <v/>
      </c>
      <c r="BF13" s="232">
        <f>IFERROR(VLOOKUP(BC13,'Master List'!$A:$D,3,0),0)</f>
        <v/>
      </c>
      <c r="BG13" s="232">
        <f>IFERROR(VLOOKUP(BC13,'Master List'!$A:$D,4,0),0)</f>
        <v/>
      </c>
      <c r="BH13" s="235">
        <f>IF(C32=0,($F$32-SUM(BH12,BH14)),(($F$32-SUM(BH12,BH14))/($C$32+1)))</f>
        <v/>
      </c>
      <c r="BI13" s="232">
        <f>IFERROR(BF13/BG13,0)</f>
        <v/>
      </c>
      <c r="BJ13" s="232">
        <f>IFERROR(IF(BH13&lt;((1/2*BG13*BI13^2)*2),1/2*BG13*SQRT((BH13/2)*2/BG13)^2,1/2*BG13*BI13^2),0)</f>
        <v/>
      </c>
      <c r="BK13" s="232">
        <f>IFERROR(IF(BH13-BJ13-BL13&lt;=0,0,BH13-BJ13-BL13),0)</f>
        <v/>
      </c>
      <c r="BL13" s="232">
        <f>BJ13</f>
        <v/>
      </c>
      <c r="BM13" s="232">
        <f>IFERROR(IF(BH13&lt;((1/2*BG13*BI13^2)*2),SQRT((BH13/2)*2/BG13),BI13),0)</f>
        <v/>
      </c>
      <c r="BN13" s="232">
        <f>IFERROR(BK13/BF13,0)</f>
        <v/>
      </c>
      <c r="BO13" s="232">
        <f>BM13</f>
        <v/>
      </c>
      <c r="BP13" s="232">
        <f>IF(BE13&gt;0,BE13,SUM(BM13:BO13))</f>
        <v/>
      </c>
      <c r="BQ13" s="204">
        <f>IF($C$32=0,1,($C$32+1))</f>
        <v/>
      </c>
      <c r="BR13" s="232">
        <f>BP13*BQ13</f>
        <v/>
      </c>
      <c r="BS13" s="222" t="n"/>
      <c r="BT13" s="229">
        <f>BT12+1</f>
        <v/>
      </c>
      <c r="BU13" s="229">
        <f>$B$11</f>
        <v/>
      </c>
      <c r="BV13" s="229" t="inlineStr">
        <is>
          <t>_loaded_</t>
        </is>
      </c>
      <c r="BW13" s="234">
        <f>$B$12</f>
        <v/>
      </c>
      <c r="BX13" s="230">
        <f>BU13&amp;BV13&amp;BW13</f>
        <v/>
      </c>
      <c r="BY13" s="231" t="inlineStr">
        <is>
          <t>Travel</t>
        </is>
      </c>
      <c r="BZ13" s="232">
        <f>IFERROR(VLOOKUP(BX13,'Master List'!$A:$D,2,0),0)</f>
        <v/>
      </c>
      <c r="CA13" s="232">
        <f>IFERROR(VLOOKUP(BX13,'Master List'!$A:$D,3,0),0)</f>
        <v/>
      </c>
      <c r="CB13" s="232">
        <f>IFERROR(VLOOKUP(BX13,'Master List'!$A:$D,4,0),0)</f>
        <v/>
      </c>
      <c r="CC13" s="235">
        <f>IF(C36=0,($F$36-SUM(CC12,CC14)),(($F$36-SUM(CC12,CC14))/($C$36+1)))</f>
        <v/>
      </c>
      <c r="CD13" s="232">
        <f>IFERROR(CA13/CB13,0)</f>
        <v/>
      </c>
      <c r="CE13" s="232">
        <f>IFERROR(IF(CC13&lt;((1/2*CB13*CD13^2)*2),1/2*CB13*SQRT((CC13/2)*2/CB13)^2,1/2*CB13*CD13^2),0)</f>
        <v/>
      </c>
      <c r="CF13" s="232">
        <f>IFERROR(IF(CC13-CE13-CG13&lt;=0,0,CC13-CE13-CG13),0)</f>
        <v/>
      </c>
      <c r="CG13" s="232">
        <f>CE13</f>
        <v/>
      </c>
      <c r="CH13" s="232">
        <f>IFERROR(IF(CC13&lt;((1/2*CB13*CD13^2)*2),SQRT((CC13/2)*2/CB13),CD13),0)</f>
        <v/>
      </c>
      <c r="CI13" s="232">
        <f>IFERROR(CF13/CA13,0)</f>
        <v/>
      </c>
      <c r="CJ13" s="232">
        <f>CH13</f>
        <v/>
      </c>
      <c r="CK13" s="232">
        <f>IF(BZ13&gt;0,BZ13,SUM(CH13:CJ13))</f>
        <v/>
      </c>
      <c r="CL13" s="232">
        <f>IF($C$36=0,1,($C$36+1))</f>
        <v/>
      </c>
      <c r="CM13" s="232">
        <f>CK13*CL13</f>
        <v/>
      </c>
      <c r="CP13" s="1" t="n">
        <v>1</v>
      </c>
    </row>
    <row r="14" ht="20" customFormat="1" customHeight="1" s="1">
      <c r="A14" s="171" t="inlineStr">
        <is>
          <t>Load unit type</t>
        </is>
      </c>
      <c r="B14" s="175" t="inlineStr">
        <is>
          <t>Pallets</t>
        </is>
      </c>
      <c r="I14" s="229">
        <f>I13+1</f>
        <v/>
      </c>
      <c r="J14" s="229">
        <f>$B$11</f>
        <v/>
      </c>
      <c r="K14" s="229" t="inlineStr">
        <is>
          <t>_docking</t>
        </is>
      </c>
      <c r="L14" s="229" t="n"/>
      <c r="M14" s="230">
        <f>J14&amp;K14&amp;L14</f>
        <v/>
      </c>
      <c r="N14" s="231" t="inlineStr">
        <is>
          <t>Docking</t>
        </is>
      </c>
      <c r="O14" s="232">
        <f>IFERROR(VLOOKUP(M14,'Master List'!$A:$D,2,0),0)</f>
        <v/>
      </c>
      <c r="P14" s="232">
        <f>IFERROR(VLOOKUP(M14,'Master List'!$A:$D,3,0),0)</f>
        <v/>
      </c>
      <c r="Q14" s="232">
        <f>IFERROR(VLOOKUP(M14,'Master List'!$A:$D,4,0),0)</f>
        <v/>
      </c>
      <c r="R14" s="235">
        <f>$B$38</f>
        <v/>
      </c>
      <c r="S14" s="232">
        <f>IFERROR(P14/Q14,0)</f>
        <v/>
      </c>
      <c r="T14" s="232">
        <f>IFERROR(IF(R14&lt;((1/2*Q14*S14^2)*2),1/2*Q14*SQRT((R14/2)*2/Q14)^2,1/2*Q14*S14^2),0)</f>
        <v/>
      </c>
      <c r="U14" s="232">
        <f>IFERROR(IF(R14-T14-V14&lt;=0,0,R14-T14-V14),0)</f>
        <v/>
      </c>
      <c r="V14" s="232">
        <f>T14</f>
        <v/>
      </c>
      <c r="W14" s="232">
        <f>IFERROR(IF(R14&lt;((1/2*Q14*S14^2)*2),SQRT((R14/2)*2/Q14),S14),0)</f>
        <v/>
      </c>
      <c r="X14" s="232">
        <f>IFERROR(U14/P14,0)</f>
        <v/>
      </c>
      <c r="Y14" s="232">
        <f>W14</f>
        <v/>
      </c>
      <c r="Z14" s="232">
        <f>IF(O14&gt;0,O14,SUM(W14:Y14))</f>
        <v/>
      </c>
      <c r="AA14" s="232" t="n">
        <v>1</v>
      </c>
      <c r="AB14" s="232">
        <f>Z14*AA14</f>
        <v/>
      </c>
      <c r="AC14" s="222" t="n"/>
      <c r="AD14" s="229">
        <f>AD13+1</f>
        <v/>
      </c>
      <c r="AE14" s="229">
        <f>$B$11</f>
        <v/>
      </c>
      <c r="AF14" s="229" t="inlineStr">
        <is>
          <t>_docking</t>
        </is>
      </c>
      <c r="AG14" s="229" t="n"/>
      <c r="AH14" s="230">
        <f>AE14&amp;AF14&amp;AG14</f>
        <v/>
      </c>
      <c r="AI14" s="231" t="inlineStr">
        <is>
          <t>Docking</t>
        </is>
      </c>
      <c r="AJ14" s="232">
        <f>IFERROR(VLOOKUP(AH14,'Master List'!$A:$D,2,0),0)</f>
        <v/>
      </c>
      <c r="AK14" s="232">
        <f>IFERROR(VLOOKUP(AH14,'Master List'!$A:$D,3,0),0)</f>
        <v/>
      </c>
      <c r="AL14" s="232">
        <f>IFERROR(VLOOKUP(AH14,'Master List'!$A:$D,4,0),0)</f>
        <v/>
      </c>
      <c r="AM14" s="235">
        <f>$B$38</f>
        <v/>
      </c>
      <c r="AN14" s="232">
        <f>IFERROR(AK14/AL14,0)</f>
        <v/>
      </c>
      <c r="AO14" s="232">
        <f>IFERROR(IF(AM14&lt;((1/2*AL14*AN14^2)*2),1/2*AL14*SQRT((AM14/2)*2/AL14)^2,1/2*AL14*AN14^2),0)</f>
        <v/>
      </c>
      <c r="AP14" s="232">
        <f>IFERROR(IF(AM14-AO14-AQ14&lt;=0,0,AM14-AO14-AQ14),0)</f>
        <v/>
      </c>
      <c r="AQ14" s="232">
        <f>AO14</f>
        <v/>
      </c>
      <c r="AR14" s="232">
        <f>IFERROR(IF(AM14&lt;((1/2*AL14*AN14^2)*2),SQRT((AM14/2)*2/AL14),AN14),0)</f>
        <v/>
      </c>
      <c r="AS14" s="232">
        <f>IFERROR(AP14/AK14,0)</f>
        <v/>
      </c>
      <c r="AT14" s="232">
        <f>AR14</f>
        <v/>
      </c>
      <c r="AU14" s="232">
        <f>IF(AJ14&gt;0,AJ14,SUM(AR14:AT14))</f>
        <v/>
      </c>
      <c r="AV14" s="232" t="n">
        <v>1</v>
      </c>
      <c r="AW14" s="232">
        <f>AU14*AV14</f>
        <v/>
      </c>
      <c r="AX14" s="222" t="n"/>
      <c r="AY14" s="229">
        <f>AY13+1</f>
        <v/>
      </c>
      <c r="AZ14" s="229">
        <f>$B$11</f>
        <v/>
      </c>
      <c r="BA14" s="229" t="inlineStr">
        <is>
          <t>_docking</t>
        </is>
      </c>
      <c r="BB14" s="229" t="n"/>
      <c r="BC14" s="230">
        <f>AZ14&amp;BA14&amp;BB14</f>
        <v/>
      </c>
      <c r="BD14" s="231" t="inlineStr">
        <is>
          <t>Docking</t>
        </is>
      </c>
      <c r="BE14" s="232">
        <f>IFERROR(VLOOKUP(BC14,'Master List'!$A:$D,2,0),0)</f>
        <v/>
      </c>
      <c r="BF14" s="232">
        <f>IFERROR(VLOOKUP(BC14,'Master List'!$A:$D,3,0),0)</f>
        <v/>
      </c>
      <c r="BG14" s="232">
        <f>IFERROR(VLOOKUP(BC14,'Master List'!$A:$D,4,0),0)</f>
        <v/>
      </c>
      <c r="BH14" s="235">
        <f>$B$38</f>
        <v/>
      </c>
      <c r="BI14" s="232">
        <f>IFERROR(BF14/BG14,0)</f>
        <v/>
      </c>
      <c r="BJ14" s="232">
        <f>IFERROR(IF(BH14&lt;((1/2*BG14*BI14^2)*2),1/2*BG14*SQRT((BH14/2)*2/BG14)^2,1/2*BG14*BI14^2),0)</f>
        <v/>
      </c>
      <c r="BK14" s="232">
        <f>IFERROR(IF(BH14-BJ14-BL14&lt;=0,0,BH14-BJ14-BL14),0)</f>
        <v/>
      </c>
      <c r="BL14" s="232">
        <f>BJ14</f>
        <v/>
      </c>
      <c r="BM14" s="232">
        <f>IFERROR(IF(BH14&lt;((1/2*BG14*BI14^2)*2),SQRT((BH14/2)*2/BG14),BI14),0)</f>
        <v/>
      </c>
      <c r="BN14" s="232">
        <f>IFERROR(BK14/BF14,0)</f>
        <v/>
      </c>
      <c r="BO14" s="232">
        <f>BM14</f>
        <v/>
      </c>
      <c r="BP14" s="232">
        <f>IF(BE14&gt;0,BE14,SUM(BM14:BO14))</f>
        <v/>
      </c>
      <c r="BQ14" s="232" t="n">
        <v>1</v>
      </c>
      <c r="BR14" s="232">
        <f>BP14*BQ14</f>
        <v/>
      </c>
      <c r="BS14" s="222" t="n"/>
      <c r="BT14" s="229">
        <f>BT13+1</f>
        <v/>
      </c>
      <c r="BU14" s="229">
        <f>$B$11</f>
        <v/>
      </c>
      <c r="BV14" s="229" t="inlineStr">
        <is>
          <t>_docking</t>
        </is>
      </c>
      <c r="BW14" s="229" t="n"/>
      <c r="BX14" s="230">
        <f>BU14&amp;BV14&amp;BW14</f>
        <v/>
      </c>
      <c r="BY14" s="231" t="inlineStr">
        <is>
          <t>Docking</t>
        </is>
      </c>
      <c r="BZ14" s="232">
        <f>IFERROR(VLOOKUP(BX14,'Master List'!$A:$D,2,0),0)</f>
        <v/>
      </c>
      <c r="CA14" s="232">
        <f>IFERROR(VLOOKUP(BX14,'Master List'!$A:$D,3,0),0)</f>
        <v/>
      </c>
      <c r="CB14" s="232">
        <f>IFERROR(VLOOKUP(BX14,'Master List'!$A:$D,4,0),0)</f>
        <v/>
      </c>
      <c r="CC14" s="235">
        <f>$B$38</f>
        <v/>
      </c>
      <c r="CD14" s="232">
        <f>IFERROR(CA14/CB14,0)</f>
        <v/>
      </c>
      <c r="CE14" s="232">
        <f>IFERROR(IF(CC14&lt;((1/2*CB14*CD14^2)*2),1/2*CB14*SQRT((CC14/2)*2/CB14)^2,1/2*CB14*CD14^2),0)</f>
        <v/>
      </c>
      <c r="CF14" s="232">
        <f>IFERROR(IF(CC14-CE14-CG14&lt;=0,0,CC14-CE14-CG14),0)</f>
        <v/>
      </c>
      <c r="CG14" s="232">
        <f>CE14</f>
        <v/>
      </c>
      <c r="CH14" s="232">
        <f>IFERROR(IF(CC14&lt;((1/2*CB14*CD14^2)*2),SQRT((CC14/2)*2/CB14),CD14),0)</f>
        <v/>
      </c>
      <c r="CI14" s="232">
        <f>IFERROR(CF14/CA14,0)</f>
        <v/>
      </c>
      <c r="CJ14" s="232">
        <f>CH14</f>
        <v/>
      </c>
      <c r="CK14" s="232">
        <f>IF(BZ14&gt;0,BZ14,SUM(CH14:CJ14))</f>
        <v/>
      </c>
      <c r="CL14" s="232" t="n">
        <v>1</v>
      </c>
      <c r="CM14" s="232">
        <f>CK14*CL14</f>
        <v/>
      </c>
      <c r="CP14" s="1" t="n">
        <v>2</v>
      </c>
    </row>
    <row r="15" customFormat="1" s="1">
      <c r="I15" s="229">
        <f>I14+1</f>
        <v/>
      </c>
      <c r="J15" s="229">
        <f>$B$11</f>
        <v/>
      </c>
      <c r="K15" s="229" t="inlineStr">
        <is>
          <t>_detection time</t>
        </is>
      </c>
      <c r="L15" s="229" t="n"/>
      <c r="M15" s="230">
        <f>J15&amp;K15&amp;L15</f>
        <v/>
      </c>
      <c r="N15" s="231" t="inlineStr">
        <is>
          <t>Detecting unloading point</t>
        </is>
      </c>
      <c r="O15" s="232">
        <f>IFERROR(VLOOKUP(M15,'Master List'!$A:$D,2,0),0)</f>
        <v/>
      </c>
      <c r="P15" s="232">
        <f>IFERROR(VLOOKUP(M15,'Master List'!$A:$D,3,0),0)</f>
        <v/>
      </c>
      <c r="Q15" s="232">
        <f>IFERROR(VLOOKUP(M15,'Master List'!$A:$D,4,0),0)</f>
        <v/>
      </c>
      <c r="R15" s="233" t="n"/>
      <c r="S15" s="232">
        <f>IFERROR(P15/Q15,0)</f>
        <v/>
      </c>
      <c r="T15" s="232">
        <f>IFERROR(IF(R15&lt;((1/2*Q15*S15^2)*2),1/2*Q15*SQRT((R15/2)*2/Q15)^2,1/2*Q15*S15^2),0)</f>
        <v/>
      </c>
      <c r="U15" s="232">
        <f>IFERROR(IF(R15-T15-V15&lt;=0,0,R15-T15-V15),0)</f>
        <v/>
      </c>
      <c r="V15" s="232">
        <f>T15</f>
        <v/>
      </c>
      <c r="W15" s="232">
        <f>IFERROR(IF(R15&lt;((1/2*Q15*S15^2)*2),SQRT((R15/2)*2/Q15),S15),0)</f>
        <v/>
      </c>
      <c r="X15" s="232">
        <f>IFERROR(U15/P15,0)</f>
        <v/>
      </c>
      <c r="Y15" s="232">
        <f>W15</f>
        <v/>
      </c>
      <c r="Z15" s="232">
        <f>IF(O15&gt;0,O15,SUM(W15:Y15))</f>
        <v/>
      </c>
      <c r="AA15" s="232" t="n">
        <v>1</v>
      </c>
      <c r="AB15" s="232">
        <f>Z15*AA15</f>
        <v/>
      </c>
      <c r="AC15" s="222" t="n"/>
      <c r="AD15" s="229">
        <f>AD14+1</f>
        <v/>
      </c>
      <c r="AE15" s="229">
        <f>$B$11</f>
        <v/>
      </c>
      <c r="AF15" s="229" t="inlineStr">
        <is>
          <t>_detection time</t>
        </is>
      </c>
      <c r="AG15" s="229" t="n"/>
      <c r="AH15" s="230">
        <f>AE15&amp;AF15&amp;AG15</f>
        <v/>
      </c>
      <c r="AI15" s="231" t="inlineStr">
        <is>
          <t>Detecting unloading point</t>
        </is>
      </c>
      <c r="AJ15" s="232">
        <f>IFERROR(VLOOKUP(AH15,'Master List'!$A:$D,2,0),0)</f>
        <v/>
      </c>
      <c r="AK15" s="232">
        <f>IFERROR(VLOOKUP(AH15,'Master List'!$A:$D,3,0),0)</f>
        <v/>
      </c>
      <c r="AL15" s="232">
        <f>IFERROR(VLOOKUP(AH15,'Master List'!$A:$D,4,0),0)</f>
        <v/>
      </c>
      <c r="AM15" s="233" t="n"/>
      <c r="AN15" s="232">
        <f>IFERROR(AK15/AL15,0)</f>
        <v/>
      </c>
      <c r="AO15" s="232">
        <f>IFERROR(IF(AM15&lt;((1/2*AL15*AN15^2)*2),1/2*AL15*SQRT((AM15/2)*2/AL15)^2,1/2*AL15*AN15^2),0)</f>
        <v/>
      </c>
      <c r="AP15" s="232">
        <f>IFERROR(IF(AM15-AO15-AQ15&lt;=0,0,AM15-AO15-AQ15),0)</f>
        <v/>
      </c>
      <c r="AQ15" s="232">
        <f>AO15</f>
        <v/>
      </c>
      <c r="AR15" s="232">
        <f>IFERROR(IF(AM15&lt;((1/2*AL15*AN15^2)*2),SQRT((AM15/2)*2/AL15),AN15),0)</f>
        <v/>
      </c>
      <c r="AS15" s="232">
        <f>IFERROR(AP15/AK15,0)</f>
        <v/>
      </c>
      <c r="AT15" s="232">
        <f>AR15</f>
        <v/>
      </c>
      <c r="AU15" s="232">
        <f>IF(AJ15&gt;0,AJ15,SUM(AR15:AT15))</f>
        <v/>
      </c>
      <c r="AV15" s="232" t="n">
        <v>1</v>
      </c>
      <c r="AW15" s="232">
        <f>AU15*AV15</f>
        <v/>
      </c>
      <c r="AX15" s="222" t="n"/>
      <c r="AY15" s="229">
        <f>AY14+1</f>
        <v/>
      </c>
      <c r="AZ15" s="229">
        <f>$B$11</f>
        <v/>
      </c>
      <c r="BA15" s="229" t="inlineStr">
        <is>
          <t>_detection time</t>
        </is>
      </c>
      <c r="BB15" s="229" t="n"/>
      <c r="BC15" s="230">
        <f>AZ15&amp;BA15&amp;BB15</f>
        <v/>
      </c>
      <c r="BD15" s="231" t="inlineStr">
        <is>
          <t>Detecting unloading point</t>
        </is>
      </c>
      <c r="BE15" s="232">
        <f>IFERROR(VLOOKUP(BC15,'Master List'!$A:$D,2,0),0)</f>
        <v/>
      </c>
      <c r="BF15" s="232">
        <f>IFERROR(VLOOKUP(BC15,'Master List'!$A:$D,3,0),0)</f>
        <v/>
      </c>
      <c r="BG15" s="232">
        <f>IFERROR(VLOOKUP(BC15,'Master List'!$A:$D,4,0),0)</f>
        <v/>
      </c>
      <c r="BH15" s="233" t="n"/>
      <c r="BI15" s="232">
        <f>IFERROR(BF15/BG15,0)</f>
        <v/>
      </c>
      <c r="BJ15" s="232">
        <f>IFERROR(IF(BH15&lt;((1/2*BG15*BI15^2)*2),1/2*BG15*SQRT((BH15/2)*2/BG15)^2,1/2*BG15*BI15^2),0)</f>
        <v/>
      </c>
      <c r="BK15" s="232">
        <f>IFERROR(IF(BH15-BJ15-BL15&lt;=0,0,BH15-BJ15-BL15),0)</f>
        <v/>
      </c>
      <c r="BL15" s="232">
        <f>BJ15</f>
        <v/>
      </c>
      <c r="BM15" s="232">
        <f>IFERROR(IF(BH15&lt;((1/2*BG15*BI15^2)*2),SQRT((BH15/2)*2/BG15),BI15),0)</f>
        <v/>
      </c>
      <c r="BN15" s="232">
        <f>IFERROR(BK15/BF15,0)</f>
        <v/>
      </c>
      <c r="BO15" s="232">
        <f>BM15</f>
        <v/>
      </c>
      <c r="BP15" s="232">
        <f>IF(BE15&gt;0,BE15,SUM(BM15:BO15))</f>
        <v/>
      </c>
      <c r="BQ15" s="232" t="n">
        <v>1</v>
      </c>
      <c r="BR15" s="232">
        <f>BP15*BQ15</f>
        <v/>
      </c>
      <c r="BS15" s="222" t="n"/>
      <c r="BT15" s="229">
        <f>BT14+1</f>
        <v/>
      </c>
      <c r="BU15" s="229">
        <f>$B$11</f>
        <v/>
      </c>
      <c r="BV15" s="229" t="inlineStr">
        <is>
          <t>_detection time</t>
        </is>
      </c>
      <c r="BW15" s="229" t="n"/>
      <c r="BX15" s="230">
        <f>BU15&amp;BV15&amp;BW15</f>
        <v/>
      </c>
      <c r="BY15" s="231" t="inlineStr">
        <is>
          <t>Detecting unloading point</t>
        </is>
      </c>
      <c r="BZ15" s="232">
        <f>IFERROR(VLOOKUP(BX15,'Master List'!$A:$D,2,0),0)</f>
        <v/>
      </c>
      <c r="CA15" s="232">
        <f>IFERROR(VLOOKUP(BX15,'Master List'!$A:$D,3,0),0)</f>
        <v/>
      </c>
      <c r="CB15" s="232">
        <f>IFERROR(VLOOKUP(BX15,'Master List'!$A:$D,4,0),0)</f>
        <v/>
      </c>
      <c r="CC15" s="233" t="n"/>
      <c r="CD15" s="232">
        <f>IFERROR(CA15/CB15,0)</f>
        <v/>
      </c>
      <c r="CE15" s="232">
        <f>IFERROR(IF(CC15&lt;((1/2*CB15*CD15^2)*2),1/2*CB15*SQRT((CC15/2)*2/CB15)^2,1/2*CB15*CD15^2),0)</f>
        <v/>
      </c>
      <c r="CF15" s="232">
        <f>IFERROR(IF(CC15-CE15-CG15&lt;=0,0,CC15-CE15-CG15),0)</f>
        <v/>
      </c>
      <c r="CG15" s="232">
        <f>CE15</f>
        <v/>
      </c>
      <c r="CH15" s="232">
        <f>IFERROR(IF(CC15&lt;((1/2*CB15*CD15^2)*2),SQRT((CC15/2)*2/CB15),CD15),0)</f>
        <v/>
      </c>
      <c r="CI15" s="232">
        <f>IFERROR(CF15/CA15,0)</f>
        <v/>
      </c>
      <c r="CJ15" s="232">
        <f>CH15</f>
        <v/>
      </c>
      <c r="CK15" s="232">
        <f>IF(BZ15&gt;0,BZ15,SUM(CH15:CJ15))</f>
        <v/>
      </c>
      <c r="CL15" s="232" t="n">
        <v>1</v>
      </c>
      <c r="CM15" s="232">
        <f>CK15*CL15</f>
        <v/>
      </c>
      <c r="CP15" s="1" t="n">
        <v>3</v>
      </c>
    </row>
    <row r="16" customFormat="1" s="1">
      <c r="A16" s="51">
        <f>"Throughput"&amp;" "&amp;B14&amp;" "&amp;"Per Hr"</f>
        <v/>
      </c>
      <c r="B16" s="176" t="n">
        <v>54</v>
      </c>
      <c r="I16" s="229">
        <f>I15+1</f>
        <v/>
      </c>
      <c r="J16" s="229">
        <f>$B$11</f>
        <v/>
      </c>
      <c r="K16" s="229">
        <f>$B$13</f>
        <v/>
      </c>
      <c r="L16" s="229" t="n"/>
      <c r="M16" s="230">
        <f>J16&amp;K16&amp;L16</f>
        <v/>
      </c>
      <c r="N16" s="231" t="inlineStr">
        <is>
          <t>Getting unloaded</t>
        </is>
      </c>
      <c r="O16" s="232">
        <f>IFERROR(VLOOKUP(M16,'Master List'!$A:$D,2,0),0)</f>
        <v/>
      </c>
      <c r="P16" s="232">
        <f>IFERROR(VLOOKUP(M16,'Master List'!$A:$D,3,0),0)</f>
        <v/>
      </c>
      <c r="Q16" s="232">
        <f>IFERROR(VLOOKUP(M16,'Master List'!$A:$D,4,0),0)</f>
        <v/>
      </c>
      <c r="R16" s="233" t="n"/>
      <c r="S16" s="232">
        <f>IFERROR(P16/Q16,0)</f>
        <v/>
      </c>
      <c r="T16" s="232">
        <f>IFERROR(IF(R16&lt;((1/2*Q16*S16^2)*2),1/2*Q16*SQRT((R16/2)*2/Q16)^2,1/2*Q16*S16^2),0)</f>
        <v/>
      </c>
      <c r="U16" s="232">
        <f>IFERROR(IF(R16-T16-V16&lt;=0,0,R16-T16-V16),0)</f>
        <v/>
      </c>
      <c r="V16" s="232">
        <f>T16</f>
        <v/>
      </c>
      <c r="W16" s="232">
        <f>IFERROR(IF(R16&lt;((1/2*Q16*S16^2)*2),SQRT((R16/2)*2/Q16),S16),0)</f>
        <v/>
      </c>
      <c r="X16" s="232">
        <f>IFERROR(U16/P16,0)</f>
        <v/>
      </c>
      <c r="Y16" s="232">
        <f>W16</f>
        <v/>
      </c>
      <c r="Z16" s="232">
        <f>IF(O16&gt;0,O16,SUM(W16:Y16))</f>
        <v/>
      </c>
      <c r="AA16" s="232" t="n">
        <v>1</v>
      </c>
      <c r="AB16" s="232">
        <f>Z16*AA16</f>
        <v/>
      </c>
      <c r="AC16" s="222" t="n"/>
      <c r="AD16" s="229">
        <f>AD15+1</f>
        <v/>
      </c>
      <c r="AE16" s="229">
        <f>$B$11</f>
        <v/>
      </c>
      <c r="AF16" s="229">
        <f>$B$13</f>
        <v/>
      </c>
      <c r="AG16" s="229" t="n"/>
      <c r="AH16" s="230">
        <f>AE16&amp;AF16&amp;AG16</f>
        <v/>
      </c>
      <c r="AI16" s="231" t="inlineStr">
        <is>
          <t>Getting unloaded</t>
        </is>
      </c>
      <c r="AJ16" s="232">
        <f>IFERROR(VLOOKUP(AH16,'Master List'!$A:$D,2,0),0)</f>
        <v/>
      </c>
      <c r="AK16" s="232">
        <f>IFERROR(VLOOKUP(AH16,'Master List'!$A:$D,3,0),0)</f>
        <v/>
      </c>
      <c r="AL16" s="232">
        <f>IFERROR(VLOOKUP(AH16,'Master List'!$A:$D,4,0),0)</f>
        <v/>
      </c>
      <c r="AM16" s="233" t="n"/>
      <c r="AN16" s="232">
        <f>IFERROR(AK16/AL16,0)</f>
        <v/>
      </c>
      <c r="AO16" s="232">
        <f>IFERROR(IF(AM16&lt;((1/2*AL16*AN16^2)*2),1/2*AL16*SQRT((AM16/2)*2/AL16)^2,1/2*AL16*AN16^2),0)</f>
        <v/>
      </c>
      <c r="AP16" s="232">
        <f>IFERROR(IF(AM16-AO16-AQ16&lt;=0,0,AM16-AO16-AQ16),0)</f>
        <v/>
      </c>
      <c r="AQ16" s="232">
        <f>AO16</f>
        <v/>
      </c>
      <c r="AR16" s="232">
        <f>IFERROR(IF(AM16&lt;((1/2*AL16*AN16^2)*2),SQRT((AM16/2)*2/AL16),AN16),0)</f>
        <v/>
      </c>
      <c r="AS16" s="232">
        <f>IFERROR(AP16/AK16,0)</f>
        <v/>
      </c>
      <c r="AT16" s="232">
        <f>AR16</f>
        <v/>
      </c>
      <c r="AU16" s="232">
        <f>IF(AJ16&gt;0,AJ16,SUM(AR16:AT16))</f>
        <v/>
      </c>
      <c r="AV16" s="232" t="n">
        <v>1</v>
      </c>
      <c r="AW16" s="232">
        <f>AU16*AV16</f>
        <v/>
      </c>
      <c r="AX16" s="222" t="n"/>
      <c r="AY16" s="229">
        <f>AY15+1</f>
        <v/>
      </c>
      <c r="AZ16" s="229">
        <f>$B$11</f>
        <v/>
      </c>
      <c r="BA16" s="229">
        <f>$B$13</f>
        <v/>
      </c>
      <c r="BB16" s="229" t="n"/>
      <c r="BC16" s="230">
        <f>AZ16&amp;BA16&amp;BB16</f>
        <v/>
      </c>
      <c r="BD16" s="231" t="inlineStr">
        <is>
          <t>Getting unloaded</t>
        </is>
      </c>
      <c r="BE16" s="232">
        <f>IFERROR(VLOOKUP(BC16,'Master List'!$A:$D,2,0),0)</f>
        <v/>
      </c>
      <c r="BF16" s="232">
        <f>IFERROR(VLOOKUP(BC16,'Master List'!$A:$D,3,0),0)</f>
        <v/>
      </c>
      <c r="BG16" s="232">
        <f>IFERROR(VLOOKUP(BC16,'Master List'!$A:$D,4,0),0)</f>
        <v/>
      </c>
      <c r="BH16" s="233" t="n"/>
      <c r="BI16" s="232">
        <f>IFERROR(BF16/BG16,0)</f>
        <v/>
      </c>
      <c r="BJ16" s="232">
        <f>IFERROR(IF(BH16&lt;((1/2*BG16*BI16^2)*2),1/2*BG16*SQRT((BH16/2)*2/BG16)^2,1/2*BG16*BI16^2),0)</f>
        <v/>
      </c>
      <c r="BK16" s="232">
        <f>IFERROR(IF(BH16-BJ16-BL16&lt;=0,0,BH16-BJ16-BL16),0)</f>
        <v/>
      </c>
      <c r="BL16" s="232">
        <f>BJ16</f>
        <v/>
      </c>
      <c r="BM16" s="232">
        <f>IFERROR(IF(BH16&lt;((1/2*BG16*BI16^2)*2),SQRT((BH16/2)*2/BG16),BI16),0)</f>
        <v/>
      </c>
      <c r="BN16" s="232">
        <f>IFERROR(BK16/BF16,0)</f>
        <v/>
      </c>
      <c r="BO16" s="232">
        <f>BM16</f>
        <v/>
      </c>
      <c r="BP16" s="232">
        <f>IF(BE16&gt;0,BE16,SUM(BM16:BO16))</f>
        <v/>
      </c>
      <c r="BQ16" s="232" t="n">
        <v>1</v>
      </c>
      <c r="BR16" s="232">
        <f>BP16*BQ16</f>
        <v/>
      </c>
      <c r="BS16" s="222" t="n"/>
      <c r="BT16" s="229">
        <f>BT15+1</f>
        <v/>
      </c>
      <c r="BU16" s="229">
        <f>$B$11</f>
        <v/>
      </c>
      <c r="BV16" s="229">
        <f>$B$13</f>
        <v/>
      </c>
      <c r="BW16" s="229" t="n"/>
      <c r="BX16" s="230">
        <f>BU16&amp;BV16&amp;BW16</f>
        <v/>
      </c>
      <c r="BY16" s="231" t="inlineStr">
        <is>
          <t>Getting unloaded</t>
        </is>
      </c>
      <c r="BZ16" s="232">
        <f>IFERROR(VLOOKUP(BX16,'Master List'!$A:$D,2,0),0)</f>
        <v/>
      </c>
      <c r="CA16" s="232">
        <f>IFERROR(VLOOKUP(BX16,'Master List'!$A:$D,3,0),0)</f>
        <v/>
      </c>
      <c r="CB16" s="232">
        <f>IFERROR(VLOOKUP(BX16,'Master List'!$A:$D,4,0),0)</f>
        <v/>
      </c>
      <c r="CC16" s="233" t="n"/>
      <c r="CD16" s="232">
        <f>IFERROR(CA16/CB16,0)</f>
        <v/>
      </c>
      <c r="CE16" s="232">
        <f>IFERROR(IF(CC16&lt;((1/2*CB16*CD16^2)*2),1/2*CB16*SQRT((CC16/2)*2/CB16)^2,1/2*CB16*CD16^2),0)</f>
        <v/>
      </c>
      <c r="CF16" s="232">
        <f>IFERROR(IF(CC16-CE16-CG16&lt;=0,0,CC16-CE16-CG16),0)</f>
        <v/>
      </c>
      <c r="CG16" s="232">
        <f>CE16</f>
        <v/>
      </c>
      <c r="CH16" s="232">
        <f>IFERROR(IF(CC16&lt;((1/2*CB16*CD16^2)*2),SQRT((CC16/2)*2/CB16),CD16),0)</f>
        <v/>
      </c>
      <c r="CI16" s="232">
        <f>IFERROR(CF16/CA16,0)</f>
        <v/>
      </c>
      <c r="CJ16" s="232">
        <f>CH16</f>
        <v/>
      </c>
      <c r="CK16" s="232">
        <f>IF(BZ16&gt;0,BZ16,SUM(CH16:CJ16))</f>
        <v/>
      </c>
      <c r="CL16" s="232" t="n">
        <v>1</v>
      </c>
      <c r="CM16" s="232">
        <f>CK16*CL16</f>
        <v/>
      </c>
      <c r="CP16" s="1" t="n">
        <v>4</v>
      </c>
    </row>
    <row r="17" customFormat="1" s="1">
      <c r="A17" s="51" t="inlineStr">
        <is>
          <t>Number of load units carried per combined cycle</t>
        </is>
      </c>
      <c r="B17" s="176" t="n">
        <v>2</v>
      </c>
      <c r="I17" s="229">
        <f>I16+1</f>
        <v/>
      </c>
      <c r="J17" s="229">
        <f>$B$11</f>
        <v/>
      </c>
      <c r="K17" s="229" t="inlineStr">
        <is>
          <t>_docking</t>
        </is>
      </c>
      <c r="L17" s="229" t="n"/>
      <c r="M17" s="230">
        <f>J17&amp;K17&amp;L17</f>
        <v/>
      </c>
      <c r="N17" s="231" t="inlineStr">
        <is>
          <t>Undocking</t>
        </is>
      </c>
      <c r="O17" s="232">
        <f>IFERROR(VLOOKUP(M17,'Master List'!$A:$D,2,0),0)</f>
        <v/>
      </c>
      <c r="P17" s="232">
        <f>IFERROR(VLOOKUP(M17,'Master List'!$A:$D,3,0),0)</f>
        <v/>
      </c>
      <c r="Q17" s="232">
        <f>IFERROR(VLOOKUP(M17,'Master List'!$A:$D,4,0),0)</f>
        <v/>
      </c>
      <c r="R17" s="235">
        <f>$B$38</f>
        <v/>
      </c>
      <c r="S17" s="232">
        <f>IFERROR(P17/Q17,0)</f>
        <v/>
      </c>
      <c r="T17" s="232">
        <f>IFERROR(IF(R17&lt;((1/2*Q17*S17^2)*2),1/2*Q17*SQRT((R17/2)*2/Q17)^2,1/2*Q17*S17^2),0)</f>
        <v/>
      </c>
      <c r="U17" s="232">
        <f>IFERROR(IF(R17-T17-V17&lt;=0,0,R17-T17-V17),0)</f>
        <v/>
      </c>
      <c r="V17" s="232">
        <f>T17</f>
        <v/>
      </c>
      <c r="W17" s="232">
        <f>IFERROR(IF(R17&lt;((1/2*Q17*S17^2)*2),SQRT((R17/2)*2/Q17),S17),0)</f>
        <v/>
      </c>
      <c r="X17" s="232">
        <f>IFERROR(U17/P17,0)</f>
        <v/>
      </c>
      <c r="Y17" s="232">
        <f>W17</f>
        <v/>
      </c>
      <c r="Z17" s="232">
        <f>IF(O17&gt;0,O17,SUM(W17:Y17))</f>
        <v/>
      </c>
      <c r="AA17" s="232" t="n">
        <v>1</v>
      </c>
      <c r="AB17" s="232">
        <f>Z17*AA17</f>
        <v/>
      </c>
      <c r="AC17" s="222" t="n"/>
      <c r="AD17" s="229">
        <f>AD16+1</f>
        <v/>
      </c>
      <c r="AE17" s="229">
        <f>$B$11</f>
        <v/>
      </c>
      <c r="AF17" s="229" t="inlineStr">
        <is>
          <t>_docking</t>
        </is>
      </c>
      <c r="AG17" s="229" t="n"/>
      <c r="AH17" s="230">
        <f>AE17&amp;AF17&amp;AG17</f>
        <v/>
      </c>
      <c r="AI17" s="231" t="inlineStr">
        <is>
          <t>Undocking</t>
        </is>
      </c>
      <c r="AJ17" s="232">
        <f>IFERROR(VLOOKUP(AH17,'Master List'!$A:$D,2,0),0)</f>
        <v/>
      </c>
      <c r="AK17" s="232">
        <f>IFERROR(VLOOKUP(AH17,'Master List'!$A:$D,3,0),0)</f>
        <v/>
      </c>
      <c r="AL17" s="232">
        <f>IFERROR(VLOOKUP(AH17,'Master List'!$A:$D,4,0),0)</f>
        <v/>
      </c>
      <c r="AM17" s="235">
        <f>$B$38</f>
        <v/>
      </c>
      <c r="AN17" s="232">
        <f>IFERROR(AK17/AL17,0)</f>
        <v/>
      </c>
      <c r="AO17" s="232">
        <f>IFERROR(IF(AM17&lt;((1/2*AL17*AN17^2)*2),1/2*AL17*SQRT((AM17/2)*2/AL17)^2,1/2*AL17*AN17^2),0)</f>
        <v/>
      </c>
      <c r="AP17" s="232">
        <f>IFERROR(IF(AM17-AO17-AQ17&lt;=0,0,AM17-AO17-AQ17),0)</f>
        <v/>
      </c>
      <c r="AQ17" s="232">
        <f>AO17</f>
        <v/>
      </c>
      <c r="AR17" s="232">
        <f>IFERROR(IF(AM17&lt;((1/2*AL17*AN17^2)*2),SQRT((AM17/2)*2/AL17),AN17),0)</f>
        <v/>
      </c>
      <c r="AS17" s="232">
        <f>IFERROR(AP17/AK17,0)</f>
        <v/>
      </c>
      <c r="AT17" s="232">
        <f>AR17</f>
        <v/>
      </c>
      <c r="AU17" s="232">
        <f>IF(AJ17&gt;0,AJ17,SUM(AR17:AT17))</f>
        <v/>
      </c>
      <c r="AV17" s="232" t="n">
        <v>1</v>
      </c>
      <c r="AW17" s="232">
        <f>AU17*AV17</f>
        <v/>
      </c>
      <c r="AX17" s="222" t="n"/>
      <c r="AY17" s="229">
        <f>AY16+1</f>
        <v/>
      </c>
      <c r="AZ17" s="229">
        <f>$B$11</f>
        <v/>
      </c>
      <c r="BA17" s="229" t="inlineStr">
        <is>
          <t>_docking</t>
        </is>
      </c>
      <c r="BB17" s="229" t="n"/>
      <c r="BC17" s="230">
        <f>AZ17&amp;BA17&amp;BB17</f>
        <v/>
      </c>
      <c r="BD17" s="231" t="inlineStr">
        <is>
          <t>Undocking</t>
        </is>
      </c>
      <c r="BE17" s="232">
        <f>IFERROR(VLOOKUP(BC17,'Master List'!$A:$D,2,0),0)</f>
        <v/>
      </c>
      <c r="BF17" s="232">
        <f>IFERROR(VLOOKUP(BC17,'Master List'!$A:$D,3,0),0)</f>
        <v/>
      </c>
      <c r="BG17" s="232">
        <f>IFERROR(VLOOKUP(BC17,'Master List'!$A:$D,4,0),0)</f>
        <v/>
      </c>
      <c r="BH17" s="235">
        <f>$B$38</f>
        <v/>
      </c>
      <c r="BI17" s="232">
        <f>IFERROR(BF17/BG17,0)</f>
        <v/>
      </c>
      <c r="BJ17" s="232">
        <f>IFERROR(IF(BH17&lt;((1/2*BG17*BI17^2)*2),1/2*BG17*SQRT((BH17/2)*2/BG17)^2,1/2*BG17*BI17^2),0)</f>
        <v/>
      </c>
      <c r="BK17" s="232">
        <f>IFERROR(IF(BH17-BJ17-BL17&lt;=0,0,BH17-BJ17-BL17),0)</f>
        <v/>
      </c>
      <c r="BL17" s="232">
        <f>BJ17</f>
        <v/>
      </c>
      <c r="BM17" s="232">
        <f>IFERROR(IF(BH17&lt;((1/2*BG17*BI17^2)*2),SQRT((BH17/2)*2/BG17),BI17),0)</f>
        <v/>
      </c>
      <c r="BN17" s="232">
        <f>IFERROR(BK17/BF17,0)</f>
        <v/>
      </c>
      <c r="BO17" s="232">
        <f>BM17</f>
        <v/>
      </c>
      <c r="BP17" s="232">
        <f>IF(BE17&gt;0,BE17,SUM(BM17:BO17))</f>
        <v/>
      </c>
      <c r="BQ17" s="232" t="n">
        <v>1</v>
      </c>
      <c r="BR17" s="232">
        <f>BP17*BQ17</f>
        <v/>
      </c>
      <c r="BS17" s="222" t="n"/>
      <c r="BT17" s="229">
        <f>BT16+1</f>
        <v/>
      </c>
      <c r="BU17" s="229">
        <f>$B$11</f>
        <v/>
      </c>
      <c r="BV17" s="229" t="inlineStr">
        <is>
          <t>_docking</t>
        </is>
      </c>
      <c r="BW17" s="229" t="n"/>
      <c r="BX17" s="230">
        <f>BU17&amp;BV17&amp;BW17</f>
        <v/>
      </c>
      <c r="BY17" s="231" t="inlineStr">
        <is>
          <t>Undocking</t>
        </is>
      </c>
      <c r="BZ17" s="232">
        <f>IFERROR(VLOOKUP(BX17,'Master List'!$A:$D,2,0),0)</f>
        <v/>
      </c>
      <c r="CA17" s="232">
        <f>IFERROR(VLOOKUP(BX17,'Master List'!$A:$D,3,0),0)</f>
        <v/>
      </c>
      <c r="CB17" s="232">
        <f>IFERROR(VLOOKUP(BX17,'Master List'!$A:$D,4,0),0)</f>
        <v/>
      </c>
      <c r="CC17" s="235">
        <f>$B$38</f>
        <v/>
      </c>
      <c r="CD17" s="232">
        <f>IFERROR(CA17/CB17,0)</f>
        <v/>
      </c>
      <c r="CE17" s="232">
        <f>IFERROR(IF(CC17&lt;((1/2*CB17*CD17^2)*2),1/2*CB17*SQRT((CC17/2)*2/CB17)^2,1/2*CB17*CD17^2),0)</f>
        <v/>
      </c>
      <c r="CF17" s="232">
        <f>IFERROR(IF(CC17-CE17-CG17&lt;=0,0,CC17-CE17-CG17),0)</f>
        <v/>
      </c>
      <c r="CG17" s="232">
        <f>CE17</f>
        <v/>
      </c>
      <c r="CH17" s="232">
        <f>IFERROR(IF(CC17&lt;((1/2*CB17*CD17^2)*2),SQRT((CC17/2)*2/CB17),CD17),0)</f>
        <v/>
      </c>
      <c r="CI17" s="232">
        <f>IFERROR(CF17/CA17,0)</f>
        <v/>
      </c>
      <c r="CJ17" s="232">
        <f>CH17</f>
        <v/>
      </c>
      <c r="CK17" s="232">
        <f>IF(BZ17&gt;0,BZ17,SUM(CH17:CJ17))</f>
        <v/>
      </c>
      <c r="CL17" s="232" t="n">
        <v>1</v>
      </c>
      <c r="CM17" s="232">
        <f>CK17*CL17</f>
        <v/>
      </c>
      <c r="CP17" s="1" t="n">
        <v>5</v>
      </c>
    </row>
    <row r="18" customFormat="1" s="1">
      <c r="A18" s="51" t="inlineStr">
        <is>
          <t>Number of load units carried per single cycle</t>
        </is>
      </c>
      <c r="B18" s="176" t="n">
        <v>1</v>
      </c>
      <c r="I18" s="229">
        <f>I17+1</f>
        <v/>
      </c>
      <c r="J18" s="229">
        <f>$B$11</f>
        <v/>
      </c>
      <c r="K18" s="229" t="inlineStr">
        <is>
          <t>_unloaded_</t>
        </is>
      </c>
      <c r="L18" s="229">
        <f>$B$12</f>
        <v/>
      </c>
      <c r="M18" s="230">
        <f>J18&amp;K18&amp;L18</f>
        <v/>
      </c>
      <c r="N18" s="231" t="inlineStr">
        <is>
          <t>Travel to next point in combine cycle to get loaded</t>
        </is>
      </c>
      <c r="O18" s="232">
        <f>IFERROR(VLOOKUP(M18,'Master List'!$A:$D,2,0),0)</f>
        <v/>
      </c>
      <c r="P18" s="232">
        <f>IFERROR(VLOOKUP(M18,'Master List'!$A:$D,3,0),0)</f>
        <v/>
      </c>
      <c r="Q18" s="232">
        <f>IFERROR(VLOOKUP(M18,'Master List'!$A:$D,4,0),0)</f>
        <v/>
      </c>
      <c r="R18" s="235">
        <f>IF(C33=0,($D$33-SUM(R17,R19)),(($D$33-SUM(R17,R19))/($C$33+1)))</f>
        <v/>
      </c>
      <c r="S18" s="232">
        <f>IFERROR(P18/Q18,0)</f>
        <v/>
      </c>
      <c r="T18" s="232">
        <f>IFERROR(IF(R18&lt;((1/2*Q18*S18^2)*2),1/2*Q18*SQRT((R18/2)*2/Q18)^2,1/2*Q18*S18^2),0)</f>
        <v/>
      </c>
      <c r="U18" s="232">
        <f>IFERROR(IF(R18-T18-V18&lt;=0,0,R18-T18-V18),0)</f>
        <v/>
      </c>
      <c r="V18" s="232">
        <f>T18</f>
        <v/>
      </c>
      <c r="W18" s="232">
        <f>IFERROR(IF(R18&lt;((1/2*Q18*S18^2)*2),SQRT((R18/2)*2/Q18),S18),0)</f>
        <v/>
      </c>
      <c r="X18" s="232">
        <f>IFERROR(U18/P18,0)</f>
        <v/>
      </c>
      <c r="Y18" s="232">
        <f>W18</f>
        <v/>
      </c>
      <c r="Z18" s="232">
        <f>IF(O18&gt;0,O18,SUM(W18:Y18))</f>
        <v/>
      </c>
      <c r="AA18" s="204">
        <f>IF($C$33=0,1,($C$33+1))</f>
        <v/>
      </c>
      <c r="AB18" s="232">
        <f>Z18*AA18</f>
        <v/>
      </c>
      <c r="AC18" s="222" t="n"/>
      <c r="AD18" s="229">
        <f>AD17+1</f>
        <v/>
      </c>
      <c r="AE18" s="229">
        <f>$B$11</f>
        <v/>
      </c>
      <c r="AF18" s="229" t="inlineStr">
        <is>
          <t>_unloaded_</t>
        </is>
      </c>
      <c r="AG18" s="234">
        <f>$B$12</f>
        <v/>
      </c>
      <c r="AH18" s="230">
        <f>AE18&amp;AF18&amp;AG18</f>
        <v/>
      </c>
      <c r="AI18" s="231" t="inlineStr">
        <is>
          <t>Travel to next point in combine cycle to get loaded</t>
        </is>
      </c>
      <c r="AJ18" s="232">
        <f>IFERROR(VLOOKUP(AH18,'Master List'!$A:$D,2,0),0)</f>
        <v/>
      </c>
      <c r="AK18" s="232">
        <f>IFERROR(VLOOKUP(AH18,'Master List'!$A:$D,3,0),0)</f>
        <v/>
      </c>
      <c r="AL18" s="232">
        <f>IFERROR(VLOOKUP(AH18,'Master List'!$A:$D,4,0),0)</f>
        <v/>
      </c>
      <c r="AM18" s="235">
        <f>IF(C33=0,($E$33-SUM(AM17,AM19)),(($E$33-SUM(AM17,AM19))/($C$33+1)))</f>
        <v/>
      </c>
      <c r="AN18" s="232">
        <f>IFERROR(AK18/AL18,0)</f>
        <v/>
      </c>
      <c r="AO18" s="232">
        <f>IFERROR(IF(AM18&lt;((1/2*AL18*AN18^2)*2),1/2*AL18*SQRT((AM18/2)*2/AL18)^2,1/2*AL18*AN18^2),0)</f>
        <v/>
      </c>
      <c r="AP18" s="232">
        <f>IFERROR(IF(AM18-AO18-AQ18&lt;=0,0,AM18-AO18-AQ18),0)</f>
        <v/>
      </c>
      <c r="AQ18" s="232">
        <f>AO18</f>
        <v/>
      </c>
      <c r="AR18" s="232">
        <f>IFERROR(IF(AM18&lt;((1/2*AL18*AN18^2)*2),SQRT((AM18/2)*2/AL18),AN18),0)</f>
        <v/>
      </c>
      <c r="AS18" s="232">
        <f>IFERROR(AP18/AK18,0)</f>
        <v/>
      </c>
      <c r="AT18" s="232">
        <f>AR18</f>
        <v/>
      </c>
      <c r="AU18" s="232">
        <f>IF(AJ18&gt;0,AJ18,SUM(AR18:AT18))</f>
        <v/>
      </c>
      <c r="AV18" s="204">
        <f>IF($C$33=0,1,($C$33+1))</f>
        <v/>
      </c>
      <c r="AW18" s="232">
        <f>AU18*AV18</f>
        <v/>
      </c>
      <c r="AX18" s="222" t="n"/>
      <c r="AY18" s="229">
        <f>AY17+1</f>
        <v/>
      </c>
      <c r="AZ18" s="229">
        <f>$B$11</f>
        <v/>
      </c>
      <c r="BA18" s="229" t="inlineStr">
        <is>
          <t>_unloaded_</t>
        </is>
      </c>
      <c r="BB18" s="234">
        <f>$B$12</f>
        <v/>
      </c>
      <c r="BC18" s="230">
        <f>AZ18&amp;BA18&amp;BB18</f>
        <v/>
      </c>
      <c r="BD18" s="231" t="inlineStr">
        <is>
          <t>Travel to next point in combine cycle to get loaded</t>
        </is>
      </c>
      <c r="BE18" s="232">
        <f>IFERROR(VLOOKUP(BC18,'Master List'!$A:$D,2,0),0)</f>
        <v/>
      </c>
      <c r="BF18" s="232">
        <f>IFERROR(VLOOKUP(BC18,'Master List'!$A:$D,3,0),0)</f>
        <v/>
      </c>
      <c r="BG18" s="232">
        <f>IFERROR(VLOOKUP(BC18,'Master List'!$A:$D,4,0),0)</f>
        <v/>
      </c>
      <c r="BH18" s="235">
        <f>IF(C33=0,($F$33-SUM(BH17,BH19)),(($F$33-SUM(BH17,BH19))/($C$33+1)))</f>
        <v/>
      </c>
      <c r="BI18" s="232">
        <f>IFERROR(BF18/BG18,0)</f>
        <v/>
      </c>
      <c r="BJ18" s="232">
        <f>IFERROR(IF(BH18&lt;((1/2*BG18*BI18^2)*2),1/2*BG18*SQRT((BH18/2)*2/BG18)^2,1/2*BG18*BI18^2),0)</f>
        <v/>
      </c>
      <c r="BK18" s="232">
        <f>IFERROR(IF(BH18-BJ18-BL18&lt;=0,0,BH18-BJ18-BL18),0)</f>
        <v/>
      </c>
      <c r="BL18" s="232">
        <f>BJ18</f>
        <v/>
      </c>
      <c r="BM18" s="232">
        <f>IFERROR(IF(BH18&lt;((1/2*BG18*BI18^2)*2),SQRT((BH18/2)*2/BG18),BI18),0)</f>
        <v/>
      </c>
      <c r="BN18" s="232">
        <f>IFERROR(BK18/BF18,0)</f>
        <v/>
      </c>
      <c r="BO18" s="232">
        <f>BM18</f>
        <v/>
      </c>
      <c r="BP18" s="232">
        <f>IF(BE18&gt;0,BE18,SUM(BM18:BO18))</f>
        <v/>
      </c>
      <c r="BQ18" s="204">
        <f>IF($C$33=0,1,($C$33+1))</f>
        <v/>
      </c>
      <c r="BR18" s="232">
        <f>BP18*BQ18</f>
        <v/>
      </c>
      <c r="BS18" s="222" t="n"/>
      <c r="BT18" s="229">
        <f>BT17+1</f>
        <v/>
      </c>
      <c r="BU18" s="229">
        <f>$B$11</f>
        <v/>
      </c>
      <c r="BV18" s="229" t="inlineStr">
        <is>
          <t>_unloaded_</t>
        </is>
      </c>
      <c r="BW18" s="234">
        <f>$B$12</f>
        <v/>
      </c>
      <c r="BX18" s="230">
        <f>BU18&amp;BV18&amp;BW18</f>
        <v/>
      </c>
      <c r="BY18" s="231" t="inlineStr">
        <is>
          <t>Travel Back to loading point</t>
        </is>
      </c>
      <c r="BZ18" s="232">
        <f>IFERROR(VLOOKUP(BX18,'Master List'!$A:$D,2,0),0)</f>
        <v/>
      </c>
      <c r="CA18" s="232">
        <f>IFERROR(VLOOKUP(BX18,'Master List'!$A:$D,3,0),0)</f>
        <v/>
      </c>
      <c r="CB18" s="232">
        <f>IFERROR(VLOOKUP(BX18,'Master List'!$A:$D,4,0),0)</f>
        <v/>
      </c>
      <c r="CC18" s="235">
        <f>CC13</f>
        <v/>
      </c>
      <c r="CD18" s="232">
        <f>IFERROR(CA18/CB18,0)</f>
        <v/>
      </c>
      <c r="CE18" s="232">
        <f>IFERROR(IF(CC18&lt;((1/2*CB18*CD18^2)*2),1/2*CB18*SQRT((CC18/2)*2/CB18)^2,1/2*CB18*CD18^2),0)</f>
        <v/>
      </c>
      <c r="CF18" s="232">
        <f>IFERROR(IF(CC18-CE18-CG18&lt;=0,0,CC18-CE18-CG18),0)</f>
        <v/>
      </c>
      <c r="CG18" s="232">
        <f>CE18</f>
        <v/>
      </c>
      <c r="CH18" s="232">
        <f>IFERROR(IF(CC18&lt;((1/2*CB18*CD18^2)*2),SQRT((CC18/2)*2/CB18),CD18),0)</f>
        <v/>
      </c>
      <c r="CI18" s="232">
        <f>IFERROR(CF18/CA18,0)</f>
        <v/>
      </c>
      <c r="CJ18" s="232">
        <f>CH18</f>
        <v/>
      </c>
      <c r="CK18" s="232">
        <f>IF(BZ18&gt;0,BZ18,SUM(CH18:CJ18))</f>
        <v/>
      </c>
      <c r="CL18" s="232">
        <f>CL13</f>
        <v/>
      </c>
      <c r="CM18" s="232">
        <f>CK18*CL18</f>
        <v/>
      </c>
      <c r="CP18" s="1" t="n">
        <v>6</v>
      </c>
    </row>
    <row r="19" customFormat="1" s="1">
      <c r="A19" s="51" t="inlineStr">
        <is>
          <t>Traffic factor</t>
        </is>
      </c>
      <c r="B19" s="177" t="n">
        <v>0.1</v>
      </c>
      <c r="I19" s="229">
        <f>I18+1</f>
        <v/>
      </c>
      <c r="J19" s="229">
        <f>$B$11</f>
        <v/>
      </c>
      <c r="K19" s="229" t="inlineStr">
        <is>
          <t>_docking</t>
        </is>
      </c>
      <c r="L19" s="229" t="n"/>
      <c r="M19" s="230">
        <f>J19&amp;K19&amp;L19</f>
        <v/>
      </c>
      <c r="N19" s="231" t="inlineStr">
        <is>
          <t>Docking</t>
        </is>
      </c>
      <c r="O19" s="232">
        <f>IFERROR(VLOOKUP(M19,'Master List'!$A:$D,2,0),0)</f>
        <v/>
      </c>
      <c r="P19" s="232">
        <f>IFERROR(VLOOKUP(M19,'Master List'!$A:$D,3,0),0)</f>
        <v/>
      </c>
      <c r="Q19" s="232">
        <f>IFERROR(VLOOKUP(M19,'Master List'!$A:$D,4,0),0)</f>
        <v/>
      </c>
      <c r="R19" s="235">
        <f>$B$38</f>
        <v/>
      </c>
      <c r="S19" s="232">
        <f>IFERROR(P19/Q19,0)</f>
        <v/>
      </c>
      <c r="T19" s="232">
        <f>IFERROR(IF(R19&lt;((1/2*Q19*S19^2)*2),1/2*Q19*SQRT((R19/2)*2/Q19)^2,1/2*Q19*S19^2),0)</f>
        <v/>
      </c>
      <c r="U19" s="232">
        <f>IFERROR(IF(R19-T19-V19&lt;=0,0,R19-T19-V19),0)</f>
        <v/>
      </c>
      <c r="V19" s="232">
        <f>T19</f>
        <v/>
      </c>
      <c r="W19" s="232">
        <f>IFERROR(IF(R19&lt;((1/2*Q19*S19^2)*2),SQRT((R19/2)*2/Q19),S19),0)</f>
        <v/>
      </c>
      <c r="X19" s="232">
        <f>IFERROR(U19/P19,0)</f>
        <v/>
      </c>
      <c r="Y19" s="232">
        <f>W19</f>
        <v/>
      </c>
      <c r="Z19" s="232">
        <f>IF(O19&gt;0,O19,SUM(W19:Y19))</f>
        <v/>
      </c>
      <c r="AA19" s="232" t="n">
        <v>1</v>
      </c>
      <c r="AB19" s="232">
        <f>Z19*AA19</f>
        <v/>
      </c>
      <c r="AC19" s="222" t="n"/>
      <c r="AD19" s="229">
        <f>AD18+1</f>
        <v/>
      </c>
      <c r="AE19" s="229">
        <f>$B$11</f>
        <v/>
      </c>
      <c r="AF19" s="229" t="inlineStr">
        <is>
          <t>_docking</t>
        </is>
      </c>
      <c r="AG19" s="229" t="n"/>
      <c r="AH19" s="230">
        <f>AE19&amp;AF19&amp;AG19</f>
        <v/>
      </c>
      <c r="AI19" s="231" t="inlineStr">
        <is>
          <t>Docking</t>
        </is>
      </c>
      <c r="AJ19" s="232">
        <f>IFERROR(VLOOKUP(AH19,'Master List'!$A:$D,2,0),0)</f>
        <v/>
      </c>
      <c r="AK19" s="232">
        <f>IFERROR(VLOOKUP(AH19,'Master List'!$A:$D,3,0),0)</f>
        <v/>
      </c>
      <c r="AL19" s="232">
        <f>IFERROR(VLOOKUP(AH19,'Master List'!$A:$D,4,0),0)</f>
        <v/>
      </c>
      <c r="AM19" s="235">
        <f>$B$38</f>
        <v/>
      </c>
      <c r="AN19" s="232">
        <f>IFERROR(AK19/AL19,0)</f>
        <v/>
      </c>
      <c r="AO19" s="232">
        <f>IFERROR(IF(AM19&lt;((1/2*AL19*AN19^2)*2),1/2*AL19*SQRT((AM19/2)*2/AL19)^2,1/2*AL19*AN19^2),0)</f>
        <v/>
      </c>
      <c r="AP19" s="232">
        <f>IFERROR(IF(AM19-AO19-AQ19&lt;=0,0,AM19-AO19-AQ19),0)</f>
        <v/>
      </c>
      <c r="AQ19" s="232">
        <f>AO19</f>
        <v/>
      </c>
      <c r="AR19" s="232">
        <f>IFERROR(IF(AM19&lt;((1/2*AL19*AN19^2)*2),SQRT((AM19/2)*2/AL19),AN19),0)</f>
        <v/>
      </c>
      <c r="AS19" s="232">
        <f>IFERROR(AP19/AK19,0)</f>
        <v/>
      </c>
      <c r="AT19" s="232">
        <f>AR19</f>
        <v/>
      </c>
      <c r="AU19" s="232">
        <f>IF(AJ19&gt;0,AJ19,SUM(AR19:AT19))</f>
        <v/>
      </c>
      <c r="AV19" s="232" t="n">
        <v>1</v>
      </c>
      <c r="AW19" s="232">
        <f>AU19*AV19</f>
        <v/>
      </c>
      <c r="AX19" s="222" t="n"/>
      <c r="AY19" s="229">
        <f>AY18+1</f>
        <v/>
      </c>
      <c r="AZ19" s="229">
        <f>$B$11</f>
        <v/>
      </c>
      <c r="BA19" s="229" t="inlineStr">
        <is>
          <t>_docking</t>
        </is>
      </c>
      <c r="BB19" s="229" t="n"/>
      <c r="BC19" s="230">
        <f>AZ19&amp;BA19&amp;BB19</f>
        <v/>
      </c>
      <c r="BD19" s="231" t="inlineStr">
        <is>
          <t>Docking</t>
        </is>
      </c>
      <c r="BE19" s="232">
        <f>IFERROR(VLOOKUP(BC19,'Master List'!$A:$D,2,0),0)</f>
        <v/>
      </c>
      <c r="BF19" s="232">
        <f>IFERROR(VLOOKUP(BC19,'Master List'!$A:$D,3,0),0)</f>
        <v/>
      </c>
      <c r="BG19" s="232">
        <f>IFERROR(VLOOKUP(BC19,'Master List'!$A:$D,4,0),0)</f>
        <v/>
      </c>
      <c r="BH19" s="235">
        <f>$B$38</f>
        <v/>
      </c>
      <c r="BI19" s="232">
        <f>IFERROR(BF19/BG19,0)</f>
        <v/>
      </c>
      <c r="BJ19" s="232">
        <f>IFERROR(IF(BH19&lt;((1/2*BG19*BI19^2)*2),1/2*BG19*SQRT((BH19/2)*2/BG19)^2,1/2*BG19*BI19^2),0)</f>
        <v/>
      </c>
      <c r="BK19" s="232">
        <f>IFERROR(IF(BH19-BJ19-BL19&lt;=0,0,BH19-BJ19-BL19),0)</f>
        <v/>
      </c>
      <c r="BL19" s="232">
        <f>BJ19</f>
        <v/>
      </c>
      <c r="BM19" s="232">
        <f>IFERROR(IF(BH19&lt;((1/2*BG19*BI19^2)*2),SQRT((BH19/2)*2/BG19),BI19),0)</f>
        <v/>
      </c>
      <c r="BN19" s="232">
        <f>IFERROR(BK19/BF19,0)</f>
        <v/>
      </c>
      <c r="BO19" s="232">
        <f>BM19</f>
        <v/>
      </c>
      <c r="BP19" s="232">
        <f>IF(BE19&gt;0,BE19,SUM(BM19:BO19))</f>
        <v/>
      </c>
      <c r="BQ19" s="232" t="n">
        <v>1</v>
      </c>
      <c r="BR19" s="232">
        <f>BP19*BQ19</f>
        <v/>
      </c>
      <c r="BS19" s="222" t="n"/>
      <c r="BT19" s="229">
        <f>BT18+1</f>
        <v/>
      </c>
      <c r="BU19" s="229">
        <f>$B$11</f>
        <v/>
      </c>
      <c r="BV19" s="229" t="inlineStr">
        <is>
          <t>_docking</t>
        </is>
      </c>
      <c r="BW19" s="229" t="n"/>
      <c r="BX19" s="230">
        <f>BU19&amp;BV19&amp;BW19</f>
        <v/>
      </c>
      <c r="BY19" s="231" t="inlineStr">
        <is>
          <t>Docking</t>
        </is>
      </c>
      <c r="BZ19" s="232">
        <f>IFERROR(VLOOKUP(BX19,'Master List'!$A:$D,2,0),0)</f>
        <v/>
      </c>
      <c r="CA19" s="232">
        <f>IFERROR(VLOOKUP(BX19,'Master List'!$A:$D,3,0),0)</f>
        <v/>
      </c>
      <c r="CB19" s="232">
        <f>IFERROR(VLOOKUP(BX19,'Master List'!$A:$D,4,0),0)</f>
        <v/>
      </c>
      <c r="CC19" s="235">
        <f>$B$38</f>
        <v/>
      </c>
      <c r="CD19" s="232">
        <f>IFERROR(CA19/CB19,0)</f>
        <v/>
      </c>
      <c r="CE19" s="232">
        <f>IFERROR(IF(CC19&lt;((1/2*CB19*CD19^2)*2),1/2*CB19*SQRT((CC19/2)*2/CB19)^2,1/2*CB19*CD19^2),0)</f>
        <v/>
      </c>
      <c r="CF19" s="232">
        <f>IFERROR(IF(CC19-CE19-CG19&lt;=0,0,CC19-CE19-CG19),0)</f>
        <v/>
      </c>
      <c r="CG19" s="232">
        <f>CE19</f>
        <v/>
      </c>
      <c r="CH19" s="232">
        <f>IFERROR(IF(CC19&lt;((1/2*CB19*CD19^2)*2),SQRT((CC19/2)*2/CB19),CD19),0)</f>
        <v/>
      </c>
      <c r="CI19" s="232">
        <f>IFERROR(CF19/CA19,0)</f>
        <v/>
      </c>
      <c r="CJ19" s="232">
        <f>CH19</f>
        <v/>
      </c>
      <c r="CK19" s="232">
        <f>IF(BZ19&gt;0,BZ19,SUM(CH19:CJ19))</f>
        <v/>
      </c>
      <c r="CL19" s="232" t="n">
        <v>1</v>
      </c>
      <c r="CM19" s="232">
        <f>CK19*CL19</f>
        <v/>
      </c>
    </row>
    <row r="20" customFormat="1" s="1">
      <c r="A20" s="51" t="inlineStr">
        <is>
          <t>Charging factor</t>
        </is>
      </c>
      <c r="B20" s="177" t="n">
        <v>0.15</v>
      </c>
      <c r="I20" s="229">
        <f>I19+1</f>
        <v/>
      </c>
      <c r="J20" s="229">
        <f>$B$11</f>
        <v/>
      </c>
      <c r="K20" s="229" t="inlineStr">
        <is>
          <t>_detection time</t>
        </is>
      </c>
      <c r="L20" s="229" t="n"/>
      <c r="M20" s="230">
        <f>J20&amp;K20&amp;L20</f>
        <v/>
      </c>
      <c r="N20" s="231" t="inlineStr">
        <is>
          <t>Detecting unloading point</t>
        </is>
      </c>
      <c r="O20" s="232">
        <f>IFERROR(VLOOKUP(M20,'Master List'!$A:$D,2,0),0)</f>
        <v/>
      </c>
      <c r="P20" s="232">
        <f>IFERROR(VLOOKUP(M20,'Master List'!$A:$D,3,0),0)</f>
        <v/>
      </c>
      <c r="Q20" s="232">
        <f>IFERROR(VLOOKUP(M20,'Master List'!$A:$D,4,0),0)</f>
        <v/>
      </c>
      <c r="R20" s="233" t="n"/>
      <c r="S20" s="232">
        <f>IFERROR(P20/Q20,0)</f>
        <v/>
      </c>
      <c r="T20" s="232">
        <f>IFERROR(IF(R20&lt;((1/2*Q20*S20^2)*2),1/2*Q20*SQRT((R20/2)*2/Q20)^2,1/2*Q20*S20^2),0)</f>
        <v/>
      </c>
      <c r="U20" s="232">
        <f>IFERROR(IF(R20-T20-V20&lt;=0,0,R20-T20-V20),0)</f>
        <v/>
      </c>
      <c r="V20" s="232">
        <f>T20</f>
        <v/>
      </c>
      <c r="W20" s="232">
        <f>IFERROR(IF(R20&lt;((1/2*Q20*S20^2)*2),SQRT((R20/2)*2/Q20),S20),0)</f>
        <v/>
      </c>
      <c r="X20" s="232">
        <f>IFERROR(U20/P20,0)</f>
        <v/>
      </c>
      <c r="Y20" s="232">
        <f>W20</f>
        <v/>
      </c>
      <c r="Z20" s="232">
        <f>IF(O20&gt;0,O20,SUM(W20:Y20))</f>
        <v/>
      </c>
      <c r="AA20" s="232" t="n">
        <v>1</v>
      </c>
      <c r="AB20" s="232">
        <f>Z20*AA20</f>
        <v/>
      </c>
      <c r="AC20" s="222" t="n"/>
      <c r="AD20" s="229">
        <f>AD19+1</f>
        <v/>
      </c>
      <c r="AE20" s="229">
        <f>$B$11</f>
        <v/>
      </c>
      <c r="AF20" s="229" t="inlineStr">
        <is>
          <t>_detection time</t>
        </is>
      </c>
      <c r="AG20" s="229" t="n"/>
      <c r="AH20" s="230">
        <f>AE20&amp;AF20&amp;AG20</f>
        <v/>
      </c>
      <c r="AI20" s="231" t="inlineStr">
        <is>
          <t>Detecting unloading point</t>
        </is>
      </c>
      <c r="AJ20" s="232">
        <f>IFERROR(VLOOKUP(AH20,'Master List'!$A:$D,2,0),0)</f>
        <v/>
      </c>
      <c r="AK20" s="232">
        <f>IFERROR(VLOOKUP(AH20,'Master List'!$A:$D,3,0),0)</f>
        <v/>
      </c>
      <c r="AL20" s="232">
        <f>IFERROR(VLOOKUP(AH20,'Master List'!$A:$D,4,0),0)</f>
        <v/>
      </c>
      <c r="AM20" s="233" t="n"/>
      <c r="AN20" s="232">
        <f>IFERROR(AK20/AL20,0)</f>
        <v/>
      </c>
      <c r="AO20" s="232">
        <f>IFERROR(IF(AM20&lt;((1/2*AL20*AN20^2)*2),1/2*AL20*SQRT((AM20/2)*2/AL20)^2,1/2*AL20*AN20^2),0)</f>
        <v/>
      </c>
      <c r="AP20" s="232">
        <f>IFERROR(IF(AM20-AO20-AQ20&lt;=0,0,AM20-AO20-AQ20),0)</f>
        <v/>
      </c>
      <c r="AQ20" s="232">
        <f>AO20</f>
        <v/>
      </c>
      <c r="AR20" s="232">
        <f>IFERROR(IF(AM20&lt;((1/2*AL20*AN20^2)*2),SQRT((AM20/2)*2/AL20),AN20),0)</f>
        <v/>
      </c>
      <c r="AS20" s="232">
        <f>IFERROR(AP20/AK20,0)</f>
        <v/>
      </c>
      <c r="AT20" s="232">
        <f>AR20</f>
        <v/>
      </c>
      <c r="AU20" s="232">
        <f>IF(AJ20&gt;0,AJ20,SUM(AR20:AT20))</f>
        <v/>
      </c>
      <c r="AV20" s="232" t="n">
        <v>1</v>
      </c>
      <c r="AW20" s="232">
        <f>AU20*AV20</f>
        <v/>
      </c>
      <c r="AX20" s="222" t="n"/>
      <c r="AY20" s="229">
        <f>AY19+1</f>
        <v/>
      </c>
      <c r="AZ20" s="229">
        <f>$B$11</f>
        <v/>
      </c>
      <c r="BA20" s="229" t="inlineStr">
        <is>
          <t>_detection time</t>
        </is>
      </c>
      <c r="BB20" s="229" t="n"/>
      <c r="BC20" s="230">
        <f>AZ20&amp;BA20&amp;BB20</f>
        <v/>
      </c>
      <c r="BD20" s="231" t="inlineStr">
        <is>
          <t>Detecting unloading point</t>
        </is>
      </c>
      <c r="BE20" s="232">
        <f>IFERROR(VLOOKUP(BC20,'Master List'!$A:$D,2,0),0)</f>
        <v/>
      </c>
      <c r="BF20" s="232">
        <f>IFERROR(VLOOKUP(BC20,'Master List'!$A:$D,3,0),0)</f>
        <v/>
      </c>
      <c r="BG20" s="232">
        <f>IFERROR(VLOOKUP(BC20,'Master List'!$A:$D,4,0),0)</f>
        <v/>
      </c>
      <c r="BH20" s="233" t="n"/>
      <c r="BI20" s="232">
        <f>IFERROR(BF20/BG20,0)</f>
        <v/>
      </c>
      <c r="BJ20" s="232">
        <f>IFERROR(IF(BH20&lt;((1/2*BG20*BI20^2)*2),1/2*BG20*SQRT((BH20/2)*2/BG20)^2,1/2*BG20*BI20^2),0)</f>
        <v/>
      </c>
      <c r="BK20" s="232">
        <f>IFERROR(IF(BH20-BJ20-BL20&lt;=0,0,BH20-BJ20-BL20),0)</f>
        <v/>
      </c>
      <c r="BL20" s="232">
        <f>BJ20</f>
        <v/>
      </c>
      <c r="BM20" s="232">
        <f>IFERROR(IF(BH20&lt;((1/2*BG20*BI20^2)*2),SQRT((BH20/2)*2/BG20),BI20),0)</f>
        <v/>
      </c>
      <c r="BN20" s="232">
        <f>IFERROR(BK20/BF20,0)</f>
        <v/>
      </c>
      <c r="BO20" s="232">
        <f>BM20</f>
        <v/>
      </c>
      <c r="BP20" s="232">
        <f>IF(BE20&gt;0,BE20,SUM(BM20:BO20))</f>
        <v/>
      </c>
      <c r="BQ20" s="232" t="n">
        <v>1</v>
      </c>
      <c r="BR20" s="232">
        <f>BP20*BQ20</f>
        <v/>
      </c>
      <c r="BS20" s="222" t="n"/>
      <c r="BT20" s="229">
        <f>BT19+1</f>
        <v/>
      </c>
      <c r="BU20" s="229">
        <f>$B$11</f>
        <v/>
      </c>
      <c r="BV20" s="229" t="inlineStr">
        <is>
          <t>_detection time</t>
        </is>
      </c>
      <c r="BW20" s="229" t="n"/>
      <c r="BX20" s="230">
        <f>BU20&amp;BV20&amp;BW20</f>
        <v/>
      </c>
      <c r="BY20" s="231" t="inlineStr">
        <is>
          <t>Detecting unloading point</t>
        </is>
      </c>
      <c r="BZ20" s="232">
        <f>IFERROR(VLOOKUP(BX20,'Master List'!$A:$D,2,0),0)</f>
        <v/>
      </c>
      <c r="CA20" s="232">
        <f>IFERROR(VLOOKUP(BX20,'Master List'!$A:$D,3,0),0)</f>
        <v/>
      </c>
      <c r="CB20" s="232">
        <f>IFERROR(VLOOKUP(BX20,'Master List'!$A:$D,4,0),0)</f>
        <v/>
      </c>
      <c r="CC20" s="233" t="n"/>
      <c r="CD20" s="232">
        <f>IFERROR(CA20/CB20,0)</f>
        <v/>
      </c>
      <c r="CE20" s="232">
        <f>IFERROR(IF(CC20&lt;((1/2*CB20*CD20^2)*2),1/2*CB20*SQRT((CC20/2)*2/CB20)^2,1/2*CB20*CD20^2),0)</f>
        <v/>
      </c>
      <c r="CF20" s="232">
        <f>IFERROR(IF(CC20-CE20-CG20&lt;=0,0,CC20-CE20-CG20),0)</f>
        <v/>
      </c>
      <c r="CG20" s="232">
        <f>CE20</f>
        <v/>
      </c>
      <c r="CH20" s="232">
        <f>IFERROR(IF(CC20&lt;((1/2*CB20*CD20^2)*2),SQRT((CC20/2)*2/CB20),CD20),0)</f>
        <v/>
      </c>
      <c r="CI20" s="232">
        <f>IFERROR(CF20/CA20,0)</f>
        <v/>
      </c>
      <c r="CJ20" s="232">
        <f>CH20</f>
        <v/>
      </c>
      <c r="CK20" s="232">
        <f>IF(BZ20&gt;0,BZ20,SUM(CH20:CJ20))</f>
        <v/>
      </c>
      <c r="CL20" s="232" t="n">
        <v>1</v>
      </c>
      <c r="CM20" s="232">
        <f>CK20*CL20</f>
        <v/>
      </c>
    </row>
    <row r="21" customFormat="1" s="1">
      <c r="I21" s="229">
        <f>I20+1</f>
        <v/>
      </c>
      <c r="J21" s="229">
        <f>$B$11</f>
        <v/>
      </c>
      <c r="K21" s="229">
        <f>$B$13</f>
        <v/>
      </c>
      <c r="L21" s="229" t="n"/>
      <c r="M21" s="230">
        <f>J21&amp;K21&amp;L21</f>
        <v/>
      </c>
      <c r="N21" s="231" t="inlineStr">
        <is>
          <t>Getting loaded</t>
        </is>
      </c>
      <c r="O21" s="232">
        <f>IFERROR(VLOOKUP(M21,'Master List'!$A:$D,2,0),0)</f>
        <v/>
      </c>
      <c r="P21" s="232">
        <f>IFERROR(VLOOKUP(M21,'Master List'!$A:$D,3,0),0)</f>
        <v/>
      </c>
      <c r="Q21" s="232">
        <f>IFERROR(VLOOKUP(M21,'Master List'!$A:$D,4,0),0)</f>
        <v/>
      </c>
      <c r="R21" s="233" t="n"/>
      <c r="S21" s="232">
        <f>IFERROR(P21/Q21,0)</f>
        <v/>
      </c>
      <c r="T21" s="232">
        <f>IFERROR(IF(R21&lt;((1/2*Q21*S21^2)*2),1/2*Q21*SQRT((R21/2)*2/Q21)^2,1/2*Q21*S21^2),0)</f>
        <v/>
      </c>
      <c r="U21" s="232">
        <f>IFERROR(IF(R21-T21-V21&lt;=0,0,R21-T21-V21),0)</f>
        <v/>
      </c>
      <c r="V21" s="232">
        <f>T21</f>
        <v/>
      </c>
      <c r="W21" s="232">
        <f>IFERROR(IF(R21&lt;((1/2*Q21*S21^2)*2),SQRT((R21/2)*2/Q21),S21),0)</f>
        <v/>
      </c>
      <c r="X21" s="232">
        <f>IFERROR(U21/P21,0)</f>
        <v/>
      </c>
      <c r="Y21" s="232">
        <f>W21</f>
        <v/>
      </c>
      <c r="Z21" s="232">
        <f>IF(O21&gt;0,O21,SUM(W21:Y21))</f>
        <v/>
      </c>
      <c r="AA21" s="232" t="n">
        <v>1</v>
      </c>
      <c r="AB21" s="232">
        <f>Z21*AA21</f>
        <v/>
      </c>
      <c r="AC21" s="222" t="n"/>
      <c r="AD21" s="229">
        <f>AD20+1</f>
        <v/>
      </c>
      <c r="AE21" s="229">
        <f>$B$11</f>
        <v/>
      </c>
      <c r="AF21" s="229">
        <f>$B$13</f>
        <v/>
      </c>
      <c r="AG21" s="229" t="n"/>
      <c r="AH21" s="230">
        <f>AE21&amp;AF21&amp;AG21</f>
        <v/>
      </c>
      <c r="AI21" s="231" t="inlineStr">
        <is>
          <t>Getting unloaded</t>
        </is>
      </c>
      <c r="AJ21" s="232">
        <f>IFERROR(VLOOKUP(AH21,'Master List'!$A:$D,2,0),0)</f>
        <v/>
      </c>
      <c r="AK21" s="232">
        <f>IFERROR(VLOOKUP(AH21,'Master List'!$A:$D,3,0),0)</f>
        <v/>
      </c>
      <c r="AL21" s="232">
        <f>IFERROR(VLOOKUP(AH21,'Master List'!$A:$D,4,0),0)</f>
        <v/>
      </c>
      <c r="AM21" s="233" t="n"/>
      <c r="AN21" s="232">
        <f>IFERROR(AK21/AL21,0)</f>
        <v/>
      </c>
      <c r="AO21" s="232">
        <f>IFERROR(IF(AM21&lt;((1/2*AL21*AN21^2)*2),1/2*AL21*SQRT((AM21/2)*2/AL21)^2,1/2*AL21*AN21^2),0)</f>
        <v/>
      </c>
      <c r="AP21" s="232">
        <f>IFERROR(IF(AM21-AO21-AQ21&lt;=0,0,AM21-AO21-AQ21),0)</f>
        <v/>
      </c>
      <c r="AQ21" s="232">
        <f>AO21</f>
        <v/>
      </c>
      <c r="AR21" s="232">
        <f>IFERROR(IF(AM21&lt;((1/2*AL21*AN21^2)*2),SQRT((AM21/2)*2/AL21),AN21),0)</f>
        <v/>
      </c>
      <c r="AS21" s="232">
        <f>IFERROR(AP21/AK21,0)</f>
        <v/>
      </c>
      <c r="AT21" s="232">
        <f>AR21</f>
        <v/>
      </c>
      <c r="AU21" s="232">
        <f>IF(AJ21&gt;0,AJ21,SUM(AR21:AT21))</f>
        <v/>
      </c>
      <c r="AV21" s="232" t="n">
        <v>1</v>
      </c>
      <c r="AW21" s="232">
        <f>AU21*AV21</f>
        <v/>
      </c>
      <c r="AX21" s="222" t="n"/>
      <c r="AY21" s="229">
        <f>AY20+1</f>
        <v/>
      </c>
      <c r="AZ21" s="229">
        <f>$B$11</f>
        <v/>
      </c>
      <c r="BA21" s="229">
        <f>$B$13</f>
        <v/>
      </c>
      <c r="BB21" s="229" t="n"/>
      <c r="BC21" s="230">
        <f>AZ21&amp;BA21&amp;BB21</f>
        <v/>
      </c>
      <c r="BD21" s="231" t="inlineStr">
        <is>
          <t>Getting unloaded</t>
        </is>
      </c>
      <c r="BE21" s="232">
        <f>IFERROR(VLOOKUP(BC21,'Master List'!$A:$D,2,0),0)</f>
        <v/>
      </c>
      <c r="BF21" s="232">
        <f>IFERROR(VLOOKUP(BC21,'Master List'!$A:$D,3,0),0)</f>
        <v/>
      </c>
      <c r="BG21" s="232">
        <f>IFERROR(VLOOKUP(BC21,'Master List'!$A:$D,4,0),0)</f>
        <v/>
      </c>
      <c r="BH21" s="233" t="n"/>
      <c r="BI21" s="232">
        <f>IFERROR(BF21/BG21,0)</f>
        <v/>
      </c>
      <c r="BJ21" s="232">
        <f>IFERROR(IF(BH21&lt;((1/2*BG21*BI21^2)*2),1/2*BG21*SQRT((BH21/2)*2/BG21)^2,1/2*BG21*BI21^2),0)</f>
        <v/>
      </c>
      <c r="BK21" s="232">
        <f>IFERROR(IF(BH21-BJ21-BL21&lt;=0,0,BH21-BJ21-BL21),0)</f>
        <v/>
      </c>
      <c r="BL21" s="232">
        <f>BJ21</f>
        <v/>
      </c>
      <c r="BM21" s="232">
        <f>IFERROR(IF(BH21&lt;((1/2*BG21*BI21^2)*2),SQRT((BH21/2)*2/BG21),BI21),0)</f>
        <v/>
      </c>
      <c r="BN21" s="232">
        <f>IFERROR(BK21/BF21,0)</f>
        <v/>
      </c>
      <c r="BO21" s="232">
        <f>BM21</f>
        <v/>
      </c>
      <c r="BP21" s="232">
        <f>IF(BE21&gt;0,BE21,SUM(BM21:BO21))</f>
        <v/>
      </c>
      <c r="BQ21" s="232" t="n">
        <v>1</v>
      </c>
      <c r="BR21" s="232">
        <f>BP21*BQ21</f>
        <v/>
      </c>
      <c r="BS21" s="222" t="n"/>
      <c r="BT21" s="229">
        <f>BT20+1</f>
        <v/>
      </c>
      <c r="BU21" s="229">
        <f>$B$11</f>
        <v/>
      </c>
      <c r="BV21" s="229" t="inlineStr">
        <is>
          <t>_loaded_turning</t>
        </is>
      </c>
      <c r="BW21" s="229" t="n"/>
      <c r="BX21" s="230">
        <f>BU21&amp;BV21&amp;BW21</f>
        <v/>
      </c>
      <c r="BY21" s="230" t="inlineStr">
        <is>
          <t>Turning times</t>
        </is>
      </c>
      <c r="BZ21" s="232">
        <f>IFERROR(VLOOKUP(BX21,'Master List'!$A:$D,2,0),0)</f>
        <v/>
      </c>
      <c r="CA21" s="232">
        <f>IFERROR(VLOOKUP(BX21,'Master List'!$A:$D,3,0),0)</f>
        <v/>
      </c>
      <c r="CB21" s="232">
        <f>IFERROR(VLOOKUP(BX21,'Master List'!$A:$D,4,0),0)</f>
        <v/>
      </c>
      <c r="CC21" s="233" t="n"/>
      <c r="CD21" s="232">
        <f>IFERROR(CA21/CB21,0)</f>
        <v/>
      </c>
      <c r="CE21" s="232">
        <f>IFERROR(IF(CC21&lt;((1/2*CB21*CD21^2)*2),1/2*CB21*SQRT((CC21/2)*2/CB21)^2,1/2*CB21*CD21^2),0)</f>
        <v/>
      </c>
      <c r="CF21" s="232">
        <f>IFERROR(IF(CC21-CE21-CG21&lt;=0,0,CC21-CE21-CG21),0)</f>
        <v/>
      </c>
      <c r="CG21" s="232">
        <f>CE21</f>
        <v/>
      </c>
      <c r="CH21" s="232">
        <f>IFERROR(IF(CC21&lt;((1/2*CB21*CD21^2)*2),SQRT((CC21/2)*2/CB21),CD21),0)</f>
        <v/>
      </c>
      <c r="CI21" s="232">
        <f>IFERROR(CF21/CA21,0)</f>
        <v/>
      </c>
      <c r="CJ21" s="232">
        <f>CH21</f>
        <v/>
      </c>
      <c r="CK21" s="232">
        <f>IF(BZ21&gt;0,BZ21,SUM(CH21:CJ21))</f>
        <v/>
      </c>
      <c r="CL21" s="232">
        <f>SUM($C$36*2)</f>
        <v/>
      </c>
      <c r="CM21" s="232">
        <f>CK21*CL21</f>
        <v/>
      </c>
    </row>
    <row r="22" customFormat="1" s="1">
      <c r="I22" s="229">
        <f>I21+1</f>
        <v/>
      </c>
      <c r="J22" s="229">
        <f>$B$11</f>
        <v/>
      </c>
      <c r="K22" s="229" t="inlineStr">
        <is>
          <t>_docking</t>
        </is>
      </c>
      <c r="L22" s="229" t="n"/>
      <c r="M22" s="230">
        <f>J22&amp;K22&amp;L22</f>
        <v/>
      </c>
      <c r="N22" s="231" t="inlineStr">
        <is>
          <t>Undocking</t>
        </is>
      </c>
      <c r="O22" s="232">
        <f>IFERROR(VLOOKUP(M22,'Master List'!$A:$D,2,0),0)</f>
        <v/>
      </c>
      <c r="P22" s="232">
        <f>IFERROR(VLOOKUP(M22,'Master List'!$A:$D,3,0),0)</f>
        <v/>
      </c>
      <c r="Q22" s="232">
        <f>IFERROR(VLOOKUP(M22,'Master List'!$A:$D,4,0),0)</f>
        <v/>
      </c>
      <c r="R22" s="235">
        <f>$B$38</f>
        <v/>
      </c>
      <c r="S22" s="232">
        <f>IFERROR(P22/Q22,0)</f>
        <v/>
      </c>
      <c r="T22" s="232">
        <f>IFERROR(IF(R22&lt;((1/2*Q22*S22^2)*2),1/2*Q22*SQRT((R22/2)*2/Q22)^2,1/2*Q22*S22^2),0)</f>
        <v/>
      </c>
      <c r="U22" s="232">
        <f>IFERROR(IF(R22-T22-V22&lt;=0,0,R22-T22-V22),0)</f>
        <v/>
      </c>
      <c r="V22" s="232">
        <f>T22</f>
        <v/>
      </c>
      <c r="W22" s="232">
        <f>IFERROR(IF(R22&lt;((1/2*Q22*S22^2)*2),SQRT((R22/2)*2/Q22),S22),0)</f>
        <v/>
      </c>
      <c r="X22" s="232">
        <f>IFERROR(U22/P22,0)</f>
        <v/>
      </c>
      <c r="Y22" s="232">
        <f>W22</f>
        <v/>
      </c>
      <c r="Z22" s="232">
        <f>IF(O22&gt;0,O22,SUM(W22:Y22))</f>
        <v/>
      </c>
      <c r="AA22" s="232" t="n">
        <v>1</v>
      </c>
      <c r="AB22" s="232">
        <f>Z22*AA22</f>
        <v/>
      </c>
      <c r="AC22" s="222" t="n"/>
      <c r="AD22" s="229">
        <f>AD21+1</f>
        <v/>
      </c>
      <c r="AE22" s="229">
        <f>$B$11</f>
        <v/>
      </c>
      <c r="AF22" s="229" t="inlineStr">
        <is>
          <t>_docking</t>
        </is>
      </c>
      <c r="AG22" s="229" t="n"/>
      <c r="AH22" s="230">
        <f>AE22&amp;AF22&amp;AG22</f>
        <v/>
      </c>
      <c r="AI22" s="231" t="inlineStr">
        <is>
          <t>Undocking</t>
        </is>
      </c>
      <c r="AJ22" s="232">
        <f>IFERROR(VLOOKUP(AH22,'Master List'!$A:$D,2,0),0)</f>
        <v/>
      </c>
      <c r="AK22" s="232">
        <f>IFERROR(VLOOKUP(AH22,'Master List'!$A:$D,3,0),0)</f>
        <v/>
      </c>
      <c r="AL22" s="232">
        <f>IFERROR(VLOOKUP(AH22,'Master List'!$A:$D,4,0),0)</f>
        <v/>
      </c>
      <c r="AM22" s="235">
        <f>$B$38</f>
        <v/>
      </c>
      <c r="AN22" s="232">
        <f>IFERROR(AK22/AL22,0)</f>
        <v/>
      </c>
      <c r="AO22" s="232">
        <f>IFERROR(IF(AM22&lt;((1/2*AL22*AN22^2)*2),1/2*AL22*SQRT((AM22/2)*2/AL22)^2,1/2*AL22*AN22^2),0)</f>
        <v/>
      </c>
      <c r="AP22" s="232">
        <f>IFERROR(IF(AM22-AO22-AQ22&lt;=0,0,AM22-AO22-AQ22),0)</f>
        <v/>
      </c>
      <c r="AQ22" s="232">
        <f>AO22</f>
        <v/>
      </c>
      <c r="AR22" s="232">
        <f>IFERROR(IF(AM22&lt;((1/2*AL22*AN22^2)*2),SQRT((AM22/2)*2/AL22),AN22),0)</f>
        <v/>
      </c>
      <c r="AS22" s="232">
        <f>IFERROR(AP22/AK22,0)</f>
        <v/>
      </c>
      <c r="AT22" s="232">
        <f>AR22</f>
        <v/>
      </c>
      <c r="AU22" s="232">
        <f>IF(AJ22&gt;0,AJ22,SUM(AR22:AT22))</f>
        <v/>
      </c>
      <c r="AV22" s="232" t="n">
        <v>1</v>
      </c>
      <c r="AW22" s="232">
        <f>AU22*AV22</f>
        <v/>
      </c>
      <c r="AX22" s="222" t="n"/>
      <c r="AY22" s="229">
        <f>AY21+1</f>
        <v/>
      </c>
      <c r="AZ22" s="229">
        <f>$B$11</f>
        <v/>
      </c>
      <c r="BA22" s="229" t="inlineStr">
        <is>
          <t>_docking</t>
        </is>
      </c>
      <c r="BB22" s="229" t="n"/>
      <c r="BC22" s="230">
        <f>AZ22&amp;BA22&amp;BB22</f>
        <v/>
      </c>
      <c r="BD22" s="231" t="inlineStr">
        <is>
          <t>Undocking</t>
        </is>
      </c>
      <c r="BE22" s="232">
        <f>IFERROR(VLOOKUP(BC22,'Master List'!$A:$D,2,0),0)</f>
        <v/>
      </c>
      <c r="BF22" s="232">
        <f>IFERROR(VLOOKUP(BC22,'Master List'!$A:$D,3,0),0)</f>
        <v/>
      </c>
      <c r="BG22" s="232">
        <f>IFERROR(VLOOKUP(BC22,'Master List'!$A:$D,4,0),0)</f>
        <v/>
      </c>
      <c r="BH22" s="235">
        <f>$B$38</f>
        <v/>
      </c>
      <c r="BI22" s="232">
        <f>IFERROR(BF22/BG22,0)</f>
        <v/>
      </c>
      <c r="BJ22" s="232">
        <f>IFERROR(IF(BH22&lt;((1/2*BG22*BI22^2)*2),1/2*BG22*SQRT((BH22/2)*2/BG22)^2,1/2*BG22*BI22^2),0)</f>
        <v/>
      </c>
      <c r="BK22" s="232">
        <f>IFERROR(IF(BH22-BJ22-BL22&lt;=0,0,BH22-BJ22-BL22),0)</f>
        <v/>
      </c>
      <c r="BL22" s="232">
        <f>BJ22</f>
        <v/>
      </c>
      <c r="BM22" s="232">
        <f>IFERROR(IF(BH22&lt;((1/2*BG22*BI22^2)*2),SQRT((BH22/2)*2/BG22),BI22),0)</f>
        <v/>
      </c>
      <c r="BN22" s="232">
        <f>IFERROR(BK22/BF22,0)</f>
        <v/>
      </c>
      <c r="BO22" s="232">
        <f>BM22</f>
        <v/>
      </c>
      <c r="BP22" s="232">
        <f>IF(BE22&gt;0,BE22,SUM(BM22:BO22))</f>
        <v/>
      </c>
      <c r="BQ22" s="232" t="n">
        <v>1</v>
      </c>
      <c r="BR22" s="232">
        <f>BP22*BQ22</f>
        <v/>
      </c>
      <c r="BS22" s="222" t="n"/>
      <c r="BT22" s="229">
        <f>BT21+1</f>
        <v/>
      </c>
      <c r="BU22" s="229" t="n"/>
      <c r="BV22" s="229" t="n"/>
      <c r="BW22" s="229" t="n"/>
      <c r="BX22" s="230">
        <f>BU22&amp;BV22&amp;BW22</f>
        <v/>
      </c>
      <c r="BY22" s="231" t="n"/>
      <c r="BZ22" s="232">
        <f>IFERROR(VLOOKUP(BX22,'Master List'!$A:$D,2,0),0)</f>
        <v/>
      </c>
      <c r="CA22" s="232">
        <f>IFERROR(VLOOKUP(BX22,'Master List'!$A:$D,3,0),0)</f>
        <v/>
      </c>
      <c r="CB22" s="232">
        <f>IFERROR(VLOOKUP(BX22,'Master List'!$A:$D,4,0),0)</f>
        <v/>
      </c>
      <c r="CC22" s="221" t="n"/>
      <c r="CD22" s="232">
        <f>IFERROR(CA22/CB22,0)</f>
        <v/>
      </c>
      <c r="CE22" s="232">
        <f>IFERROR(IF(CC22&lt;((1/2*CB22*CD22^2)*2),1/2*CB22*SQRT((CC22/2)*2/CB22)^2,1/2*CB22*CD22^2),0)</f>
        <v/>
      </c>
      <c r="CF22" s="232">
        <f>IFERROR(IF(CC22-CE22-CG22&lt;=0,0,CC22-CE22-CG22),0)</f>
        <v/>
      </c>
      <c r="CG22" s="232">
        <f>CE22</f>
        <v/>
      </c>
      <c r="CH22" s="232">
        <f>IFERROR(IF(CC22&lt;((1/2*CB22*CD22^2)*2),SQRT((CC22/2)*2/CB22),CD22),0)</f>
        <v/>
      </c>
      <c r="CI22" s="232">
        <f>IFERROR(CF22/CA22,0)</f>
        <v/>
      </c>
      <c r="CJ22" s="232">
        <f>CH22</f>
        <v/>
      </c>
      <c r="CK22" s="232">
        <f>IF(BZ22&gt;0,BZ22,SUM(CH22:CJ22))</f>
        <v/>
      </c>
      <c r="CL22" s="232" t="n"/>
      <c r="CM22" s="232">
        <f>CK22*CL22</f>
        <v/>
      </c>
    </row>
    <row r="23" customFormat="1" s="1">
      <c r="I23" s="229">
        <f>I22+1</f>
        <v/>
      </c>
      <c r="J23" s="229">
        <f>$B$11</f>
        <v/>
      </c>
      <c r="K23" s="229" t="inlineStr">
        <is>
          <t>_loaded_</t>
        </is>
      </c>
      <c r="L23" s="234">
        <f>$B$12</f>
        <v/>
      </c>
      <c r="M23" s="230">
        <f>J23&amp;K23&amp;L23</f>
        <v/>
      </c>
      <c r="N23" s="231" t="inlineStr">
        <is>
          <t>Travel to final drop point</t>
        </is>
      </c>
      <c r="O23" s="232">
        <f>IFERROR(VLOOKUP(M23,'Master List'!$A:$D,2,0),0)</f>
        <v/>
      </c>
      <c r="P23" s="232">
        <f>IFERROR(VLOOKUP(M23,'Master List'!$A:$D,3,0),0)</f>
        <v/>
      </c>
      <c r="Q23" s="232">
        <f>IFERROR(VLOOKUP(M23,'Master List'!$A:$D,4,0),0)</f>
        <v/>
      </c>
      <c r="R23" s="235">
        <f>IF(C34=0,($D$34-SUM(R22,R24)),(($D$34-SUM(R22,R24))/($C$34+1)))</f>
        <v/>
      </c>
      <c r="S23" s="232">
        <f>IFERROR(P23/Q23,0)</f>
        <v/>
      </c>
      <c r="T23" s="232">
        <f>IFERROR(IF(R23&lt;((1/2*Q23*S23^2)*2),1/2*Q23*SQRT((R23/2)*2/Q23)^2,1/2*Q23*S23^2),0)</f>
        <v/>
      </c>
      <c r="U23" s="232">
        <f>IFERROR(IF(R23-T23-V23&lt;=0,0,R23-T23-V23),0)</f>
        <v/>
      </c>
      <c r="V23" s="232">
        <f>T23</f>
        <v/>
      </c>
      <c r="W23" s="232">
        <f>IFERROR(IF(R23&lt;((1/2*Q23*S23^2)*2),SQRT((R23/2)*2/Q23),S23),0)</f>
        <v/>
      </c>
      <c r="X23" s="232">
        <f>IFERROR(U23/P23,0)</f>
        <v/>
      </c>
      <c r="Y23" s="232">
        <f>W23</f>
        <v/>
      </c>
      <c r="Z23" s="232">
        <f>IF(O23&gt;0,O23,SUM(W23:Y23))</f>
        <v/>
      </c>
      <c r="AA23" s="204">
        <f>IF($C$34=0,1,($C$34+1))</f>
        <v/>
      </c>
      <c r="AB23" s="232">
        <f>Z23*AA23</f>
        <v/>
      </c>
      <c r="AC23" s="222" t="n"/>
      <c r="AD23" s="229">
        <f>AD22+1</f>
        <v/>
      </c>
      <c r="AE23" s="229">
        <f>$B$11</f>
        <v/>
      </c>
      <c r="AF23" s="229" t="inlineStr">
        <is>
          <t>_loaded_</t>
        </is>
      </c>
      <c r="AG23" s="234">
        <f>$B$12</f>
        <v/>
      </c>
      <c r="AH23" s="230">
        <f>AE23&amp;AF23&amp;AG23</f>
        <v/>
      </c>
      <c r="AI23" s="231" t="inlineStr">
        <is>
          <t>Travel to final drop point</t>
        </is>
      </c>
      <c r="AJ23" s="232">
        <f>IFERROR(VLOOKUP(AH23,'Master List'!$A:$D,2,0),0)</f>
        <v/>
      </c>
      <c r="AK23" s="232">
        <f>IFERROR(VLOOKUP(AH23,'Master List'!$A:$D,3,0),0)</f>
        <v/>
      </c>
      <c r="AL23" s="232">
        <f>IFERROR(VLOOKUP(AH23,'Master List'!$A:$D,4,0),0)</f>
        <v/>
      </c>
      <c r="AM23" s="235">
        <f>IF(C34=0,($E$34-SUM(AM22,AM24)),(($E$34-SUM(AM22,AM24))/($C$34+1)))</f>
        <v/>
      </c>
      <c r="AN23" s="232">
        <f>IFERROR(AK23/AL23,0)</f>
        <v/>
      </c>
      <c r="AO23" s="232">
        <f>IFERROR(IF(AM23&lt;((1/2*AL23*AN23^2)*2),1/2*AL23*SQRT((AM23/2)*2/AL23)^2,1/2*AL23*AN23^2),0)</f>
        <v/>
      </c>
      <c r="AP23" s="232">
        <f>IFERROR(IF(AM23-AO23-AQ23&lt;=0,0,AM23-AO23-AQ23),0)</f>
        <v/>
      </c>
      <c r="AQ23" s="232">
        <f>AO23</f>
        <v/>
      </c>
      <c r="AR23" s="232">
        <f>IFERROR(IF(AM23&lt;((1/2*AL23*AN23^2)*2),SQRT((AM23/2)*2/AL23),AN23),0)</f>
        <v/>
      </c>
      <c r="AS23" s="232">
        <f>IFERROR(AP23/AK23,0)</f>
        <v/>
      </c>
      <c r="AT23" s="232">
        <f>AR23</f>
        <v/>
      </c>
      <c r="AU23" s="232">
        <f>IF(AJ23&gt;0,AJ23,SUM(AR23:AT23))</f>
        <v/>
      </c>
      <c r="AV23" s="204">
        <f>IF($C$34=0,1,($C$34+1))</f>
        <v/>
      </c>
      <c r="AW23" s="232">
        <f>AU23*AV23</f>
        <v/>
      </c>
      <c r="AX23" s="222" t="n"/>
      <c r="AY23" s="229">
        <f>AY22+1</f>
        <v/>
      </c>
      <c r="AZ23" s="229">
        <f>$B$11</f>
        <v/>
      </c>
      <c r="BA23" s="229" t="inlineStr">
        <is>
          <t>_loaded_</t>
        </is>
      </c>
      <c r="BB23" s="234">
        <f>$B$12</f>
        <v/>
      </c>
      <c r="BC23" s="230">
        <f>AZ23&amp;BA23&amp;BB23</f>
        <v/>
      </c>
      <c r="BD23" s="231" t="inlineStr">
        <is>
          <t>Travel to final drop point</t>
        </is>
      </c>
      <c r="BE23" s="232">
        <f>IFERROR(VLOOKUP(BC23,'Master List'!$A:$D,2,0),0)</f>
        <v/>
      </c>
      <c r="BF23" s="232">
        <f>IFERROR(VLOOKUP(BC23,'Master List'!$A:$D,3,0),0)</f>
        <v/>
      </c>
      <c r="BG23" s="232">
        <f>IFERROR(VLOOKUP(BC23,'Master List'!$A:$D,4,0),0)</f>
        <v/>
      </c>
      <c r="BH23" s="235">
        <f>IF(C34=0,($F$34-SUM(BH22,BH24)),(($F$34-SUM(BH22,BH24))/($C$34+1)))</f>
        <v/>
      </c>
      <c r="BI23" s="232">
        <f>IFERROR(BF23/BG23,0)</f>
        <v/>
      </c>
      <c r="BJ23" s="232">
        <f>IFERROR(IF(BH23&lt;((1/2*BG23*BI23^2)*2),1/2*BG23*SQRT((BH23/2)*2/BG23)^2,1/2*BG23*BI23^2),0)</f>
        <v/>
      </c>
      <c r="BK23" s="232">
        <f>IFERROR(IF(BH23-BJ23-BL23&lt;=0,0,BH23-BJ23-BL23),0)</f>
        <v/>
      </c>
      <c r="BL23" s="232">
        <f>BJ23</f>
        <v/>
      </c>
      <c r="BM23" s="232">
        <f>IFERROR(IF(BH23&lt;((1/2*BG23*BI23^2)*2),SQRT((BH23/2)*2/BG23),BI23),0)</f>
        <v/>
      </c>
      <c r="BN23" s="232">
        <f>IFERROR(BK23/BF23,0)</f>
        <v/>
      </c>
      <c r="BO23" s="232">
        <f>BM23</f>
        <v/>
      </c>
      <c r="BP23" s="232">
        <f>IF(BE23&gt;0,BE23,SUM(BM23:BO23))</f>
        <v/>
      </c>
      <c r="BQ23" s="204">
        <f>IF($C$34=0,1,($C$34+1))</f>
        <v/>
      </c>
      <c r="BR23" s="232">
        <f>BP23*BQ23</f>
        <v/>
      </c>
      <c r="BS23" s="222" t="n"/>
      <c r="BT23" s="229">
        <f>BT22+1</f>
        <v/>
      </c>
      <c r="BU23" s="229" t="n"/>
      <c r="BV23" s="229" t="n"/>
      <c r="BW23" s="234" t="n"/>
      <c r="BX23" s="230">
        <f>BU23&amp;BV23&amp;BW23</f>
        <v/>
      </c>
      <c r="BY23" s="231" t="n"/>
      <c r="BZ23" s="232">
        <f>IFERROR(VLOOKUP(BX23,'Master List'!$A:$D,2,0),0)</f>
        <v/>
      </c>
      <c r="CA23" s="232">
        <f>IFERROR(VLOOKUP(BX23,'Master List'!$A:$D,3,0),0)</f>
        <v/>
      </c>
      <c r="CB23" s="232">
        <f>IFERROR(VLOOKUP(BX23,'Master List'!$A:$D,4,0),0)</f>
        <v/>
      </c>
      <c r="CC23" s="221" t="n"/>
      <c r="CD23" s="232">
        <f>IFERROR(CA23/CB23,0)</f>
        <v/>
      </c>
      <c r="CE23" s="232">
        <f>IFERROR(IF(CC23&lt;((1/2*CB23*CD23^2)*2),1/2*CB23*SQRT((CC23/2)*2/CB23)^2,1/2*CB23*CD23^2),0)</f>
        <v/>
      </c>
      <c r="CF23" s="232">
        <f>IFERROR(IF(CC23-CE23-CG23&lt;=0,0,CC23-CE23-CG23),0)</f>
        <v/>
      </c>
      <c r="CG23" s="232">
        <f>CE23</f>
        <v/>
      </c>
      <c r="CH23" s="232">
        <f>IFERROR(IF(CC23&lt;((1/2*CB23*CD23^2)*2),SQRT((CC23/2)*2/CB23),CD23),0)</f>
        <v/>
      </c>
      <c r="CI23" s="232">
        <f>IFERROR(CF23/CA23,0)</f>
        <v/>
      </c>
      <c r="CJ23" s="232">
        <f>CH23</f>
        <v/>
      </c>
      <c r="CK23" s="232">
        <f>IF(BZ23&gt;0,BZ23,SUM(CH23:CJ23))</f>
        <v/>
      </c>
      <c r="CL23" s="232" t="n"/>
      <c r="CM23" s="232">
        <f>CK23*CL23</f>
        <v/>
      </c>
    </row>
    <row r="24" customFormat="1" s="1">
      <c r="A24" s="34" t="inlineStr">
        <is>
          <t>Cycle time</t>
        </is>
      </c>
      <c r="B24" s="34" t="inlineStr">
        <is>
          <t>% length travelled</t>
        </is>
      </c>
      <c r="C24" s="34" t="inlineStr">
        <is>
          <t>Weightage</t>
        </is>
      </c>
      <c r="D24" s="34" t="inlineStr">
        <is>
          <t>Cycles/ Hr</t>
        </is>
      </c>
      <c r="E24" s="34">
        <f>B14&amp;" "&amp;"Per Hr"</f>
        <v/>
      </c>
      <c r="I24" s="229">
        <f>I23+1</f>
        <v/>
      </c>
      <c r="J24" s="229">
        <f>$B$11</f>
        <v/>
      </c>
      <c r="K24" s="229" t="inlineStr">
        <is>
          <t>_docking</t>
        </is>
      </c>
      <c r="L24" s="229" t="n"/>
      <c r="M24" s="230">
        <f>J24&amp;K24&amp;L24</f>
        <v/>
      </c>
      <c r="N24" s="231" t="inlineStr">
        <is>
          <t>Docking</t>
        </is>
      </c>
      <c r="O24" s="232">
        <f>IFERROR(VLOOKUP(M24,'Master List'!$A:$D,2,0),0)</f>
        <v/>
      </c>
      <c r="P24" s="232">
        <f>IFERROR(VLOOKUP(M24,'Master List'!$A:$D,3,0),0)</f>
        <v/>
      </c>
      <c r="Q24" s="232">
        <f>IFERROR(VLOOKUP(M24,'Master List'!$A:$D,4,0),0)</f>
        <v/>
      </c>
      <c r="R24" s="235">
        <f>$B$38</f>
        <v/>
      </c>
      <c r="S24" s="232">
        <f>IFERROR(P24/Q24,0)</f>
        <v/>
      </c>
      <c r="T24" s="232">
        <f>IFERROR(IF(R24&lt;((1/2*Q24*S24^2)*2),1/2*Q24*SQRT((R24/2)*2/Q24)^2,1/2*Q24*S24^2),0)</f>
        <v/>
      </c>
      <c r="U24" s="232">
        <f>IFERROR(IF(R24-T24-V24&lt;=0,0,R24-T24-V24),0)</f>
        <v/>
      </c>
      <c r="V24" s="232">
        <f>T24</f>
        <v/>
      </c>
      <c r="W24" s="232">
        <f>IFERROR(IF(R24&lt;((1/2*Q24*S24^2)*2),SQRT((R24/2)*2/Q24),S24),0)</f>
        <v/>
      </c>
      <c r="X24" s="232">
        <f>IFERROR(U24/P24,0)</f>
        <v/>
      </c>
      <c r="Y24" s="232">
        <f>W24</f>
        <v/>
      </c>
      <c r="Z24" s="232">
        <f>IF(O24&gt;0,O24,SUM(W24:Y24))</f>
        <v/>
      </c>
      <c r="AA24" s="232" t="n">
        <v>1</v>
      </c>
      <c r="AB24" s="232">
        <f>Z24*AA24</f>
        <v/>
      </c>
      <c r="AC24" s="222" t="n"/>
      <c r="AD24" s="229">
        <f>AD23+1</f>
        <v/>
      </c>
      <c r="AE24" s="229">
        <f>$B$11</f>
        <v/>
      </c>
      <c r="AF24" s="229" t="inlineStr">
        <is>
          <t>_docking</t>
        </is>
      </c>
      <c r="AG24" s="229" t="n"/>
      <c r="AH24" s="230">
        <f>AE24&amp;AF24&amp;AG24</f>
        <v/>
      </c>
      <c r="AI24" s="231" t="inlineStr">
        <is>
          <t>Docking</t>
        </is>
      </c>
      <c r="AJ24" s="232">
        <f>IFERROR(VLOOKUP(AH24,'Master List'!$A:$D,2,0),0)</f>
        <v/>
      </c>
      <c r="AK24" s="232">
        <f>IFERROR(VLOOKUP(AH24,'Master List'!$A:$D,3,0),0)</f>
        <v/>
      </c>
      <c r="AL24" s="232">
        <f>IFERROR(VLOOKUP(AH24,'Master List'!$A:$D,4,0),0)</f>
        <v/>
      </c>
      <c r="AM24" s="235">
        <f>$B$38</f>
        <v/>
      </c>
      <c r="AN24" s="232">
        <f>IFERROR(AK24/AL24,0)</f>
        <v/>
      </c>
      <c r="AO24" s="232">
        <f>IFERROR(IF(AM24&lt;((1/2*AL24*AN24^2)*2),1/2*AL24*SQRT((AM24/2)*2/AL24)^2,1/2*AL24*AN24^2),0)</f>
        <v/>
      </c>
      <c r="AP24" s="232">
        <f>IFERROR(IF(AM24-AO24-AQ24&lt;=0,0,AM24-AO24-AQ24),0)</f>
        <v/>
      </c>
      <c r="AQ24" s="232">
        <f>AO24</f>
        <v/>
      </c>
      <c r="AR24" s="232">
        <f>IFERROR(IF(AM24&lt;((1/2*AL24*AN24^2)*2),SQRT((AM24/2)*2/AL24),AN24),0)</f>
        <v/>
      </c>
      <c r="AS24" s="232">
        <f>IFERROR(AP24/AK24,0)</f>
        <v/>
      </c>
      <c r="AT24" s="232">
        <f>AR24</f>
        <v/>
      </c>
      <c r="AU24" s="232">
        <f>IF(AJ24&gt;0,AJ24,SUM(AR24:AT24))</f>
        <v/>
      </c>
      <c r="AV24" s="232" t="n">
        <v>1</v>
      </c>
      <c r="AW24" s="232">
        <f>AU24*AV24</f>
        <v/>
      </c>
      <c r="AX24" s="222" t="n"/>
      <c r="AY24" s="229">
        <f>AY23+1</f>
        <v/>
      </c>
      <c r="AZ24" s="229">
        <f>$B$11</f>
        <v/>
      </c>
      <c r="BA24" s="229" t="inlineStr">
        <is>
          <t>_docking</t>
        </is>
      </c>
      <c r="BB24" s="229" t="n"/>
      <c r="BC24" s="230">
        <f>AZ24&amp;BA24&amp;BB24</f>
        <v/>
      </c>
      <c r="BD24" s="231" t="inlineStr">
        <is>
          <t>Docking</t>
        </is>
      </c>
      <c r="BE24" s="232">
        <f>IFERROR(VLOOKUP(BC24,'Master List'!$A:$D,2,0),0)</f>
        <v/>
      </c>
      <c r="BF24" s="232">
        <f>IFERROR(VLOOKUP(BC24,'Master List'!$A:$D,3,0),0)</f>
        <v/>
      </c>
      <c r="BG24" s="232">
        <f>IFERROR(VLOOKUP(BC24,'Master List'!$A:$D,4,0),0)</f>
        <v/>
      </c>
      <c r="BH24" s="235">
        <f>$B$38</f>
        <v/>
      </c>
      <c r="BI24" s="232">
        <f>IFERROR(BF24/BG24,0)</f>
        <v/>
      </c>
      <c r="BJ24" s="232">
        <f>IFERROR(IF(BH24&lt;((1/2*BG24*BI24^2)*2),1/2*BG24*SQRT((BH24/2)*2/BG24)^2,1/2*BG24*BI24^2),0)</f>
        <v/>
      </c>
      <c r="BK24" s="232">
        <f>IFERROR(IF(BH24-BJ24-BL24&lt;=0,0,BH24-BJ24-BL24),0)</f>
        <v/>
      </c>
      <c r="BL24" s="232">
        <f>BJ24</f>
        <v/>
      </c>
      <c r="BM24" s="232">
        <f>IFERROR(IF(BH24&lt;((1/2*BG24*BI24^2)*2),SQRT((BH24/2)*2/BG24),BI24),0)</f>
        <v/>
      </c>
      <c r="BN24" s="232">
        <f>IFERROR(BK24/BF24,0)</f>
        <v/>
      </c>
      <c r="BO24" s="232">
        <f>BM24</f>
        <v/>
      </c>
      <c r="BP24" s="232">
        <f>IF(BE24&gt;0,BE24,SUM(BM24:BO24))</f>
        <v/>
      </c>
      <c r="BQ24" s="232" t="n">
        <v>1</v>
      </c>
      <c r="BR24" s="232">
        <f>BP24*BQ24</f>
        <v/>
      </c>
      <c r="BS24" s="222" t="n"/>
      <c r="BT24" s="229">
        <f>BT23+1</f>
        <v/>
      </c>
      <c r="BU24" s="229" t="n"/>
      <c r="BV24" s="229" t="n"/>
      <c r="BW24" s="229" t="n"/>
      <c r="BX24" s="230">
        <f>BU24&amp;BV24&amp;BW24</f>
        <v/>
      </c>
      <c r="BY24" s="231" t="n"/>
      <c r="BZ24" s="232">
        <f>IFERROR(VLOOKUP(BX24,'Master List'!$A:$D,2,0),0)</f>
        <v/>
      </c>
      <c r="CA24" s="232">
        <f>IFERROR(VLOOKUP(BX24,'Master List'!$A:$D,3,0),0)</f>
        <v/>
      </c>
      <c r="CB24" s="232">
        <f>IFERROR(VLOOKUP(BX24,'Master List'!$A:$D,4,0),0)</f>
        <v/>
      </c>
      <c r="CC24" s="221" t="n"/>
      <c r="CD24" s="232">
        <f>IFERROR(CA24/CB24,0)</f>
        <v/>
      </c>
      <c r="CE24" s="232">
        <f>IFERROR(IF(CC24&lt;((1/2*CB24*CD24^2)*2),1/2*CB24*SQRT((CC24/2)*2/CB24)^2,1/2*CB24*CD24^2),0)</f>
        <v/>
      </c>
      <c r="CF24" s="232">
        <f>IFERROR(IF(CC24-CE24-CG24&lt;=0,0,CC24-CE24-CG24),0)</f>
        <v/>
      </c>
      <c r="CG24" s="232">
        <f>CE24</f>
        <v/>
      </c>
      <c r="CH24" s="232">
        <f>IFERROR(IF(CC24&lt;((1/2*CB24*CD24^2)*2),SQRT((CC24/2)*2/CB24),CD24),0)</f>
        <v/>
      </c>
      <c r="CI24" s="232">
        <f>IFERROR(CF24/CA24,0)</f>
        <v/>
      </c>
      <c r="CJ24" s="232">
        <f>CH24</f>
        <v/>
      </c>
      <c r="CK24" s="232">
        <f>IF(BZ24&gt;0,BZ24,SUM(CH24:CJ24))</f>
        <v/>
      </c>
      <c r="CL24" s="232" t="n"/>
      <c r="CM24" s="232">
        <f>CK24*CL24</f>
        <v/>
      </c>
    </row>
    <row r="25" customFormat="1" s="1">
      <c r="A25" s="33" t="inlineStr">
        <is>
          <t>Near Combined</t>
        </is>
      </c>
      <c r="B25" s="36" t="n">
        <v>0.5</v>
      </c>
      <c r="C25" s="36">
        <f>100%/3</f>
        <v/>
      </c>
      <c r="D25" s="45">
        <f>AB6</f>
        <v/>
      </c>
      <c r="E25" s="45">
        <f>D25*$B$17</f>
        <v/>
      </c>
      <c r="I25" s="229">
        <f>I24+1</f>
        <v/>
      </c>
      <c r="J25" s="229">
        <f>$B$11</f>
        <v/>
      </c>
      <c r="K25" s="229" t="inlineStr">
        <is>
          <t>_detection time</t>
        </is>
      </c>
      <c r="L25" s="229" t="n"/>
      <c r="M25" s="230">
        <f>J25&amp;K25&amp;L25</f>
        <v/>
      </c>
      <c r="N25" s="231" t="inlineStr">
        <is>
          <t>Detecting unloading point</t>
        </is>
      </c>
      <c r="O25" s="232">
        <f>IFERROR(VLOOKUP(M25,'Master List'!$A:$D,2,0),0)</f>
        <v/>
      </c>
      <c r="P25" s="232">
        <f>IFERROR(VLOOKUP(M25,'Master List'!$A:$D,3,0),0)</f>
        <v/>
      </c>
      <c r="Q25" s="232">
        <f>IFERROR(VLOOKUP(M25,'Master List'!$A:$D,4,0),0)</f>
        <v/>
      </c>
      <c r="R25" s="233" t="n"/>
      <c r="S25" s="232">
        <f>IFERROR(P25/Q25,0)</f>
        <v/>
      </c>
      <c r="T25" s="232">
        <f>IFERROR(IF(R25&lt;((1/2*Q25*S25^2)*2),1/2*Q25*SQRT((R25/2)*2/Q25)^2,1/2*Q25*S25^2),0)</f>
        <v/>
      </c>
      <c r="U25" s="232">
        <f>IFERROR(IF(R25-T25-V25&lt;=0,0,R25-T25-V25),0)</f>
        <v/>
      </c>
      <c r="V25" s="232">
        <f>T25</f>
        <v/>
      </c>
      <c r="W25" s="232">
        <f>IFERROR(IF(R25&lt;((1/2*Q25*S25^2)*2),SQRT((R25/2)*2/Q25),S25),0)</f>
        <v/>
      </c>
      <c r="X25" s="232">
        <f>IFERROR(U25/P25,0)</f>
        <v/>
      </c>
      <c r="Y25" s="232">
        <f>W25</f>
        <v/>
      </c>
      <c r="Z25" s="232">
        <f>IF(O25&gt;0,O25,SUM(W25:Y25))</f>
        <v/>
      </c>
      <c r="AA25" s="232" t="n">
        <v>1</v>
      </c>
      <c r="AB25" s="232">
        <f>Z25*AA25</f>
        <v/>
      </c>
      <c r="AC25" s="222" t="n"/>
      <c r="AD25" s="229">
        <f>AD24+1</f>
        <v/>
      </c>
      <c r="AE25" s="229">
        <f>$B$11</f>
        <v/>
      </c>
      <c r="AF25" s="229" t="inlineStr">
        <is>
          <t>_detection time</t>
        </is>
      </c>
      <c r="AG25" s="229" t="n"/>
      <c r="AH25" s="230">
        <f>AE25&amp;AF25&amp;AG25</f>
        <v/>
      </c>
      <c r="AI25" s="231" t="inlineStr">
        <is>
          <t>Detecting unloading point</t>
        </is>
      </c>
      <c r="AJ25" s="232">
        <f>IFERROR(VLOOKUP(AH25,'Master List'!$A:$D,2,0),0)</f>
        <v/>
      </c>
      <c r="AK25" s="232">
        <f>IFERROR(VLOOKUP(AH25,'Master List'!$A:$D,3,0),0)</f>
        <v/>
      </c>
      <c r="AL25" s="232">
        <f>IFERROR(VLOOKUP(AH25,'Master List'!$A:$D,4,0),0)</f>
        <v/>
      </c>
      <c r="AM25" s="233" t="n"/>
      <c r="AN25" s="232">
        <f>IFERROR(AK25/AL25,0)</f>
        <v/>
      </c>
      <c r="AO25" s="232">
        <f>IFERROR(IF(AM25&lt;((1/2*AL25*AN25^2)*2),1/2*AL25*SQRT((AM25/2)*2/AL25)^2,1/2*AL25*AN25^2),0)</f>
        <v/>
      </c>
      <c r="AP25" s="232">
        <f>IFERROR(IF(AM25-AO25-AQ25&lt;=0,0,AM25-AO25-AQ25),0)</f>
        <v/>
      </c>
      <c r="AQ25" s="232">
        <f>AO25</f>
        <v/>
      </c>
      <c r="AR25" s="232">
        <f>IFERROR(IF(AM25&lt;((1/2*AL25*AN25^2)*2),SQRT((AM25/2)*2/AL25),AN25),0)</f>
        <v/>
      </c>
      <c r="AS25" s="232">
        <f>IFERROR(AP25/AK25,0)</f>
        <v/>
      </c>
      <c r="AT25" s="232">
        <f>AR25</f>
        <v/>
      </c>
      <c r="AU25" s="232">
        <f>IF(AJ25&gt;0,AJ25,SUM(AR25:AT25))</f>
        <v/>
      </c>
      <c r="AV25" s="232" t="n">
        <v>1</v>
      </c>
      <c r="AW25" s="232">
        <f>AU25*AV25</f>
        <v/>
      </c>
      <c r="AX25" s="222" t="n"/>
      <c r="AY25" s="229">
        <f>AY24+1</f>
        <v/>
      </c>
      <c r="AZ25" s="229">
        <f>$B$11</f>
        <v/>
      </c>
      <c r="BA25" s="229" t="inlineStr">
        <is>
          <t>_detection time</t>
        </is>
      </c>
      <c r="BB25" s="229" t="n"/>
      <c r="BC25" s="230">
        <f>AZ25&amp;BA25&amp;BB25</f>
        <v/>
      </c>
      <c r="BD25" s="231" t="inlineStr">
        <is>
          <t>Detecting unloading point</t>
        </is>
      </c>
      <c r="BE25" s="232">
        <f>IFERROR(VLOOKUP(BC25,'Master List'!$A:$D,2,0),0)</f>
        <v/>
      </c>
      <c r="BF25" s="232">
        <f>IFERROR(VLOOKUP(BC25,'Master List'!$A:$D,3,0),0)</f>
        <v/>
      </c>
      <c r="BG25" s="232">
        <f>IFERROR(VLOOKUP(BC25,'Master List'!$A:$D,4,0),0)</f>
        <v/>
      </c>
      <c r="BH25" s="233" t="n"/>
      <c r="BI25" s="232">
        <f>IFERROR(BF25/BG25,0)</f>
        <v/>
      </c>
      <c r="BJ25" s="232">
        <f>IFERROR(IF(BH25&lt;((1/2*BG25*BI25^2)*2),1/2*BG25*SQRT((BH25/2)*2/BG25)^2,1/2*BG25*BI25^2),0)</f>
        <v/>
      </c>
      <c r="BK25" s="232">
        <f>IFERROR(IF(BH25-BJ25-BL25&lt;=0,0,BH25-BJ25-BL25),0)</f>
        <v/>
      </c>
      <c r="BL25" s="232">
        <f>BJ25</f>
        <v/>
      </c>
      <c r="BM25" s="232">
        <f>IFERROR(IF(BH25&lt;((1/2*BG25*BI25^2)*2),SQRT((BH25/2)*2/BG25),BI25),0)</f>
        <v/>
      </c>
      <c r="BN25" s="232">
        <f>IFERROR(BK25/BF25,0)</f>
        <v/>
      </c>
      <c r="BO25" s="232">
        <f>BM25</f>
        <v/>
      </c>
      <c r="BP25" s="232">
        <f>IF(BE25&gt;0,BE25,SUM(BM25:BO25))</f>
        <v/>
      </c>
      <c r="BQ25" s="232" t="n">
        <v>1</v>
      </c>
      <c r="BR25" s="232">
        <f>BP25*BQ25</f>
        <v/>
      </c>
      <c r="BS25" s="222" t="n"/>
      <c r="BT25" s="229">
        <f>BT24+1</f>
        <v/>
      </c>
      <c r="BU25" s="229" t="n"/>
      <c r="BV25" s="229" t="n"/>
      <c r="BW25" s="229" t="n"/>
      <c r="BX25" s="230">
        <f>BU25&amp;BV25&amp;BW25</f>
        <v/>
      </c>
      <c r="BY25" s="231" t="n"/>
      <c r="BZ25" s="232">
        <f>IFERROR(VLOOKUP(BX25,'Master List'!$A:$D,2,0),0)</f>
        <v/>
      </c>
      <c r="CA25" s="232">
        <f>IFERROR(VLOOKUP(BX25,'Master List'!$A:$D,3,0),0)</f>
        <v/>
      </c>
      <c r="CB25" s="232">
        <f>IFERROR(VLOOKUP(BX25,'Master List'!$A:$D,4,0),0)</f>
        <v/>
      </c>
      <c r="CC25" s="233" t="n"/>
      <c r="CD25" s="232">
        <f>IFERROR(CA25/CB25,0)</f>
        <v/>
      </c>
      <c r="CE25" s="232">
        <f>IFERROR(IF(CC25&lt;((1/2*CB25*CD25^2)*2),1/2*CB25*SQRT((CC25/2)*2/CB25)^2,1/2*CB25*CD25^2),0)</f>
        <v/>
      </c>
      <c r="CF25" s="232">
        <f>IFERROR(IF(CC25-CE25-CG25&lt;=0,0,CC25-CE25-CG25),0)</f>
        <v/>
      </c>
      <c r="CG25" s="232">
        <f>CE25</f>
        <v/>
      </c>
      <c r="CH25" s="232">
        <f>IFERROR(IF(CC25&lt;((1/2*CB25*CD25^2)*2),SQRT((CC25/2)*2/CB25),CD25),0)</f>
        <v/>
      </c>
      <c r="CI25" s="232">
        <f>IFERROR(CF25/CA25,0)</f>
        <v/>
      </c>
      <c r="CJ25" s="232">
        <f>CH25</f>
        <v/>
      </c>
      <c r="CK25" s="232">
        <f>IF(BZ25&gt;0,BZ25,SUM(CH25:CJ25))</f>
        <v/>
      </c>
      <c r="CL25" s="232" t="n"/>
      <c r="CM25" s="232">
        <f>CK25*CL25</f>
        <v/>
      </c>
    </row>
    <row r="26" customFormat="1" s="1">
      <c r="A26" s="33" t="inlineStr">
        <is>
          <t>Mid Combined</t>
        </is>
      </c>
      <c r="B26" s="36" t="n">
        <v>0.8</v>
      </c>
      <c r="C26" s="36">
        <f>C25</f>
        <v/>
      </c>
      <c r="D26" s="45">
        <f>AW6</f>
        <v/>
      </c>
      <c r="E26" s="45">
        <f>D26*$B$17</f>
        <v/>
      </c>
      <c r="I26" s="229">
        <f>I25+1</f>
        <v/>
      </c>
      <c r="J26" s="229">
        <f>$B$11</f>
        <v/>
      </c>
      <c r="K26" s="229">
        <f>$B$13</f>
        <v/>
      </c>
      <c r="L26" s="229" t="n"/>
      <c r="M26" s="230">
        <f>J26&amp;K26&amp;L26</f>
        <v/>
      </c>
      <c r="N26" s="231" t="inlineStr">
        <is>
          <t>Getting unloaded</t>
        </is>
      </c>
      <c r="O26" s="232">
        <f>IFERROR(VLOOKUP(M26,'Master List'!$A:$D,2,0),0)</f>
        <v/>
      </c>
      <c r="P26" s="232">
        <f>IFERROR(VLOOKUP(M26,'Master List'!$A:$D,3,0),0)</f>
        <v/>
      </c>
      <c r="Q26" s="232">
        <f>IFERROR(VLOOKUP(M26,'Master List'!$A:$D,4,0),0)</f>
        <v/>
      </c>
      <c r="R26" s="233" t="n"/>
      <c r="S26" s="232">
        <f>IFERROR(P26/Q26,0)</f>
        <v/>
      </c>
      <c r="T26" s="232">
        <f>IFERROR(IF(R26&lt;((1/2*Q26*S26^2)*2),1/2*Q26*SQRT((R26/2)*2/Q26)^2,1/2*Q26*S26^2),0)</f>
        <v/>
      </c>
      <c r="U26" s="232">
        <f>IFERROR(IF(R26-T26-V26&lt;=0,0,R26-T26-V26),0)</f>
        <v/>
      </c>
      <c r="V26" s="232">
        <f>T26</f>
        <v/>
      </c>
      <c r="W26" s="232">
        <f>IFERROR(IF(R26&lt;((1/2*Q26*S26^2)*2),SQRT((R26/2)*2/Q26),S26),0)</f>
        <v/>
      </c>
      <c r="X26" s="232">
        <f>IFERROR(U26/P26,0)</f>
        <v/>
      </c>
      <c r="Y26" s="232">
        <f>W26</f>
        <v/>
      </c>
      <c r="Z26" s="232">
        <f>IF(O26&gt;0,O26,SUM(W26:Y26))</f>
        <v/>
      </c>
      <c r="AA26" s="232" t="n">
        <v>1</v>
      </c>
      <c r="AB26" s="232">
        <f>Z26*AA26</f>
        <v/>
      </c>
      <c r="AC26" s="222" t="n"/>
      <c r="AD26" s="229">
        <f>AD25+1</f>
        <v/>
      </c>
      <c r="AE26" s="229">
        <f>$B$11</f>
        <v/>
      </c>
      <c r="AF26" s="229">
        <f>$B$13</f>
        <v/>
      </c>
      <c r="AG26" s="229" t="n"/>
      <c r="AH26" s="230">
        <f>AE26&amp;AF26&amp;AG26</f>
        <v/>
      </c>
      <c r="AI26" s="231" t="inlineStr">
        <is>
          <t>Getting unloaded</t>
        </is>
      </c>
      <c r="AJ26" s="232">
        <f>IFERROR(VLOOKUP(AH26,'Master List'!$A:$D,2,0),0)</f>
        <v/>
      </c>
      <c r="AK26" s="232">
        <f>IFERROR(VLOOKUP(AH26,'Master List'!$A:$D,3,0),0)</f>
        <v/>
      </c>
      <c r="AL26" s="232">
        <f>IFERROR(VLOOKUP(AH26,'Master List'!$A:$D,4,0),0)</f>
        <v/>
      </c>
      <c r="AM26" s="233" t="n"/>
      <c r="AN26" s="232">
        <f>IFERROR(AK26/AL26,0)</f>
        <v/>
      </c>
      <c r="AO26" s="232">
        <f>IFERROR(IF(AM26&lt;((1/2*AL26*AN26^2)*2),1/2*AL26*SQRT((AM26/2)*2/AL26)^2,1/2*AL26*AN26^2),0)</f>
        <v/>
      </c>
      <c r="AP26" s="232">
        <f>IFERROR(IF(AM26-AO26-AQ26&lt;=0,0,AM26-AO26-AQ26),0)</f>
        <v/>
      </c>
      <c r="AQ26" s="232">
        <f>AO26</f>
        <v/>
      </c>
      <c r="AR26" s="232">
        <f>IFERROR(IF(AM26&lt;((1/2*AL26*AN26^2)*2),SQRT((AM26/2)*2/AL26),AN26),0)</f>
        <v/>
      </c>
      <c r="AS26" s="232">
        <f>IFERROR(AP26/AK26,0)</f>
        <v/>
      </c>
      <c r="AT26" s="232">
        <f>AR26</f>
        <v/>
      </c>
      <c r="AU26" s="232">
        <f>IF(AJ26&gt;0,AJ26,SUM(AR26:AT26))</f>
        <v/>
      </c>
      <c r="AV26" s="232" t="n">
        <v>1</v>
      </c>
      <c r="AW26" s="232">
        <f>AU26*AV26</f>
        <v/>
      </c>
      <c r="AX26" s="222" t="n"/>
      <c r="AY26" s="229">
        <f>AY25+1</f>
        <v/>
      </c>
      <c r="AZ26" s="229">
        <f>$B$11</f>
        <v/>
      </c>
      <c r="BA26" s="229">
        <f>$B$13</f>
        <v/>
      </c>
      <c r="BB26" s="229" t="n"/>
      <c r="BC26" s="230">
        <f>AZ26&amp;BA26&amp;BB26</f>
        <v/>
      </c>
      <c r="BD26" s="231" t="inlineStr">
        <is>
          <t>Getting unloaded</t>
        </is>
      </c>
      <c r="BE26" s="232">
        <f>IFERROR(VLOOKUP(BC26,'Master List'!$A:$D,2,0),0)</f>
        <v/>
      </c>
      <c r="BF26" s="232">
        <f>IFERROR(VLOOKUP(BC26,'Master List'!$A:$D,3,0),0)</f>
        <v/>
      </c>
      <c r="BG26" s="232">
        <f>IFERROR(VLOOKUP(BC26,'Master List'!$A:$D,4,0),0)</f>
        <v/>
      </c>
      <c r="BH26" s="233" t="n"/>
      <c r="BI26" s="232">
        <f>IFERROR(BF26/BG26,0)</f>
        <v/>
      </c>
      <c r="BJ26" s="232">
        <f>IFERROR(IF(BH26&lt;((1/2*BG26*BI26^2)*2),1/2*BG26*SQRT((BH26/2)*2/BG26)^2,1/2*BG26*BI26^2),0)</f>
        <v/>
      </c>
      <c r="BK26" s="232">
        <f>IFERROR(IF(BH26-BJ26-BL26&lt;=0,0,BH26-BJ26-BL26),0)</f>
        <v/>
      </c>
      <c r="BL26" s="232">
        <f>BJ26</f>
        <v/>
      </c>
      <c r="BM26" s="232">
        <f>IFERROR(IF(BH26&lt;((1/2*BG26*BI26^2)*2),SQRT((BH26/2)*2/BG26),BI26),0)</f>
        <v/>
      </c>
      <c r="BN26" s="232">
        <f>IFERROR(BK26/BF26,0)</f>
        <v/>
      </c>
      <c r="BO26" s="232">
        <f>BM26</f>
        <v/>
      </c>
      <c r="BP26" s="232">
        <f>IF(BE26&gt;0,BE26,SUM(BM26:BO26))</f>
        <v/>
      </c>
      <c r="BQ26" s="232" t="n">
        <v>1</v>
      </c>
      <c r="BR26" s="232">
        <f>BP26*BQ26</f>
        <v/>
      </c>
      <c r="BS26" s="222" t="n"/>
      <c r="BT26" s="229">
        <f>BT25+1</f>
        <v/>
      </c>
      <c r="BU26" s="229" t="n"/>
      <c r="BV26" s="229" t="n"/>
      <c r="BW26" s="229" t="n"/>
      <c r="BX26" s="230">
        <f>BU26&amp;BV26&amp;BW26</f>
        <v/>
      </c>
      <c r="BY26" s="231" t="n"/>
      <c r="BZ26" s="232">
        <f>IFERROR(VLOOKUP(BX26,'Master List'!$A:$D,2,0),0)</f>
        <v/>
      </c>
      <c r="CA26" s="232">
        <f>IFERROR(VLOOKUP(BX26,'Master List'!$A:$D,3,0),0)</f>
        <v/>
      </c>
      <c r="CB26" s="232">
        <f>IFERROR(VLOOKUP(BX26,'Master List'!$A:$D,4,0),0)</f>
        <v/>
      </c>
      <c r="CC26" s="233" t="n"/>
      <c r="CD26" s="232">
        <f>IFERROR(CA26/CB26,0)</f>
        <v/>
      </c>
      <c r="CE26" s="232">
        <f>IFERROR(IF(CC26&lt;((1/2*CB26*CD26^2)*2),1/2*CB26*SQRT((CC26/2)*2/CB26)^2,1/2*CB26*CD26^2),0)</f>
        <v/>
      </c>
      <c r="CF26" s="232">
        <f>IFERROR(IF(CC26-CE26-CG26&lt;=0,0,CC26-CE26-CG26),0)</f>
        <v/>
      </c>
      <c r="CG26" s="232">
        <f>CE26</f>
        <v/>
      </c>
      <c r="CH26" s="232">
        <f>IFERROR(IF(CC26&lt;((1/2*CB26*CD26^2)*2),SQRT((CC26/2)*2/CB26),CD26),0)</f>
        <v/>
      </c>
      <c r="CI26" s="232">
        <f>IFERROR(CF26/CA26,0)</f>
        <v/>
      </c>
      <c r="CJ26" s="232">
        <f>CH26</f>
        <v/>
      </c>
      <c r="CK26" s="232">
        <f>IF(BZ26&gt;0,BZ26,SUM(CH26:CJ26))</f>
        <v/>
      </c>
      <c r="CL26" s="232" t="n"/>
      <c r="CM26" s="232">
        <f>CK26*CL26</f>
        <v/>
      </c>
    </row>
    <row r="27" customFormat="1" s="1">
      <c r="A27" s="33" t="inlineStr">
        <is>
          <t>Far Combined</t>
        </is>
      </c>
      <c r="B27" s="36" t="n">
        <v>1</v>
      </c>
      <c r="C27" s="36">
        <f>C26</f>
        <v/>
      </c>
      <c r="D27" s="45">
        <f>BR6</f>
        <v/>
      </c>
      <c r="E27" s="45">
        <f>D27*$B$17</f>
        <v/>
      </c>
      <c r="I27" s="229">
        <f>I26+1</f>
        <v/>
      </c>
      <c r="J27" s="229">
        <f>$B$11</f>
        <v/>
      </c>
      <c r="K27" s="229" t="inlineStr">
        <is>
          <t>_docking</t>
        </is>
      </c>
      <c r="L27" s="229" t="n"/>
      <c r="M27" s="230">
        <f>J27&amp;K27&amp;L27</f>
        <v/>
      </c>
      <c r="N27" s="231" t="inlineStr">
        <is>
          <t>Undocking</t>
        </is>
      </c>
      <c r="O27" s="232">
        <f>IFERROR(VLOOKUP(M27,'Master List'!$A:$D,2,0),0)</f>
        <v/>
      </c>
      <c r="P27" s="232">
        <f>IFERROR(VLOOKUP(M27,'Master List'!$A:$D,3,0),0)</f>
        <v/>
      </c>
      <c r="Q27" s="232">
        <f>IFERROR(VLOOKUP(M27,'Master List'!$A:$D,4,0),0)</f>
        <v/>
      </c>
      <c r="R27" s="235">
        <f>$B$38</f>
        <v/>
      </c>
      <c r="S27" s="232">
        <f>IFERROR(P27/Q27,0)</f>
        <v/>
      </c>
      <c r="T27" s="232">
        <f>IFERROR(IF(R27&lt;((1/2*Q27*S27^2)*2),1/2*Q27*SQRT((R27/2)*2/Q27)^2,1/2*Q27*S27^2),0)</f>
        <v/>
      </c>
      <c r="U27" s="232">
        <f>IFERROR(IF(R27-T27-V27&lt;=0,0,R27-T27-V27),0)</f>
        <v/>
      </c>
      <c r="V27" s="232">
        <f>T27</f>
        <v/>
      </c>
      <c r="W27" s="232">
        <f>IFERROR(IF(R27&lt;((1/2*Q27*S27^2)*2),SQRT((R27/2)*2/Q27),S27),0)</f>
        <v/>
      </c>
      <c r="X27" s="232">
        <f>IFERROR(U27/P27,0)</f>
        <v/>
      </c>
      <c r="Y27" s="232">
        <f>W27</f>
        <v/>
      </c>
      <c r="Z27" s="232">
        <f>IF(O27&gt;0,O27,SUM(W27:Y27))</f>
        <v/>
      </c>
      <c r="AA27" s="232" t="n">
        <v>1</v>
      </c>
      <c r="AB27" s="232">
        <f>Z27*AA27</f>
        <v/>
      </c>
      <c r="AC27" s="222" t="n"/>
      <c r="AD27" s="229">
        <f>AD26+1</f>
        <v/>
      </c>
      <c r="AE27" s="229">
        <f>$B$11</f>
        <v/>
      </c>
      <c r="AF27" s="229" t="inlineStr">
        <is>
          <t>_docking</t>
        </is>
      </c>
      <c r="AG27" s="229" t="n"/>
      <c r="AH27" s="230">
        <f>AE27&amp;AF27&amp;AG27</f>
        <v/>
      </c>
      <c r="AI27" s="231" t="inlineStr">
        <is>
          <t>Undocking</t>
        </is>
      </c>
      <c r="AJ27" s="232">
        <f>IFERROR(VLOOKUP(AH27,'Master List'!$A:$D,2,0),0)</f>
        <v/>
      </c>
      <c r="AK27" s="232">
        <f>IFERROR(VLOOKUP(AH27,'Master List'!$A:$D,3,0),0)</f>
        <v/>
      </c>
      <c r="AL27" s="232">
        <f>IFERROR(VLOOKUP(AH27,'Master List'!$A:$D,4,0),0)</f>
        <v/>
      </c>
      <c r="AM27" s="235">
        <f>$B$38</f>
        <v/>
      </c>
      <c r="AN27" s="232">
        <f>IFERROR(AK27/AL27,0)</f>
        <v/>
      </c>
      <c r="AO27" s="232">
        <f>IFERROR(IF(AM27&lt;((1/2*AL27*AN27^2)*2),1/2*AL27*SQRT((AM27/2)*2/AL27)^2,1/2*AL27*AN27^2),0)</f>
        <v/>
      </c>
      <c r="AP27" s="232">
        <f>IFERROR(IF(AM27-AO27-AQ27&lt;=0,0,AM27-AO27-AQ27),0)</f>
        <v/>
      </c>
      <c r="AQ27" s="232">
        <f>AO27</f>
        <v/>
      </c>
      <c r="AR27" s="232">
        <f>IFERROR(IF(AM27&lt;((1/2*AL27*AN27^2)*2),SQRT((AM27/2)*2/AL27),AN27),0)</f>
        <v/>
      </c>
      <c r="AS27" s="232">
        <f>IFERROR(AP27/AK27,0)</f>
        <v/>
      </c>
      <c r="AT27" s="232">
        <f>AR27</f>
        <v/>
      </c>
      <c r="AU27" s="232">
        <f>IF(AJ27&gt;0,AJ27,SUM(AR27:AT27))</f>
        <v/>
      </c>
      <c r="AV27" s="232" t="n">
        <v>1</v>
      </c>
      <c r="AW27" s="232">
        <f>AU27*AV27</f>
        <v/>
      </c>
      <c r="AX27" s="222" t="n"/>
      <c r="AY27" s="229">
        <f>AY26+1</f>
        <v/>
      </c>
      <c r="AZ27" s="229">
        <f>$B$11</f>
        <v/>
      </c>
      <c r="BA27" s="229" t="inlineStr">
        <is>
          <t>_docking</t>
        </is>
      </c>
      <c r="BB27" s="229" t="n"/>
      <c r="BC27" s="230">
        <f>AZ27&amp;BA27&amp;BB27</f>
        <v/>
      </c>
      <c r="BD27" s="231" t="inlineStr">
        <is>
          <t>Undocking</t>
        </is>
      </c>
      <c r="BE27" s="232">
        <f>IFERROR(VLOOKUP(BC27,'Master List'!$A:$D,2,0),0)</f>
        <v/>
      </c>
      <c r="BF27" s="232">
        <f>IFERROR(VLOOKUP(BC27,'Master List'!$A:$D,3,0),0)</f>
        <v/>
      </c>
      <c r="BG27" s="232">
        <f>IFERROR(VLOOKUP(BC27,'Master List'!$A:$D,4,0),0)</f>
        <v/>
      </c>
      <c r="BH27" s="235">
        <f>$B$38</f>
        <v/>
      </c>
      <c r="BI27" s="232">
        <f>IFERROR(BF27/BG27,0)</f>
        <v/>
      </c>
      <c r="BJ27" s="232">
        <f>IFERROR(IF(BH27&lt;((1/2*BG27*BI27^2)*2),1/2*BG27*SQRT((BH27/2)*2/BG27)^2,1/2*BG27*BI27^2),0)</f>
        <v/>
      </c>
      <c r="BK27" s="232">
        <f>IFERROR(IF(BH27-BJ27-BL27&lt;=0,0,BH27-BJ27-BL27),0)</f>
        <v/>
      </c>
      <c r="BL27" s="232">
        <f>BJ27</f>
        <v/>
      </c>
      <c r="BM27" s="232">
        <f>IFERROR(IF(BH27&lt;((1/2*BG27*BI27^2)*2),SQRT((BH27/2)*2/BG27),BI27),0)</f>
        <v/>
      </c>
      <c r="BN27" s="232">
        <f>IFERROR(BK27/BF27,0)</f>
        <v/>
      </c>
      <c r="BO27" s="232">
        <f>BM27</f>
        <v/>
      </c>
      <c r="BP27" s="232">
        <f>IF(BE27&gt;0,BE27,SUM(BM27:BO27))</f>
        <v/>
      </c>
      <c r="BQ27" s="232" t="n">
        <v>1</v>
      </c>
      <c r="BR27" s="232">
        <f>BP27*BQ27</f>
        <v/>
      </c>
      <c r="BS27" s="222" t="n"/>
      <c r="BT27" s="229">
        <f>BT26+1</f>
        <v/>
      </c>
      <c r="BU27" s="229" t="n"/>
      <c r="BV27" s="229" t="n"/>
      <c r="BW27" s="229" t="n"/>
      <c r="BX27" s="230">
        <f>BU27&amp;BV27&amp;BW27</f>
        <v/>
      </c>
      <c r="BY27" s="231" t="n"/>
      <c r="BZ27" s="232">
        <f>IFERROR(VLOOKUP(BX27,'Master List'!$A:$D,2,0),0)</f>
        <v/>
      </c>
      <c r="CA27" s="232">
        <f>IFERROR(VLOOKUP(BX27,'Master List'!$A:$D,3,0),0)</f>
        <v/>
      </c>
      <c r="CB27" s="232">
        <f>IFERROR(VLOOKUP(BX27,'Master List'!$A:$D,4,0),0)</f>
        <v/>
      </c>
      <c r="CC27" s="221" t="n"/>
      <c r="CD27" s="232">
        <f>IFERROR(CA27/CB27,0)</f>
        <v/>
      </c>
      <c r="CE27" s="232">
        <f>IFERROR(IF(CC27&lt;((1/2*CB27*CD27^2)*2),1/2*CB27*SQRT((CC27/2)*2/CB27)^2,1/2*CB27*CD27^2),0)</f>
        <v/>
      </c>
      <c r="CF27" s="232">
        <f>IFERROR(IF(CC27-CE27-CG27&lt;=0,0,CC27-CE27-CG27),0)</f>
        <v/>
      </c>
      <c r="CG27" s="232">
        <f>CE27</f>
        <v/>
      </c>
      <c r="CH27" s="232">
        <f>IFERROR(IF(CC27&lt;((1/2*CB27*CD27^2)*2),SQRT((CC27/2)*2/CB27),CD27),0)</f>
        <v/>
      </c>
      <c r="CI27" s="232">
        <f>IFERROR(CF27/CA27,0)</f>
        <v/>
      </c>
      <c r="CJ27" s="232">
        <f>CH27</f>
        <v/>
      </c>
      <c r="CK27" s="232">
        <f>IF(BZ27&gt;0,BZ27,SUM(CH27:CJ27))</f>
        <v/>
      </c>
      <c r="CL27" s="232" t="n"/>
      <c r="CM27" s="232">
        <f>CK27*CL27</f>
        <v/>
      </c>
    </row>
    <row r="28" customFormat="1" s="1">
      <c r="A28" s="33" t="inlineStr">
        <is>
          <t>Single Cycle</t>
        </is>
      </c>
      <c r="B28" s="79" t="n"/>
      <c r="C28" s="36" t="n">
        <v>0</v>
      </c>
      <c r="D28" s="45">
        <f>CM6</f>
        <v/>
      </c>
      <c r="E28" s="45">
        <f>D28*B18</f>
        <v/>
      </c>
      <c r="I28" s="229">
        <f>I27+1</f>
        <v/>
      </c>
      <c r="J28" s="229">
        <f>$B$11</f>
        <v/>
      </c>
      <c r="K28" s="229" t="inlineStr">
        <is>
          <t>_unloaded_</t>
        </is>
      </c>
      <c r="L28" s="234">
        <f>$B$12</f>
        <v/>
      </c>
      <c r="M28" s="230">
        <f>J28&amp;K28&amp;L28</f>
        <v/>
      </c>
      <c r="N28" s="231" t="inlineStr">
        <is>
          <t>Travel to start point</t>
        </is>
      </c>
      <c r="O28" s="232">
        <f>IFERROR(VLOOKUP(M28,'Master List'!$A:$D,2,0),0)</f>
        <v/>
      </c>
      <c r="P28" s="232">
        <f>IFERROR(VLOOKUP(M28,'Master List'!$A:$D,3,0),0)</f>
        <v/>
      </c>
      <c r="Q28" s="232">
        <f>IFERROR(VLOOKUP(M28,'Master List'!$A:$D,4,0),0)</f>
        <v/>
      </c>
      <c r="R28" s="235">
        <f>IF(C35=0,($D$35-SUM(R27,R29)),(($D$35-SUM(R27,R29))/($C$35+1)))</f>
        <v/>
      </c>
      <c r="S28" s="232">
        <f>IFERROR(P28/Q28,0)</f>
        <v/>
      </c>
      <c r="T28" s="232">
        <f>IFERROR(IF(R28&lt;((1/2*Q28*S28^2)*2),1/2*Q28*SQRT((R28/2)*2/Q28)^2,1/2*Q28*S28^2),0)</f>
        <v/>
      </c>
      <c r="U28" s="232">
        <f>IFERROR(IF(R28-T28-V28&lt;=0,0,R28-T28-V28),0)</f>
        <v/>
      </c>
      <c r="V28" s="232">
        <f>T28</f>
        <v/>
      </c>
      <c r="W28" s="232">
        <f>IFERROR(IF(R28&lt;((1/2*Q28*S28^2)*2),SQRT((R28/2)*2/Q28),S28),0)</f>
        <v/>
      </c>
      <c r="X28" s="232">
        <f>IFERROR(U28/P28,0)</f>
        <v/>
      </c>
      <c r="Y28" s="232">
        <f>W28</f>
        <v/>
      </c>
      <c r="Z28" s="232">
        <f>IF(O28&gt;0,O28,SUM(W28:Y28))</f>
        <v/>
      </c>
      <c r="AA28" s="204">
        <f>IF($C$35=0,1,($C$35+1))</f>
        <v/>
      </c>
      <c r="AB28" s="232">
        <f>Z28*AA28</f>
        <v/>
      </c>
      <c r="AC28" s="222" t="n"/>
      <c r="AD28" s="229">
        <f>AD27+1</f>
        <v/>
      </c>
      <c r="AE28" s="229">
        <f>$B$11</f>
        <v/>
      </c>
      <c r="AF28" s="229" t="inlineStr">
        <is>
          <t>_unloaded_</t>
        </is>
      </c>
      <c r="AG28" s="234">
        <f>$B$12</f>
        <v/>
      </c>
      <c r="AH28" s="230">
        <f>AE28&amp;AF28&amp;AG28</f>
        <v/>
      </c>
      <c r="AI28" s="231" t="inlineStr">
        <is>
          <t>Travel to start point</t>
        </is>
      </c>
      <c r="AJ28" s="232">
        <f>IFERROR(VLOOKUP(AH28,'Master List'!$A:$D,2,0),0)</f>
        <v/>
      </c>
      <c r="AK28" s="232">
        <f>IFERROR(VLOOKUP(AH28,'Master List'!$A:$D,3,0),0)</f>
        <v/>
      </c>
      <c r="AL28" s="232">
        <f>IFERROR(VLOOKUP(AH28,'Master List'!$A:$D,4,0),0)</f>
        <v/>
      </c>
      <c r="AM28" s="235">
        <f>IF(C35=0,($E$35-SUM(AM27,AM29)),(($E$35-SUM(AM27,AM29))/($C$35+1)))</f>
        <v/>
      </c>
      <c r="AN28" s="232">
        <f>IFERROR(AK28/AL28,0)</f>
        <v/>
      </c>
      <c r="AO28" s="232">
        <f>IFERROR(IF(AM28&lt;((1/2*AL28*AN28^2)*2),1/2*AL28*SQRT((AM28/2)*2/AL28)^2,1/2*AL28*AN28^2),0)</f>
        <v/>
      </c>
      <c r="AP28" s="232">
        <f>IFERROR(IF(AM28-AO28-AQ28&lt;=0,0,AM28-AO28-AQ28),0)</f>
        <v/>
      </c>
      <c r="AQ28" s="232">
        <f>AO28</f>
        <v/>
      </c>
      <c r="AR28" s="232">
        <f>IFERROR(IF(AM28&lt;((1/2*AL28*AN28^2)*2),SQRT((AM28/2)*2/AL28),AN28),0)</f>
        <v/>
      </c>
      <c r="AS28" s="232">
        <f>IFERROR(AP28/AK28,0)</f>
        <v/>
      </c>
      <c r="AT28" s="232">
        <f>AR28</f>
        <v/>
      </c>
      <c r="AU28" s="232">
        <f>IF(AJ28&gt;0,AJ28,SUM(AR28:AT28))</f>
        <v/>
      </c>
      <c r="AV28" s="204">
        <f>IF($C$35=0,1,($C$35+1))</f>
        <v/>
      </c>
      <c r="AW28" s="232">
        <f>AU28*AV28</f>
        <v/>
      </c>
      <c r="AX28" s="222" t="n"/>
      <c r="AY28" s="229">
        <f>AY27+1</f>
        <v/>
      </c>
      <c r="AZ28" s="229">
        <f>$B$11</f>
        <v/>
      </c>
      <c r="BA28" s="229" t="inlineStr">
        <is>
          <t>_unloaded_</t>
        </is>
      </c>
      <c r="BB28" s="234">
        <f>$B$12</f>
        <v/>
      </c>
      <c r="BC28" s="230">
        <f>AZ28&amp;BA28&amp;BB28</f>
        <v/>
      </c>
      <c r="BD28" s="231" t="inlineStr">
        <is>
          <t>Travel to start point</t>
        </is>
      </c>
      <c r="BE28" s="232">
        <f>IFERROR(VLOOKUP(BC28,'Master List'!$A:$D,2,0),0)</f>
        <v/>
      </c>
      <c r="BF28" s="232">
        <f>IFERROR(VLOOKUP(BC28,'Master List'!$A:$D,3,0),0)</f>
        <v/>
      </c>
      <c r="BG28" s="232">
        <f>IFERROR(VLOOKUP(BC28,'Master List'!$A:$D,4,0),0)</f>
        <v/>
      </c>
      <c r="BH28" s="235">
        <f>IF(C35=0,($F$35-SUM(BH27,BH29)),(($F$35-SUM(BH27,BH29))/($C$35+1)))</f>
        <v/>
      </c>
      <c r="BI28" s="232">
        <f>IFERROR(BF28/BG28,0)</f>
        <v/>
      </c>
      <c r="BJ28" s="232">
        <f>IFERROR(IF(BH28&lt;((1/2*BG28*BI28^2)*2),1/2*BG28*SQRT((BH28/2)*2/BG28)^2,1/2*BG28*BI28^2),0)</f>
        <v/>
      </c>
      <c r="BK28" s="232">
        <f>IFERROR(IF(BH28-BJ28-BL28&lt;=0,0,BH28-BJ28-BL28),0)</f>
        <v/>
      </c>
      <c r="BL28" s="232">
        <f>BJ28</f>
        <v/>
      </c>
      <c r="BM28" s="232">
        <f>IFERROR(IF(BH28&lt;((1/2*BG28*BI28^2)*2),SQRT((BH28/2)*2/BG28),BI28),0)</f>
        <v/>
      </c>
      <c r="BN28" s="232">
        <f>IFERROR(BK28/BF28,0)</f>
        <v/>
      </c>
      <c r="BO28" s="232">
        <f>BM28</f>
        <v/>
      </c>
      <c r="BP28" s="232">
        <f>IF(BE28&gt;0,BE28,SUM(BM28:BO28))</f>
        <v/>
      </c>
      <c r="BQ28" s="204">
        <f>IF($C$35=0,1,($C$35+1))</f>
        <v/>
      </c>
      <c r="BR28" s="232">
        <f>BP28*BQ28</f>
        <v/>
      </c>
      <c r="BS28" s="222" t="n"/>
      <c r="BT28" s="229">
        <f>BT27+1</f>
        <v/>
      </c>
      <c r="BU28" s="229" t="n"/>
      <c r="BV28" s="229" t="n"/>
      <c r="BW28" s="234" t="n"/>
      <c r="BX28" s="230">
        <f>BU28&amp;BV28&amp;BW28</f>
        <v/>
      </c>
      <c r="BY28" s="231" t="n"/>
      <c r="BZ28" s="232">
        <f>IFERROR(VLOOKUP(BX28,'Master List'!$A:$D,2,0),0)</f>
        <v/>
      </c>
      <c r="CA28" s="232">
        <f>IFERROR(VLOOKUP(BX28,'Master List'!$A:$D,3,0),0)</f>
        <v/>
      </c>
      <c r="CB28" s="232">
        <f>IFERROR(VLOOKUP(BX28,'Master List'!$A:$D,4,0),0)</f>
        <v/>
      </c>
      <c r="CC28" s="221" t="n"/>
      <c r="CD28" s="232">
        <f>IFERROR(CA28/CB28,0)</f>
        <v/>
      </c>
      <c r="CE28" s="232">
        <f>IFERROR(IF(CC28&lt;((1/2*CB28*CD28^2)*2),1/2*CB28*SQRT((CC28/2)*2/CB28)^2,1/2*CB28*CD28^2),0)</f>
        <v/>
      </c>
      <c r="CF28" s="232">
        <f>IFERROR(IF(CC28-CE28-CG28&lt;=0,0,CC28-CE28-CG28),0)</f>
        <v/>
      </c>
      <c r="CG28" s="232">
        <f>CE28</f>
        <v/>
      </c>
      <c r="CH28" s="232">
        <f>IFERROR(IF(CC28&lt;((1/2*CB28*CD28^2)*2),SQRT((CC28/2)*2/CB28),CD28),0)</f>
        <v/>
      </c>
      <c r="CI28" s="232">
        <f>IFERROR(CF28/CA28,0)</f>
        <v/>
      </c>
      <c r="CJ28" s="232">
        <f>CH28</f>
        <v/>
      </c>
      <c r="CK28" s="232">
        <f>IF(BZ28&gt;0,BZ28,SUM(CH28:CJ28))</f>
        <v/>
      </c>
      <c r="CL28" s="232" t="n"/>
      <c r="CM28" s="232">
        <f>CK28*CL28</f>
        <v/>
      </c>
    </row>
    <row r="29" customFormat="1" s="1">
      <c r="C29" s="44">
        <f>SUM(C25:C28)</f>
        <v/>
      </c>
      <c r="I29" s="229">
        <f>I28+1</f>
        <v/>
      </c>
      <c r="J29" s="229">
        <f>$B$11</f>
        <v/>
      </c>
      <c r="K29" s="229" t="inlineStr">
        <is>
          <t>_docking</t>
        </is>
      </c>
      <c r="L29" s="229" t="n"/>
      <c r="M29" s="230">
        <f>J29&amp;K29&amp;L29</f>
        <v/>
      </c>
      <c r="N29" s="231" t="inlineStr">
        <is>
          <t>Docking</t>
        </is>
      </c>
      <c r="O29" s="232">
        <f>IFERROR(VLOOKUP(M29,'Master List'!$A:$D,2,0),0)</f>
        <v/>
      </c>
      <c r="P29" s="232">
        <f>IFERROR(VLOOKUP(M29,'Master List'!$A:$D,3,0),0)</f>
        <v/>
      </c>
      <c r="Q29" s="232">
        <f>IFERROR(VLOOKUP(M29,'Master List'!$A:$D,4,0),0)</f>
        <v/>
      </c>
      <c r="R29" s="235">
        <f>$B$38</f>
        <v/>
      </c>
      <c r="S29" s="232">
        <f>IFERROR(P29/Q29,0)</f>
        <v/>
      </c>
      <c r="T29" s="232">
        <f>IFERROR(IF(R29&lt;((1/2*Q29*S29^2)*2),1/2*Q29*SQRT((R29/2)*2/Q29)^2,1/2*Q29*S29^2),0)</f>
        <v/>
      </c>
      <c r="U29" s="232">
        <f>IFERROR(IF(R29-T29-V29&lt;=0,0,R29-T29-V29),0)</f>
        <v/>
      </c>
      <c r="V29" s="232">
        <f>T29</f>
        <v/>
      </c>
      <c r="W29" s="232">
        <f>IFERROR(IF(R29&lt;((1/2*Q29*S29^2)*2),SQRT((R29/2)*2/Q29),S29),0)</f>
        <v/>
      </c>
      <c r="X29" s="232">
        <f>IFERROR(U29/P29,0)</f>
        <v/>
      </c>
      <c r="Y29" s="232">
        <f>W29</f>
        <v/>
      </c>
      <c r="Z29" s="232">
        <f>IF(O29&gt;0,O29,SUM(W29:Y29))</f>
        <v/>
      </c>
      <c r="AA29" s="232" t="n">
        <v>1</v>
      </c>
      <c r="AB29" s="232">
        <f>Z29*AA29</f>
        <v/>
      </c>
      <c r="AC29" s="222" t="n"/>
      <c r="AD29" s="229">
        <f>AD28+1</f>
        <v/>
      </c>
      <c r="AE29" s="229">
        <f>$B$11</f>
        <v/>
      </c>
      <c r="AF29" s="229" t="inlineStr">
        <is>
          <t>_docking</t>
        </is>
      </c>
      <c r="AG29" s="229" t="n"/>
      <c r="AH29" s="230">
        <f>AE29&amp;AF29&amp;AG29</f>
        <v/>
      </c>
      <c r="AI29" s="231" t="inlineStr">
        <is>
          <t>Docking</t>
        </is>
      </c>
      <c r="AJ29" s="232">
        <f>IFERROR(VLOOKUP(AH29,'Master List'!$A:$D,2,0),0)</f>
        <v/>
      </c>
      <c r="AK29" s="232">
        <f>IFERROR(VLOOKUP(AH29,'Master List'!$A:$D,3,0),0)</f>
        <v/>
      </c>
      <c r="AL29" s="232">
        <f>IFERROR(VLOOKUP(AH29,'Master List'!$A:$D,4,0),0)</f>
        <v/>
      </c>
      <c r="AM29" s="235">
        <f>$B$38</f>
        <v/>
      </c>
      <c r="AN29" s="232">
        <f>IFERROR(AK29/AL29,0)</f>
        <v/>
      </c>
      <c r="AO29" s="232">
        <f>IFERROR(IF(AM29&lt;((1/2*AL29*AN29^2)*2),1/2*AL29*SQRT((AM29/2)*2/AL29)^2,1/2*AL29*AN29^2),0)</f>
        <v/>
      </c>
      <c r="AP29" s="232">
        <f>IFERROR(IF(AM29-AO29-AQ29&lt;=0,0,AM29-AO29-AQ29),0)</f>
        <v/>
      </c>
      <c r="AQ29" s="232">
        <f>AO29</f>
        <v/>
      </c>
      <c r="AR29" s="232">
        <f>IFERROR(IF(AM29&lt;((1/2*AL29*AN29^2)*2),SQRT((AM29/2)*2/AL29),AN29),0)</f>
        <v/>
      </c>
      <c r="AS29" s="232">
        <f>IFERROR(AP29/AK29,0)</f>
        <v/>
      </c>
      <c r="AT29" s="232">
        <f>AR29</f>
        <v/>
      </c>
      <c r="AU29" s="232">
        <f>IF(AJ29&gt;0,AJ29,SUM(AR29:AT29))</f>
        <v/>
      </c>
      <c r="AV29" s="232" t="n">
        <v>1</v>
      </c>
      <c r="AW29" s="232">
        <f>AU29*AV29</f>
        <v/>
      </c>
      <c r="AX29" s="222" t="n"/>
      <c r="AY29" s="229">
        <f>AY28+1</f>
        <v/>
      </c>
      <c r="AZ29" s="229">
        <f>$B$11</f>
        <v/>
      </c>
      <c r="BA29" s="229" t="inlineStr">
        <is>
          <t>_docking</t>
        </is>
      </c>
      <c r="BB29" s="229" t="n"/>
      <c r="BC29" s="230">
        <f>AZ29&amp;BA29&amp;BB29</f>
        <v/>
      </c>
      <c r="BD29" s="231" t="inlineStr">
        <is>
          <t>Docking</t>
        </is>
      </c>
      <c r="BE29" s="232">
        <f>IFERROR(VLOOKUP(BC29,'Master List'!$A:$D,2,0),0)</f>
        <v/>
      </c>
      <c r="BF29" s="232">
        <f>IFERROR(VLOOKUP(BC29,'Master List'!$A:$D,3,0),0)</f>
        <v/>
      </c>
      <c r="BG29" s="232">
        <f>IFERROR(VLOOKUP(BC29,'Master List'!$A:$D,4,0),0)</f>
        <v/>
      </c>
      <c r="BH29" s="235">
        <f>$B$38</f>
        <v/>
      </c>
      <c r="BI29" s="232">
        <f>IFERROR(BF29/BG29,0)</f>
        <v/>
      </c>
      <c r="BJ29" s="232">
        <f>IFERROR(IF(BH29&lt;((1/2*BG29*BI29^2)*2),1/2*BG29*SQRT((BH29/2)*2/BG29)^2,1/2*BG29*BI29^2),0)</f>
        <v/>
      </c>
      <c r="BK29" s="232">
        <f>IFERROR(IF(BH29-BJ29-BL29&lt;=0,0,BH29-BJ29-BL29),0)</f>
        <v/>
      </c>
      <c r="BL29" s="232">
        <f>BJ29</f>
        <v/>
      </c>
      <c r="BM29" s="232">
        <f>IFERROR(IF(BH29&lt;((1/2*BG29*BI29^2)*2),SQRT((BH29/2)*2/BG29),BI29),0)</f>
        <v/>
      </c>
      <c r="BN29" s="232">
        <f>IFERROR(BK29/BF29,0)</f>
        <v/>
      </c>
      <c r="BO29" s="232">
        <f>BM29</f>
        <v/>
      </c>
      <c r="BP29" s="232">
        <f>IF(BE29&gt;0,BE29,SUM(BM29:BO29))</f>
        <v/>
      </c>
      <c r="BQ29" s="232" t="n">
        <v>1</v>
      </c>
      <c r="BR29" s="232">
        <f>BP29*BQ29</f>
        <v/>
      </c>
      <c r="BS29" s="222" t="n"/>
      <c r="BT29" s="229">
        <f>BT28+1</f>
        <v/>
      </c>
      <c r="BU29" s="229" t="n"/>
      <c r="BV29" s="229" t="n"/>
      <c r="BW29" s="229" t="n"/>
      <c r="BX29" s="230">
        <f>BU29&amp;BV29&amp;BW29</f>
        <v/>
      </c>
      <c r="BY29" s="231" t="n"/>
      <c r="BZ29" s="232">
        <f>IFERROR(VLOOKUP(BX29,'Master List'!$A:$D,2,0),0)</f>
        <v/>
      </c>
      <c r="CA29" s="232">
        <f>IFERROR(VLOOKUP(BX29,'Master List'!$A:$D,3,0),0)</f>
        <v/>
      </c>
      <c r="CB29" s="232">
        <f>IFERROR(VLOOKUP(BX29,'Master List'!$A:$D,4,0),0)</f>
        <v/>
      </c>
      <c r="CC29" s="221" t="n"/>
      <c r="CD29" s="232">
        <f>IFERROR(CA29/CB29,0)</f>
        <v/>
      </c>
      <c r="CE29" s="232">
        <f>IFERROR(IF(CC29&lt;((1/2*CB29*CD29^2)*2),1/2*CB29*SQRT((CC29/2)*2/CB29)^2,1/2*CB29*CD29^2),0)</f>
        <v/>
      </c>
      <c r="CF29" s="232">
        <f>IFERROR(IF(CC29-CE29-CG29&lt;=0,0,CC29-CE29-CG29),0)</f>
        <v/>
      </c>
      <c r="CG29" s="232">
        <f>CE29</f>
        <v/>
      </c>
      <c r="CH29" s="232">
        <f>IFERROR(IF(CC29&lt;((1/2*CB29*CD29^2)*2),SQRT((CC29/2)*2/CB29),CD29),0)</f>
        <v/>
      </c>
      <c r="CI29" s="232">
        <f>IFERROR(CF29/CA29,0)</f>
        <v/>
      </c>
      <c r="CJ29" s="232">
        <f>CH29</f>
        <v/>
      </c>
      <c r="CK29" s="232">
        <f>IF(BZ29&gt;0,BZ29,SUM(CH29:CJ29))</f>
        <v/>
      </c>
      <c r="CL29" s="232" t="n"/>
      <c r="CM29" s="232">
        <f>CK29*CL29</f>
        <v/>
      </c>
    </row>
    <row r="30" customFormat="1" s="1">
      <c r="I30" s="229">
        <f>I29+1</f>
        <v/>
      </c>
      <c r="J30" s="229">
        <f>$B$11</f>
        <v/>
      </c>
      <c r="K30" s="229" t="inlineStr">
        <is>
          <t>_detection time</t>
        </is>
      </c>
      <c r="L30" s="229" t="n"/>
      <c r="M30" s="230">
        <f>J30&amp;K30&amp;L30</f>
        <v/>
      </c>
      <c r="N30" s="231" t="inlineStr">
        <is>
          <t>Detecting loading point</t>
        </is>
      </c>
      <c r="O30" s="232">
        <f>IFERROR(VLOOKUP(M30,'Master List'!$A:$D,2,0),0)</f>
        <v/>
      </c>
      <c r="P30" s="232">
        <f>IFERROR(VLOOKUP(M30,'Master List'!$A:$D,3,0),0)</f>
        <v/>
      </c>
      <c r="Q30" s="232">
        <f>IFERROR(VLOOKUP(M30,'Master List'!$A:$D,4,0),0)</f>
        <v/>
      </c>
      <c r="R30" s="233" t="n"/>
      <c r="S30" s="232">
        <f>IFERROR(P30/Q30,0)</f>
        <v/>
      </c>
      <c r="T30" s="232">
        <f>IFERROR(IF(R30&lt;((1/2*Q30*S30^2)*2),1/2*Q30*SQRT((R30/2)*2/Q30)^2,1/2*Q30*S30^2),0)</f>
        <v/>
      </c>
      <c r="U30" s="232">
        <f>IFERROR(IF(R30-T30-V30&lt;=0,0,R30-T30-V30),0)</f>
        <v/>
      </c>
      <c r="V30" s="232">
        <f>T30</f>
        <v/>
      </c>
      <c r="W30" s="232">
        <f>IFERROR(IF(R30&lt;((1/2*Q30*S30^2)*2),SQRT((R30/2)*2/Q30),S30),0)</f>
        <v/>
      </c>
      <c r="X30" s="232">
        <f>IFERROR(U30/P30,0)</f>
        <v/>
      </c>
      <c r="Y30" s="232">
        <f>W30</f>
        <v/>
      </c>
      <c r="Z30" s="232">
        <f>IF(O30&gt;0,O30,SUM(W30:Y30))</f>
        <v/>
      </c>
      <c r="AA30" s="232" t="n">
        <v>1</v>
      </c>
      <c r="AB30" s="232">
        <f>Z30*AA30</f>
        <v/>
      </c>
      <c r="AC30" s="222" t="n"/>
      <c r="AD30" s="229">
        <f>AD29+1</f>
        <v/>
      </c>
      <c r="AE30" s="229">
        <f>$B$11</f>
        <v/>
      </c>
      <c r="AF30" s="229" t="inlineStr">
        <is>
          <t>_detection time</t>
        </is>
      </c>
      <c r="AG30" s="229" t="n"/>
      <c r="AH30" s="230">
        <f>AE30&amp;AF30&amp;AG30</f>
        <v/>
      </c>
      <c r="AI30" s="231" t="inlineStr">
        <is>
          <t>Detecting loading point</t>
        </is>
      </c>
      <c r="AJ30" s="232">
        <f>IFERROR(VLOOKUP(AH30,'Master List'!$A:$D,2,0),0)</f>
        <v/>
      </c>
      <c r="AK30" s="232">
        <f>IFERROR(VLOOKUP(AH30,'Master List'!$A:$D,3,0),0)</f>
        <v/>
      </c>
      <c r="AL30" s="232">
        <f>IFERROR(VLOOKUP(AH30,'Master List'!$A:$D,4,0),0)</f>
        <v/>
      </c>
      <c r="AM30" s="233" t="n"/>
      <c r="AN30" s="232">
        <f>IFERROR(AK30/AL30,0)</f>
        <v/>
      </c>
      <c r="AO30" s="232">
        <f>IFERROR(IF(AM30&lt;((1/2*AL30*AN30^2)*2),1/2*AL30*SQRT((AM30/2)*2/AL30)^2,1/2*AL30*AN30^2),0)</f>
        <v/>
      </c>
      <c r="AP30" s="232">
        <f>IFERROR(IF(AM30-AO30-AQ30&lt;=0,0,AM30-AO30-AQ30),0)</f>
        <v/>
      </c>
      <c r="AQ30" s="232">
        <f>AO30</f>
        <v/>
      </c>
      <c r="AR30" s="232">
        <f>IFERROR(IF(AM30&lt;((1/2*AL30*AN30^2)*2),SQRT((AM30/2)*2/AL30),AN30),0)</f>
        <v/>
      </c>
      <c r="AS30" s="232">
        <f>IFERROR(AP30/AK30,0)</f>
        <v/>
      </c>
      <c r="AT30" s="232">
        <f>AR30</f>
        <v/>
      </c>
      <c r="AU30" s="232">
        <f>IF(AJ30&gt;0,AJ30,SUM(AR30:AT30))</f>
        <v/>
      </c>
      <c r="AV30" s="232" t="n">
        <v>1</v>
      </c>
      <c r="AW30" s="232">
        <f>AU30*AV30</f>
        <v/>
      </c>
      <c r="AX30" s="222" t="n"/>
      <c r="AY30" s="229">
        <f>AY29+1</f>
        <v/>
      </c>
      <c r="AZ30" s="229">
        <f>$B$11</f>
        <v/>
      </c>
      <c r="BA30" s="229" t="inlineStr">
        <is>
          <t>_detection time</t>
        </is>
      </c>
      <c r="BB30" s="229" t="n"/>
      <c r="BC30" s="230">
        <f>AZ30&amp;BA30&amp;BB30</f>
        <v/>
      </c>
      <c r="BD30" s="231" t="inlineStr">
        <is>
          <t>Detecting loading point</t>
        </is>
      </c>
      <c r="BE30" s="232">
        <f>IFERROR(VLOOKUP(BC30,'Master List'!$A:$D,2,0),0)</f>
        <v/>
      </c>
      <c r="BF30" s="232">
        <f>IFERROR(VLOOKUP(BC30,'Master List'!$A:$D,3,0),0)</f>
        <v/>
      </c>
      <c r="BG30" s="232">
        <f>IFERROR(VLOOKUP(BC30,'Master List'!$A:$D,4,0),0)</f>
        <v/>
      </c>
      <c r="BH30" s="233" t="n"/>
      <c r="BI30" s="232">
        <f>IFERROR(BF30/BG30,0)</f>
        <v/>
      </c>
      <c r="BJ30" s="232">
        <f>IFERROR(IF(BH30&lt;((1/2*BG30*BI30^2)*2),1/2*BG30*SQRT((BH30/2)*2/BG30)^2,1/2*BG30*BI30^2),0)</f>
        <v/>
      </c>
      <c r="BK30" s="232">
        <f>IFERROR(IF(BH30-BJ30-BL30&lt;=0,0,BH30-BJ30-BL30),0)</f>
        <v/>
      </c>
      <c r="BL30" s="232">
        <f>BJ30</f>
        <v/>
      </c>
      <c r="BM30" s="232">
        <f>IFERROR(IF(BH30&lt;((1/2*BG30*BI30^2)*2),SQRT((BH30/2)*2/BG30),BI30),0)</f>
        <v/>
      </c>
      <c r="BN30" s="232">
        <f>IFERROR(BK30/BF30,0)</f>
        <v/>
      </c>
      <c r="BO30" s="232">
        <f>BM30</f>
        <v/>
      </c>
      <c r="BP30" s="232">
        <f>IF(BE30&gt;0,BE30,SUM(BM30:BO30))</f>
        <v/>
      </c>
      <c r="BQ30" s="232" t="n">
        <v>1</v>
      </c>
      <c r="BR30" s="232">
        <f>BP30*BQ30</f>
        <v/>
      </c>
      <c r="BS30" s="222" t="n"/>
      <c r="BT30" s="229">
        <f>BT29+1</f>
        <v/>
      </c>
      <c r="BU30" s="229" t="n"/>
      <c r="BV30" s="229" t="n"/>
      <c r="BW30" s="229" t="n"/>
      <c r="BX30" s="230">
        <f>BU30&amp;BV30&amp;BW30</f>
        <v/>
      </c>
      <c r="BY30" s="231" t="n"/>
      <c r="BZ30" s="232">
        <f>IFERROR(VLOOKUP(BX30,'Master List'!$A:$D,2,0),0)</f>
        <v/>
      </c>
      <c r="CA30" s="232">
        <f>IFERROR(VLOOKUP(BX30,'Master List'!$A:$D,3,0),0)</f>
        <v/>
      </c>
      <c r="CB30" s="232">
        <f>IFERROR(VLOOKUP(BX30,'Master List'!$A:$D,4,0),0)</f>
        <v/>
      </c>
      <c r="CC30" s="233" t="n"/>
      <c r="CD30" s="232">
        <f>IFERROR(CA30/CB30,0)</f>
        <v/>
      </c>
      <c r="CE30" s="232">
        <f>IFERROR(IF(CC30&lt;((1/2*CB30*CD30^2)*2),1/2*CB30*SQRT((CC30/2)*2/CB30)^2,1/2*CB30*CD30^2),0)</f>
        <v/>
      </c>
      <c r="CF30" s="232">
        <f>IFERROR(IF(CC30-CE30-CG30&lt;=0,0,CC30-CE30-CG30),0)</f>
        <v/>
      </c>
      <c r="CG30" s="232">
        <f>CE30</f>
        <v/>
      </c>
      <c r="CH30" s="232">
        <f>IFERROR(IF(CC30&lt;((1/2*CB30*CD30^2)*2),SQRT((CC30/2)*2/CB30),CD30),0)</f>
        <v/>
      </c>
      <c r="CI30" s="232">
        <f>IFERROR(CF30/CA30,0)</f>
        <v/>
      </c>
      <c r="CJ30" s="232">
        <f>CH30</f>
        <v/>
      </c>
      <c r="CK30" s="232">
        <f>IF(BZ30&gt;0,BZ30,SUM(CH30:CJ30))</f>
        <v/>
      </c>
      <c r="CL30" s="232" t="n"/>
      <c r="CM30" s="232">
        <f>CK30*CL30</f>
        <v/>
      </c>
    </row>
    <row r="31" customFormat="1" s="1">
      <c r="A31" s="34" t="inlineStr">
        <is>
          <t>Distance Patch</t>
        </is>
      </c>
      <c r="B31" s="34" t="inlineStr">
        <is>
          <t>Distance M</t>
        </is>
      </c>
      <c r="C31" s="34" t="inlineStr">
        <is>
          <t># Turns</t>
        </is>
      </c>
      <c r="D31" s="34" t="inlineStr">
        <is>
          <t>Near M</t>
        </is>
      </c>
      <c r="E31" s="34" t="inlineStr">
        <is>
          <t>Mid M</t>
        </is>
      </c>
      <c r="F31" s="34" t="inlineStr">
        <is>
          <t>Far M</t>
        </is>
      </c>
      <c r="G31" s="34" t="inlineStr">
        <is>
          <t>Single Cycle M</t>
        </is>
      </c>
      <c r="I31" s="229">
        <f>I30+1</f>
        <v/>
      </c>
      <c r="J31" s="229">
        <f>$B$11</f>
        <v/>
      </c>
      <c r="K31" s="229" t="inlineStr">
        <is>
          <t>_loaded_turning</t>
        </is>
      </c>
      <c r="L31" s="229" t="n"/>
      <c r="M31" s="230">
        <f>J31&amp;K31&amp;L31</f>
        <v/>
      </c>
      <c r="N31" s="231" t="inlineStr">
        <is>
          <t>Turning times</t>
        </is>
      </c>
      <c r="O31" s="232">
        <f>IFERROR(VLOOKUP(M31,'Master List'!$A:$D,2,0),0)</f>
        <v/>
      </c>
      <c r="P31" s="232">
        <f>IFERROR(VLOOKUP(M31,'Master List'!$A:$D,3,0),0)</f>
        <v/>
      </c>
      <c r="Q31" s="232">
        <f>IFERROR(VLOOKUP(M31,'Master List'!$A:$D,4,0),0)</f>
        <v/>
      </c>
      <c r="R31" s="233" t="n"/>
      <c r="S31" s="232">
        <f>IFERROR(P31/Q31,0)</f>
        <v/>
      </c>
      <c r="T31" s="232">
        <f>IFERROR(IF(R31&lt;((1/2*Q31*S31^2)*2),1/2*Q31*SQRT((R31/2)*2/Q31)^2,1/2*Q31*S31^2),0)</f>
        <v/>
      </c>
      <c r="U31" s="232">
        <f>IFERROR(IF(R31-T31-V31&lt;=0,0,R31-T31-V31),0)</f>
        <v/>
      </c>
      <c r="V31" s="232">
        <f>T31</f>
        <v/>
      </c>
      <c r="W31" s="232">
        <f>IFERROR(IF(R31&lt;((1/2*Q31*S31^2)*2),SQRT((R31/2)*2/Q31),S31),0)</f>
        <v/>
      </c>
      <c r="X31" s="232">
        <f>IFERROR(U31/P31,0)</f>
        <v/>
      </c>
      <c r="Y31" s="232">
        <f>W31</f>
        <v/>
      </c>
      <c r="Z31" s="232">
        <f>IF(O31&gt;0,O31,SUM(W31:Y31))</f>
        <v/>
      </c>
      <c r="AA31" s="232">
        <f>SUM($C$32:$C$35)</f>
        <v/>
      </c>
      <c r="AB31" s="232">
        <f>Z31*AA31</f>
        <v/>
      </c>
      <c r="AC31" s="222" t="n"/>
      <c r="AD31" s="229">
        <f>AD30+1</f>
        <v/>
      </c>
      <c r="AE31" s="229">
        <f>$B$11</f>
        <v/>
      </c>
      <c r="AF31" s="229" t="inlineStr">
        <is>
          <t>_loaded_turning</t>
        </is>
      </c>
      <c r="AG31" s="229" t="n"/>
      <c r="AH31" s="230">
        <f>AE31&amp;AF31&amp;AG31</f>
        <v/>
      </c>
      <c r="AI31" s="231" t="inlineStr">
        <is>
          <t>Turning times</t>
        </is>
      </c>
      <c r="AJ31" s="232">
        <f>IFERROR(VLOOKUP(AH31,'Master List'!$A:$D,2,0),0)</f>
        <v/>
      </c>
      <c r="AK31" s="232">
        <f>IFERROR(VLOOKUP(AH31,'Master List'!$A:$D,3,0),0)</f>
        <v/>
      </c>
      <c r="AL31" s="232">
        <f>IFERROR(VLOOKUP(AH31,'Master List'!$A:$D,4,0),0)</f>
        <v/>
      </c>
      <c r="AM31" s="233" t="n"/>
      <c r="AN31" s="232">
        <f>IFERROR(AK31/AL31,0)</f>
        <v/>
      </c>
      <c r="AO31" s="232">
        <f>IFERROR(IF(AM31&lt;((1/2*AL31*AN31^2)*2),1/2*AL31*SQRT((AM31/2)*2/AL31)^2,1/2*AL31*AN31^2),0)</f>
        <v/>
      </c>
      <c r="AP31" s="232">
        <f>IFERROR(IF(AM31-AO31-AQ31&lt;=0,0,AM31-AO31-AQ31),0)</f>
        <v/>
      </c>
      <c r="AQ31" s="232">
        <f>AO31</f>
        <v/>
      </c>
      <c r="AR31" s="232">
        <f>IFERROR(IF(AM31&lt;((1/2*AL31*AN31^2)*2),SQRT((AM31/2)*2/AL31),AN31),0)</f>
        <v/>
      </c>
      <c r="AS31" s="232">
        <f>IFERROR(AP31/AK31,0)</f>
        <v/>
      </c>
      <c r="AT31" s="232">
        <f>AR31</f>
        <v/>
      </c>
      <c r="AU31" s="232">
        <f>IF(AJ31&gt;0,AJ31,SUM(AR31:AT31))</f>
        <v/>
      </c>
      <c r="AV31" s="232">
        <f>SUM($C$32:$C$35)</f>
        <v/>
      </c>
      <c r="AW31" s="232">
        <f>AU31*AV31</f>
        <v/>
      </c>
      <c r="AX31" s="222" t="n"/>
      <c r="AY31" s="229">
        <f>AY30+1</f>
        <v/>
      </c>
      <c r="AZ31" s="229">
        <f>$B$11</f>
        <v/>
      </c>
      <c r="BA31" s="229" t="inlineStr">
        <is>
          <t>_loaded_turning</t>
        </is>
      </c>
      <c r="BB31" s="229" t="n"/>
      <c r="BC31" s="230">
        <f>AZ31&amp;BA31&amp;BB31</f>
        <v/>
      </c>
      <c r="BD31" s="231" t="inlineStr">
        <is>
          <t>Turning times</t>
        </is>
      </c>
      <c r="BE31" s="232">
        <f>IFERROR(VLOOKUP(BC31,'Master List'!$A:$D,2,0),0)</f>
        <v/>
      </c>
      <c r="BF31" s="232">
        <f>IFERROR(VLOOKUP(BC31,'Master List'!$A:$D,3,0),0)</f>
        <v/>
      </c>
      <c r="BG31" s="232">
        <f>IFERROR(VLOOKUP(BC31,'Master List'!$A:$D,4,0),0)</f>
        <v/>
      </c>
      <c r="BH31" s="233" t="n"/>
      <c r="BI31" s="232">
        <f>IFERROR(BF31/BG31,0)</f>
        <v/>
      </c>
      <c r="BJ31" s="232">
        <f>IFERROR(IF(BH31&lt;((1/2*BG31*BI31^2)*2),1/2*BG31*SQRT((BH31/2)*2/BG31)^2,1/2*BG31*BI31^2),0)</f>
        <v/>
      </c>
      <c r="BK31" s="232">
        <f>IFERROR(IF(BH31-BJ31-BL31&lt;=0,0,BH31-BJ31-BL31),0)</f>
        <v/>
      </c>
      <c r="BL31" s="232">
        <f>BJ31</f>
        <v/>
      </c>
      <c r="BM31" s="232">
        <f>IFERROR(IF(BH31&lt;((1/2*BG31*BI31^2)*2),SQRT((BH31/2)*2/BG31),BI31),0)</f>
        <v/>
      </c>
      <c r="BN31" s="232">
        <f>IFERROR(BK31/BF31,0)</f>
        <v/>
      </c>
      <c r="BO31" s="232">
        <f>BM31</f>
        <v/>
      </c>
      <c r="BP31" s="232">
        <f>IF(BE31&gt;0,BE31,SUM(BM31:BO31))</f>
        <v/>
      </c>
      <c r="BQ31" s="232">
        <f>SUM($C$32:$C$35)</f>
        <v/>
      </c>
      <c r="BR31" s="232">
        <f>BP31*BQ31</f>
        <v/>
      </c>
      <c r="BS31" s="222" t="n"/>
      <c r="BT31" s="229" t="n"/>
      <c r="BU31" s="229" t="n"/>
      <c r="BV31" s="229" t="n"/>
      <c r="BW31" s="229" t="n"/>
      <c r="BX31" s="231" t="n"/>
      <c r="BY31" s="231" t="n"/>
      <c r="BZ31" s="229" t="n"/>
      <c r="CA31" s="229" t="n"/>
      <c r="CB31" s="229" t="n"/>
      <c r="CC31" s="231" t="n"/>
      <c r="CD31" s="229" t="n"/>
      <c r="CE31" s="229" t="n"/>
      <c r="CF31" s="229" t="n"/>
      <c r="CG31" s="229" t="n"/>
      <c r="CH31" s="229" t="n"/>
      <c r="CI31" s="229" t="n"/>
      <c r="CJ31" s="229" t="n"/>
      <c r="CK31" s="229" t="n"/>
      <c r="CL31" s="231" t="n"/>
      <c r="CM31" s="229" t="n"/>
    </row>
    <row r="32" customFormat="1" s="1">
      <c r="A32" s="33" t="inlineStr">
        <is>
          <t>Max distance travelled (A) M</t>
        </is>
      </c>
      <c r="B32" s="179" t="n">
        <v>4</v>
      </c>
      <c r="C32" s="38" t="n">
        <v>2</v>
      </c>
      <c r="D32" s="45">
        <f>$B$25*B32</f>
        <v/>
      </c>
      <c r="E32" s="45">
        <f>$B$26*B32</f>
        <v/>
      </c>
      <c r="F32" s="45">
        <f>$B$27*B32</f>
        <v/>
      </c>
      <c r="G32" s="45" t="n"/>
      <c r="I32" s="229" t="n"/>
      <c r="J32" s="229" t="n"/>
      <c r="K32" s="229" t="n"/>
      <c r="L32" s="229" t="n"/>
      <c r="M32" s="231" t="n"/>
      <c r="N32" s="231" t="n"/>
      <c r="O32" s="229" t="n"/>
      <c r="P32" s="229" t="n"/>
      <c r="Q32" s="229" t="n"/>
      <c r="R32" s="231" t="n"/>
      <c r="S32" s="229" t="n"/>
      <c r="T32" s="229" t="n"/>
      <c r="U32" s="229" t="n"/>
      <c r="V32" s="229" t="n"/>
      <c r="W32" s="229" t="n"/>
      <c r="X32" s="229" t="n"/>
      <c r="Y32" s="229" t="n"/>
      <c r="Z32" s="229" t="n"/>
      <c r="AA32" s="231" t="n"/>
      <c r="AB32" s="229" t="n"/>
      <c r="AC32" s="222" t="n"/>
      <c r="AD32" s="229" t="n"/>
      <c r="AE32" s="229" t="n"/>
      <c r="AF32" s="229" t="n"/>
      <c r="AG32" s="229" t="n"/>
      <c r="AH32" s="231" t="n"/>
      <c r="AI32" s="231" t="n"/>
      <c r="AJ32" s="229" t="n"/>
      <c r="AK32" s="229" t="n"/>
      <c r="AL32" s="229" t="n"/>
      <c r="AM32" s="231" t="n"/>
      <c r="AN32" s="229" t="n"/>
      <c r="AO32" s="229" t="n"/>
      <c r="AP32" s="229" t="n"/>
      <c r="AQ32" s="229" t="n"/>
      <c r="AR32" s="229" t="n"/>
      <c r="AS32" s="229" t="n"/>
      <c r="AT32" s="229" t="n"/>
      <c r="AU32" s="229" t="n"/>
      <c r="AV32" s="231" t="n"/>
      <c r="AW32" s="229" t="n"/>
      <c r="AX32" s="222" t="n"/>
      <c r="AY32" s="229" t="n"/>
      <c r="AZ32" s="229" t="n"/>
      <c r="BA32" s="229" t="n"/>
      <c r="BB32" s="229" t="n"/>
      <c r="BC32" s="231" t="n"/>
      <c r="BD32" s="231" t="n"/>
      <c r="BE32" s="229" t="n"/>
      <c r="BF32" s="229" t="n"/>
      <c r="BG32" s="229" t="n"/>
      <c r="BH32" s="231" t="n"/>
      <c r="BI32" s="229" t="n"/>
      <c r="BJ32" s="229" t="n"/>
      <c r="BK32" s="229" t="n"/>
      <c r="BL32" s="229" t="n"/>
      <c r="BM32" s="229" t="n"/>
      <c r="BN32" s="229" t="n"/>
      <c r="BO32" s="229" t="n"/>
      <c r="BP32" s="229" t="n"/>
      <c r="BQ32" s="231" t="n"/>
      <c r="BR32" s="229" t="n"/>
      <c r="BS32" s="222" t="n"/>
      <c r="BT32" s="229" t="n"/>
      <c r="BU32" s="229" t="n"/>
      <c r="BV32" s="229" t="n"/>
      <c r="BW32" s="229" t="n"/>
      <c r="BX32" s="231" t="n"/>
      <c r="BY32" s="231" t="n"/>
      <c r="BZ32" s="229" t="n"/>
      <c r="CA32" s="229" t="n"/>
      <c r="CB32" s="229" t="n"/>
      <c r="CC32" s="231" t="n"/>
      <c r="CD32" s="229" t="n"/>
      <c r="CE32" s="229" t="n"/>
      <c r="CF32" s="229" t="n"/>
      <c r="CG32" s="229" t="n"/>
      <c r="CH32" s="229" t="n"/>
      <c r="CI32" s="229" t="n"/>
      <c r="CJ32" s="229" t="n"/>
      <c r="CK32" s="229" t="n"/>
      <c r="CL32" s="231" t="n"/>
      <c r="CM32" s="229" t="n"/>
    </row>
    <row r="33">
      <c r="A33" s="33" t="inlineStr">
        <is>
          <t>Max distance travelled (B) M</t>
        </is>
      </c>
      <c r="B33" s="179" t="n">
        <v>10</v>
      </c>
      <c r="C33" s="38" t="n">
        <v>2</v>
      </c>
      <c r="D33" s="45">
        <f>$B$25*B33</f>
        <v/>
      </c>
      <c r="E33" s="45">
        <f>$B$26*B33</f>
        <v/>
      </c>
      <c r="F33" s="45">
        <f>$B$27*B33</f>
        <v/>
      </c>
      <c r="G33" s="45" t="n"/>
    </row>
    <row r="34">
      <c r="A34" s="33" t="inlineStr">
        <is>
          <t>Max distance travelled (C) M</t>
        </is>
      </c>
      <c r="B34" s="179" t="n">
        <v>10</v>
      </c>
      <c r="C34" s="38" t="n">
        <v>2</v>
      </c>
      <c r="D34" s="45">
        <f>$B$25*B34</f>
        <v/>
      </c>
      <c r="E34" s="45">
        <f>$B$26*B34</f>
        <v/>
      </c>
      <c r="F34" s="45">
        <f>$B$27*B34</f>
        <v/>
      </c>
      <c r="G34" s="45" t="n"/>
    </row>
    <row r="35">
      <c r="A35" s="33" t="inlineStr">
        <is>
          <t>Max distance travelled (D) M</t>
        </is>
      </c>
      <c r="B35" s="179" t="n">
        <v>10</v>
      </c>
      <c r="C35" s="38" t="n">
        <v>2</v>
      </c>
      <c r="D35" s="45">
        <f>$B$25*B35</f>
        <v/>
      </c>
      <c r="E35" s="45">
        <f>$B$26*B35</f>
        <v/>
      </c>
      <c r="F35" s="45">
        <f>$B$27*B35</f>
        <v/>
      </c>
      <c r="G35" s="45" t="n"/>
    </row>
    <row r="36">
      <c r="A36" s="33" t="inlineStr">
        <is>
          <t>Max distance travelled: Single Cycle M</t>
        </is>
      </c>
      <c r="B36" s="179" t="n">
        <v>10</v>
      </c>
      <c r="C36" s="38" t="n">
        <v>2</v>
      </c>
      <c r="D36" s="45">
        <f>$B$25*B36</f>
        <v/>
      </c>
      <c r="E36" s="45">
        <f>$B$26*B36</f>
        <v/>
      </c>
      <c r="F36" s="45">
        <f>$B$27*B36</f>
        <v/>
      </c>
      <c r="G36" s="45">
        <f>B36</f>
        <v/>
      </c>
    </row>
    <row r="37">
      <c r="N37" s="489" t="n"/>
    </row>
    <row r="38">
      <c r="A38" s="33" t="inlineStr">
        <is>
          <t>Docking and Undocking distance M</t>
        </is>
      </c>
      <c r="B38" s="33" t="n">
        <v>2</v>
      </c>
      <c r="D38" s="490" t="n"/>
    </row>
    <row r="40">
      <c r="A40" s="34" t="inlineStr">
        <is>
          <t>Dynamo List</t>
        </is>
      </c>
    </row>
    <row r="41">
      <c r="A41" s="33" t="inlineStr">
        <is>
          <t>Dynamo100</t>
        </is>
      </c>
      <c r="E41" s="491" t="n"/>
    </row>
    <row r="42">
      <c r="A42" s="33" t="inlineStr">
        <is>
          <t>Dynamo200</t>
        </is>
      </c>
      <c r="E42" s="491" t="n"/>
    </row>
    <row r="43">
      <c r="A43" s="33" t="inlineStr">
        <is>
          <t>Dynamo500</t>
        </is>
      </c>
    </row>
    <row r="44">
      <c r="A44" s="33" t="inlineStr">
        <is>
          <t>Dynamo1000</t>
        </is>
      </c>
    </row>
    <row r="45">
      <c r="A45" s="33" t="inlineStr">
        <is>
          <t>Dynamo1500</t>
        </is>
      </c>
    </row>
    <row r="47">
      <c r="A47" s="37" t="inlineStr">
        <is>
          <t>Aisle widths available and load carry type by AMR</t>
        </is>
      </c>
    </row>
    <row r="48">
      <c r="A48" s="34" t="inlineStr">
        <is>
          <t>Dynamo100</t>
        </is>
      </c>
      <c r="B48" s="34" t="inlineStr">
        <is>
          <t>Dynamo200</t>
        </is>
      </c>
      <c r="C48" s="34" t="inlineStr">
        <is>
          <t>Dynamo500</t>
        </is>
      </c>
      <c r="D48" s="34" t="inlineStr">
        <is>
          <t>Dynamo1000</t>
        </is>
      </c>
      <c r="E48" s="34" t="inlineStr">
        <is>
          <t>Dynamo1500</t>
        </is>
      </c>
    </row>
    <row r="49">
      <c r="A49" s="33" t="n">
        <v>1.8</v>
      </c>
      <c r="B49" s="170" t="n">
        <v>2</v>
      </c>
      <c r="C49" s="170" t="n">
        <v>2.2</v>
      </c>
      <c r="D49" s="33" t="n">
        <v>2.2</v>
      </c>
      <c r="E49" s="170" t="n">
        <v>2.5</v>
      </c>
    </row>
    <row r="50">
      <c r="A50" s="33" t="n">
        <v>1.6</v>
      </c>
      <c r="B50" s="170" t="n">
        <v>1.8</v>
      </c>
      <c r="C50" s="170" t="n">
        <v>2</v>
      </c>
      <c r="D50" s="33" t="n">
        <v>2</v>
      </c>
      <c r="E50" s="170" t="n">
        <v>2.3</v>
      </c>
    </row>
    <row r="51">
      <c r="A51" s="33" t="n">
        <v>1.5</v>
      </c>
      <c r="B51" s="170" t="n">
        <v>1.7</v>
      </c>
      <c r="C51" s="170" t="n">
        <v>1.9</v>
      </c>
      <c r="D51" s="33" t="n">
        <v>1.9</v>
      </c>
      <c r="E51" s="170" t="n">
        <v>2.2</v>
      </c>
    </row>
    <row r="52">
      <c r="A52" s="33" t="n">
        <v>1.2</v>
      </c>
      <c r="B52" s="170" t="n">
        <v>1.4</v>
      </c>
      <c r="C52" s="170" t="n">
        <v>1.6</v>
      </c>
      <c r="D52" s="33" t="n">
        <v>1.6</v>
      </c>
      <c r="E52" s="170" t="n">
        <v>2.5</v>
      </c>
    </row>
    <row r="54">
      <c r="A54" s="173" t="n"/>
      <c r="B54" s="173" t="n"/>
      <c r="C54" s="174" t="inlineStr">
        <is>
          <t>_LifterUp/Down</t>
        </is>
      </c>
      <c r="D54" s="174" t="inlineStr">
        <is>
          <t>_LifterUp/Down</t>
        </is>
      </c>
      <c r="E54" s="174" t="inlineStr">
        <is>
          <t>_LifterUp/Down</t>
        </is>
      </c>
    </row>
    <row r="55" ht="30" customHeight="1" s="516">
      <c r="A55" s="174" t="inlineStr">
        <is>
          <t>_Conveyor transfer</t>
        </is>
      </c>
      <c r="B55" s="174" t="inlineStr">
        <is>
          <t>_Conveyor transfer</t>
        </is>
      </c>
      <c r="C55" s="174" t="inlineStr">
        <is>
          <t>_Conveyor transfer</t>
        </is>
      </c>
      <c r="D55" s="174" t="inlineStr">
        <is>
          <t>_Conveyor transfer</t>
        </is>
      </c>
      <c r="E55" s="174" t="inlineStr">
        <is>
          <t>_Conveyor transfer</t>
        </is>
      </c>
    </row>
    <row r="56" ht="30" customHeight="1" s="516">
      <c r="A56" s="174" t="inlineStr">
        <is>
          <t>_PinHookup/Hookdown</t>
        </is>
      </c>
      <c r="B56" s="174" t="inlineStr">
        <is>
          <t>_PinHookup/Hookdown</t>
        </is>
      </c>
      <c r="C56" s="174" t="inlineStr">
        <is>
          <t>_PinHookup/Hookdown</t>
        </is>
      </c>
      <c r="D56" s="173" t="n"/>
      <c r="E56" s="173" t="n"/>
    </row>
    <row r="58">
      <c r="A58" s="51" t="inlineStr">
        <is>
          <t>Conditions</t>
        </is>
      </c>
    </row>
    <row r="59">
      <c r="A59" s="174">
        <f>B13</f>
        <v/>
      </c>
    </row>
    <row r="60">
      <c r="A60" s="174" t="inlineStr">
        <is>
          <t>_loaded_</t>
        </is>
      </c>
    </row>
    <row r="61">
      <c r="A61" s="174" t="inlineStr">
        <is>
          <t>_unloaded_</t>
        </is>
      </c>
    </row>
    <row r="62">
      <c r="A62" s="174" t="inlineStr">
        <is>
          <t>_loaded_turning</t>
        </is>
      </c>
    </row>
    <row r="63">
      <c r="A63" s="174" t="inlineStr">
        <is>
          <t>_unloaded_turning</t>
        </is>
      </c>
    </row>
    <row r="64">
      <c r="A64" s="174" t="inlineStr">
        <is>
          <t>_docking</t>
        </is>
      </c>
    </row>
    <row r="65">
      <c r="A65" s="174" t="inlineStr">
        <is>
          <t>_detection time</t>
        </is>
      </c>
    </row>
    <row r="66">
      <c r="A66" s="174" t="n"/>
    </row>
    <row r="79">
      <c r="A79" s="178" t="inlineStr">
        <is>
          <t>Pallets</t>
        </is>
      </c>
    </row>
    <row r="80">
      <c r="A80" s="1" t="inlineStr">
        <is>
          <t>Totes</t>
        </is>
      </c>
    </row>
  </sheetData>
  <sheetProtection selectLockedCells="0" selectUnlockedCells="0" algorithmName="SHA-512" sheet="1" objects="1" insertRows="1" insertHyperlinks="1" autoFilter="1" scenarios="1" formatColumns="1" deleteColumns="1" insertColumns="1" pivotTables="1" deleteRows="1" formatCells="1" saltValue="vEHJUQSjyYJGGvWQ3TrgpA==" formatRows="1" sort="1" spinCount="100000" hashValue="9si07D2d2mKA1l+HoWvsj0s+pi/T+PAwhb2LTDlAXv+NoCbSoA3RJUqj6fRMNte0LlOmglQXKMygGwK30fjvJg=="/>
  <mergeCells count="24">
    <mergeCell ref="AH8:AV8"/>
    <mergeCell ref="BC7:BQ7"/>
    <mergeCell ref="BX6:CL6"/>
    <mergeCell ref="BX9:CL9"/>
    <mergeCell ref="M7:AA7"/>
    <mergeCell ref="AH9:AV9"/>
    <mergeCell ref="AD5:AW5"/>
    <mergeCell ref="AY6:AY10"/>
    <mergeCell ref="M6:AA6"/>
    <mergeCell ref="AH6:AV6"/>
    <mergeCell ref="I6:I10"/>
    <mergeCell ref="BT6:BT10"/>
    <mergeCell ref="BC8:BQ8"/>
    <mergeCell ref="M8:AA8"/>
    <mergeCell ref="BX7:CL7"/>
    <mergeCell ref="AH7:AV7"/>
    <mergeCell ref="BC9:BQ9"/>
    <mergeCell ref="AY5:BR5"/>
    <mergeCell ref="I5:AB5"/>
    <mergeCell ref="BT5:CM5"/>
    <mergeCell ref="BC6:BQ6"/>
    <mergeCell ref="BX8:CL8"/>
    <mergeCell ref="M9:AA9"/>
    <mergeCell ref="AD6:AD10"/>
  </mergeCells>
  <conditionalFormatting sqref="C29">
    <cfRule type="cellIs" priority="1" operator="notEqual" dxfId="0">
      <formula>1</formula>
    </cfRule>
  </conditionalFormatting>
  <dataValidations count="6">
    <dataValidation sqref="B14" showDropDown="0" showInputMessage="1" showErrorMessage="1" allowBlank="1" type="list">
      <formula1>$A$79:$A$80</formula1>
    </dataValidation>
    <dataValidation sqref="B11" showDropDown="0" showInputMessage="1" showErrorMessage="1" allowBlank="1" type="list">
      <formula1>$A$41:$A$45</formula1>
    </dataValidation>
    <dataValidation sqref="K11:K31 AF11:AF31 BA11:BA31 BV11:BV30 BW21" showDropDown="0" showInputMessage="1" showErrorMessage="1" allowBlank="1" type="list">
      <formula1>$A$57:$A$66</formula1>
    </dataValidation>
    <dataValidation sqref="B17:B18" showDropDown="0" showInputMessage="1" showErrorMessage="1" allowBlank="1" type="list">
      <formula1>$CP$13:$CP$18</formula1>
    </dataValidation>
    <dataValidation sqref="B12" showDropDown="0" showInputMessage="1" showErrorMessage="1" allowBlank="1" type="list">
      <formula1>IF($B$11=$A$48,$A$49:$A$52,IF($B$11=$B$48,$B$49:$B$52,IF($B$11=$C$48,$C$49:$C$52,IF($B$11=$D$48,$D$49:$D$52,IF($B$11=$E$48,$E$49:$E$52)))))</formula1>
    </dataValidation>
    <dataValidation sqref="B13" showDropDown="0" showInputMessage="1" showErrorMessage="1" allowBlank="1" type="list">
      <formula1>IF($B$11=$A$48,$A$54:$A$56,IF($B$11=$B$48,$B$54:$B$56,IF($B$11=$C$48,$C$54:$C$56,IF($B$11=$D$48,$D$54:$D$56,IF($B$11=$E$54,$E$49:$E$56)))))</formula1>
    </dataValidation>
  </dataValidations>
  <pageMargins left="0.7" right="0.7" top="0.75" bottom="0.75" header="0.3" footer="0.3"/>
  <pageSetup orientation="landscape" scale="66"/>
  <drawing r:id="rId1"/>
</worksheet>
</file>

<file path=xl/worksheets/sheet3.xml><?xml version="1.0" encoding="utf-8"?>
<worksheet xmlns:r="http://schemas.openxmlformats.org/officeDocument/2006/relationships" xmlns="http://schemas.openxmlformats.org/spreadsheetml/2006/main">
  <sheetPr codeName="Sheet3">
    <tabColor rgb="FFFFC000"/>
    <outlinePr summaryBelow="1" summaryRight="1"/>
    <pageSetUpPr fitToPage="1"/>
  </sheetPr>
  <dimension ref="A1:CA39"/>
  <sheetViews>
    <sheetView showGridLines="0" tabSelected="1" topLeftCell="A5" zoomScaleNormal="100" workbookViewId="0">
      <selection activeCell="B18" sqref="B18"/>
    </sheetView>
  </sheetViews>
  <sheetFormatPr baseColWidth="10" defaultColWidth="8.6640625" defaultRowHeight="14"/>
  <cols>
    <col width="41.5" bestFit="1" customWidth="1" style="1" min="1" max="1"/>
    <col width="35" bestFit="1" customWidth="1" style="1" min="2" max="2"/>
    <col width="21.5" bestFit="1" customWidth="1" style="1" min="3" max="3"/>
    <col width="11.33203125" bestFit="1" customWidth="1" style="1" min="4" max="4"/>
    <col width="11.6640625" bestFit="1" customWidth="1" style="1" min="5" max="5"/>
    <col width="30.83203125" customWidth="1" style="147" min="6" max="6"/>
    <col width="8.5" customWidth="1" style="153" min="7" max="7"/>
    <col width="24.6640625" customWidth="1" style="218" min="8" max="8"/>
    <col width="63.33203125" customWidth="1" style="218" min="9" max="9"/>
    <col hidden="1" width="11.5" customWidth="1" style="153" min="10" max="10"/>
    <col hidden="1" width="6.5" customWidth="1" style="153" min="11" max="11"/>
    <col hidden="1" width="11.6640625" customWidth="1" style="153" min="12" max="12"/>
    <col hidden="1" width="9.33203125" customWidth="1" style="218" min="13" max="13"/>
    <col hidden="1" width="10.6640625" customWidth="1" style="153" min="14" max="14"/>
    <col width="12.5" customWidth="1" style="153" min="15" max="15"/>
    <col hidden="1" width="9.5" customWidth="1" style="153" min="16" max="16"/>
    <col hidden="1" width="11.6640625" customWidth="1" style="153" min="17" max="17"/>
    <col hidden="1" width="11.5" customWidth="1" style="153" min="18" max="18"/>
    <col hidden="1" width="8.6640625" customWidth="1" style="153" min="19" max="19"/>
    <col hidden="1" width="11.33203125" customWidth="1" style="153" min="20" max="20"/>
    <col width="8.6640625" customWidth="1" style="153" min="21" max="21"/>
    <col width="9.33203125" customWidth="1" style="218" min="22" max="22"/>
    <col width="14.33203125" customWidth="1" style="153" min="23" max="23"/>
    <col width="8.6640625" customWidth="1" style="153" min="24" max="25"/>
    <col width="24.6640625" customWidth="1" style="218" min="26" max="26"/>
    <col width="27.6640625" customWidth="1" style="218" min="27" max="27"/>
    <col hidden="1" width="8.6640625" customWidth="1" style="153" min="28" max="30"/>
    <col width="8.6640625" customWidth="1" style="218" min="31" max="31"/>
    <col hidden="1" width="8.6640625" customWidth="1" style="153" min="32" max="38"/>
    <col width="8.6640625" customWidth="1" style="153" min="39" max="39"/>
    <col width="8.6640625" customWidth="1" style="218" min="40" max="40"/>
    <col width="8.6640625" customWidth="1" style="153" min="41" max="43"/>
    <col width="24.6640625" customWidth="1" style="218" min="44" max="44"/>
    <col width="32.6640625" customWidth="1" style="218" min="45" max="45"/>
    <col hidden="1" width="8.6640625" customWidth="1" style="153" min="46" max="48"/>
    <col width="8.6640625" customWidth="1" style="218" min="49" max="49"/>
    <col hidden="1" width="8.6640625" customWidth="1" style="153" min="50" max="56"/>
    <col width="8.6640625" customWidth="1" style="153" min="57" max="57"/>
    <col width="8.6640625" customWidth="1" style="218" min="58" max="58"/>
    <col width="8.6640625" customWidth="1" style="153" min="59" max="61"/>
    <col width="24.6640625" customWidth="1" style="218" min="62" max="62"/>
    <col width="23.83203125" customWidth="1" style="218" min="63" max="63"/>
    <col hidden="1" width="8.6640625" customWidth="1" style="153" min="64" max="66"/>
    <col width="8.6640625" customWidth="1" style="218" min="67" max="67"/>
    <col hidden="1" width="8.6640625" customWidth="1" style="153" min="68" max="74"/>
    <col width="8.6640625" customWidth="1" style="153" min="75" max="75"/>
    <col width="8.6640625" customWidth="1" style="218" min="76" max="76"/>
    <col width="8.6640625" customWidth="1" style="153" min="77" max="77"/>
    <col width="8.6640625" customWidth="1" style="148" min="78" max="78"/>
    <col width="8.6640625" customWidth="1" style="147" min="79" max="79"/>
    <col width="8.6640625" customWidth="1" style="1" min="80" max="80"/>
    <col width="17.33203125" bestFit="1" customWidth="1" style="1" min="81" max="81"/>
    <col width="12.6640625" bestFit="1" customWidth="1" style="1" min="82" max="82"/>
    <col width="10.5" bestFit="1" customWidth="1" style="1" min="83" max="83"/>
    <col width="8.6640625" customWidth="1" style="1" min="84" max="84"/>
    <col width="8.6640625" customWidth="1" style="1" min="85" max="16384"/>
  </cols>
  <sheetData>
    <row r="1" ht="47" customFormat="1" customHeight="1" s="24">
      <c r="A1" s="1" t="n"/>
      <c r="B1" s="144">
        <f>'Master List'!$F$2</f>
        <v/>
      </c>
      <c r="C1" s="1" t="n"/>
      <c r="D1" s="1" t="n"/>
      <c r="E1" s="1" t="n"/>
      <c r="F1" s="147" t="n"/>
      <c r="G1" s="214" t="n"/>
      <c r="H1" s="215" t="n"/>
      <c r="I1" s="214" t="n"/>
      <c r="J1" s="214" t="n"/>
      <c r="K1" s="214" t="n"/>
      <c r="L1" s="214" t="n"/>
      <c r="M1" s="214" t="n"/>
      <c r="N1" s="214" t="n"/>
      <c r="O1" s="214" t="n"/>
      <c r="P1" s="214" t="n"/>
      <c r="Q1" s="214" t="n"/>
      <c r="R1" s="214" t="n"/>
      <c r="S1" s="214" t="n"/>
      <c r="T1" s="214" t="n"/>
      <c r="U1" s="214" t="n"/>
      <c r="V1" s="216" t="n"/>
      <c r="W1" s="216" t="n"/>
      <c r="X1" s="214" t="n"/>
      <c r="Y1" s="214" t="n"/>
      <c r="Z1" s="214" t="n"/>
      <c r="AA1" s="214" t="n"/>
      <c r="AB1" s="214" t="n"/>
      <c r="AC1" s="214" t="n"/>
      <c r="AD1" s="214" t="n"/>
      <c r="AE1" s="214" t="n"/>
      <c r="AF1" s="214" t="n"/>
      <c r="AG1" s="214" t="n"/>
      <c r="AH1" s="214" t="n"/>
      <c r="AI1" s="214" t="n"/>
      <c r="AJ1" s="214" t="n"/>
      <c r="AK1" s="214" t="n"/>
      <c r="AL1" s="214" t="n"/>
      <c r="AM1" s="214" t="n"/>
      <c r="AN1" s="214" t="n"/>
      <c r="AO1" s="214" t="n"/>
      <c r="AP1" s="214" t="n"/>
      <c r="AQ1" s="214" t="n"/>
      <c r="AR1" s="214" t="n"/>
      <c r="AS1" s="214" t="n"/>
      <c r="AT1" s="214" t="n"/>
      <c r="AU1" s="214" t="n"/>
      <c r="AV1" s="214" t="n"/>
      <c r="AW1" s="214" t="n"/>
      <c r="AX1" s="214" t="n"/>
      <c r="AY1" s="214" t="n"/>
      <c r="AZ1" s="214" t="n"/>
      <c r="BA1" s="214" t="n"/>
      <c r="BB1" s="214" t="n"/>
      <c r="BC1" s="214" t="n"/>
      <c r="BD1" s="214" t="n"/>
      <c r="BE1" s="214" t="n"/>
      <c r="BF1" s="214" t="n"/>
      <c r="BG1" s="214" t="n"/>
      <c r="BH1" s="214" t="n"/>
      <c r="BI1" s="214" t="n"/>
      <c r="BJ1" s="214" t="n"/>
      <c r="BK1" s="214" t="n"/>
      <c r="BL1" s="214" t="n"/>
      <c r="BM1" s="214" t="n"/>
      <c r="BN1" s="214" t="n"/>
      <c r="BO1" s="214" t="n"/>
      <c r="BP1" s="214" t="n"/>
      <c r="BQ1" s="214" t="n"/>
      <c r="BR1" s="214" t="n"/>
      <c r="BS1" s="214" t="n"/>
      <c r="BT1" s="214" t="n"/>
      <c r="BU1" s="214" t="n"/>
      <c r="BV1" s="214" t="n"/>
      <c r="BW1" s="214" t="n"/>
      <c r="BX1" s="214" t="n"/>
      <c r="BY1" s="214" t="n"/>
      <c r="BZ1" s="149" t="n"/>
      <c r="CA1" s="150" t="n"/>
    </row>
    <row r="2" ht="18.5" customFormat="1" customHeight="1" s="24">
      <c r="A2" s="34" t="inlineStr">
        <is>
          <t>Equipment</t>
        </is>
      </c>
      <c r="B2" s="33" t="inlineStr">
        <is>
          <t>Zippy 6</t>
        </is>
      </c>
      <c r="C2" s="1" t="n"/>
      <c r="D2" s="1" t="n"/>
      <c r="E2" s="1" t="n"/>
      <c r="F2" s="147" t="n"/>
      <c r="G2" s="214" t="n"/>
      <c r="H2" s="215" t="n"/>
      <c r="I2" s="214" t="n"/>
      <c r="J2" s="214" t="n"/>
      <c r="K2" s="214" t="n"/>
      <c r="L2" s="214" t="n"/>
      <c r="M2" s="214" t="n"/>
      <c r="N2" s="214" t="n"/>
      <c r="O2" s="214" t="n"/>
      <c r="P2" s="214" t="n"/>
      <c r="Q2" s="214" t="n"/>
      <c r="R2" s="214" t="n"/>
      <c r="S2" s="214" t="n"/>
      <c r="T2" s="214" t="n"/>
      <c r="U2" s="214" t="n"/>
      <c r="V2" s="216" t="n"/>
      <c r="W2" s="216" t="n"/>
      <c r="X2" s="214" t="n"/>
      <c r="Y2" s="214" t="n"/>
      <c r="Z2" s="214" t="n"/>
      <c r="AA2" s="214" t="n"/>
      <c r="AB2" s="214" t="n"/>
      <c r="AC2" s="214" t="n"/>
      <c r="AD2" s="214" t="n"/>
      <c r="AE2" s="214" t="n"/>
      <c r="AF2" s="214" t="n"/>
      <c r="AG2" s="214" t="n"/>
      <c r="AH2" s="214" t="n"/>
      <c r="AI2" s="214" t="n"/>
      <c r="AJ2" s="214" t="n"/>
      <c r="AK2" s="214" t="n"/>
      <c r="AL2" s="214" t="n"/>
      <c r="AM2" s="214" t="n"/>
      <c r="AN2" s="214" t="n"/>
      <c r="AO2" s="214" t="n"/>
      <c r="AP2" s="214" t="n"/>
      <c r="AQ2" s="214" t="n"/>
      <c r="AR2" s="214" t="n"/>
      <c r="AS2" s="214" t="n"/>
      <c r="AT2" s="214" t="n"/>
      <c r="AU2" s="214" t="n"/>
      <c r="AV2" s="214" t="n"/>
      <c r="AW2" s="214" t="n"/>
      <c r="AX2" s="214" t="n"/>
      <c r="AY2" s="214" t="n"/>
      <c r="AZ2" s="214" t="n"/>
      <c r="BA2" s="214" t="n"/>
      <c r="BB2" s="214" t="n"/>
      <c r="BC2" s="214" t="n"/>
      <c r="BD2" s="214" t="n"/>
      <c r="BE2" s="214" t="n"/>
      <c r="BF2" s="214" t="n"/>
      <c r="BG2" s="214" t="n"/>
      <c r="BH2" s="214" t="n"/>
      <c r="BI2" s="214" t="n"/>
      <c r="BJ2" s="214" t="n"/>
      <c r="BK2" s="214" t="n"/>
      <c r="BL2" s="214" t="n"/>
      <c r="BM2" s="214" t="n"/>
      <c r="BN2" s="214" t="n"/>
      <c r="BO2" s="214" t="n"/>
      <c r="BP2" s="214" t="n"/>
      <c r="BQ2" s="214" t="n"/>
      <c r="BR2" s="214" t="n"/>
      <c r="BS2" s="214" t="n"/>
      <c r="BT2" s="214" t="n"/>
      <c r="BU2" s="214" t="n"/>
      <c r="BV2" s="214" t="n"/>
      <c r="BW2" s="214" t="n"/>
      <c r="BX2" s="214" t="n"/>
      <c r="BY2" s="214" t="n"/>
      <c r="BZ2" s="149" t="n"/>
      <c r="CA2" s="150" t="n"/>
    </row>
    <row r="3" ht="18.5" customFormat="1" customHeight="1" s="24">
      <c r="A3" s="34" t="inlineStr">
        <is>
          <t>Utilization</t>
        </is>
      </c>
      <c r="B3" s="402">
        <f>W8</f>
        <v/>
      </c>
      <c r="C3" s="1" t="n"/>
      <c r="D3" s="1" t="n"/>
      <c r="E3" s="1" t="n"/>
      <c r="F3" s="147" t="n"/>
      <c r="G3" s="214" t="n"/>
      <c r="H3" s="215" t="n"/>
      <c r="I3" s="214" t="n"/>
      <c r="J3" s="214" t="n"/>
      <c r="K3" s="214" t="n"/>
      <c r="L3" s="214" t="n"/>
      <c r="M3" s="214" t="n"/>
      <c r="N3" s="214" t="n"/>
      <c r="O3" s="214" t="n"/>
      <c r="P3" s="214" t="n"/>
      <c r="Q3" s="214" t="n"/>
      <c r="R3" s="214" t="n"/>
      <c r="S3" s="214" t="n"/>
      <c r="T3" s="214" t="n"/>
      <c r="U3" s="214" t="n"/>
      <c r="V3" s="216" t="n"/>
      <c r="W3" s="216" t="n"/>
      <c r="X3" s="214" t="n"/>
      <c r="Y3" s="214" t="n"/>
      <c r="Z3" s="214" t="n"/>
      <c r="AA3" s="214" t="n"/>
      <c r="AB3" s="214" t="n"/>
      <c r="AC3" s="214" t="n"/>
      <c r="AD3" s="214" t="n"/>
      <c r="AE3" s="214" t="n"/>
      <c r="AF3" s="214" t="n"/>
      <c r="AG3" s="214" t="n"/>
      <c r="AH3" s="214" t="n"/>
      <c r="AI3" s="214" t="n"/>
      <c r="AJ3" s="214" t="n"/>
      <c r="AK3" s="214" t="n"/>
      <c r="AL3" s="214" t="n"/>
      <c r="AM3" s="214" t="n"/>
      <c r="AN3" s="214" t="n"/>
      <c r="AO3" s="214" t="n"/>
      <c r="AP3" s="214" t="n"/>
      <c r="AQ3" s="214" t="n"/>
      <c r="AR3" s="214" t="n"/>
      <c r="AS3" s="214" t="n"/>
      <c r="AT3" s="214" t="n"/>
      <c r="AU3" s="214" t="n"/>
      <c r="AV3" s="214" t="n"/>
      <c r="AW3" s="214" t="n"/>
      <c r="AX3" s="214" t="n"/>
      <c r="AY3" s="214" t="n"/>
      <c r="AZ3" s="214" t="n"/>
      <c r="BA3" s="214" t="n"/>
      <c r="BB3" s="214" t="n"/>
      <c r="BC3" s="214" t="n"/>
      <c r="BD3" s="214" t="n"/>
      <c r="BE3" s="214" t="n"/>
      <c r="BF3" s="214" t="n"/>
      <c r="BG3" s="214" t="n"/>
      <c r="BH3" s="214" t="n"/>
      <c r="BI3" s="214" t="n"/>
      <c r="BJ3" s="214" t="n"/>
      <c r="BK3" s="214" t="n"/>
      <c r="BL3" s="214" t="n"/>
      <c r="BM3" s="214" t="n"/>
      <c r="BN3" s="214" t="n"/>
      <c r="BO3" s="214" t="n"/>
      <c r="BP3" s="214" t="n"/>
      <c r="BQ3" s="214" t="n"/>
      <c r="BR3" s="214" t="n"/>
      <c r="BS3" s="214" t="n"/>
      <c r="BT3" s="214" t="n"/>
      <c r="BU3" s="214" t="n"/>
      <c r="BV3" s="214" t="n"/>
      <c r="BW3" s="214" t="n"/>
      <c r="BX3" s="214" t="n"/>
      <c r="BY3" s="214" t="n"/>
      <c r="BZ3" s="149" t="n"/>
      <c r="CA3" s="150" t="n"/>
    </row>
    <row r="4" ht="18.5" customHeight="1" s="516">
      <c r="A4" s="180" t="inlineStr">
        <is>
          <t>Project name</t>
        </is>
      </c>
      <c r="B4" s="397" t="n"/>
      <c r="G4" s="217" t="n"/>
      <c r="H4" s="217" t="n"/>
      <c r="I4" s="217" t="n"/>
      <c r="J4" s="217" t="n"/>
      <c r="K4" s="217" t="n"/>
      <c r="L4" s="217" t="n"/>
      <c r="M4" s="217" t="n"/>
      <c r="N4" s="217" t="n"/>
      <c r="O4" s="217" t="n"/>
      <c r="P4" s="217" t="n"/>
      <c r="Q4" s="217" t="n"/>
      <c r="R4" s="217" t="n"/>
      <c r="S4" s="217" t="n"/>
      <c r="T4" s="217" t="n"/>
      <c r="U4" s="217" t="n"/>
      <c r="V4" s="217" t="n"/>
      <c r="W4" s="217" t="n"/>
      <c r="Z4" s="153" t="n"/>
      <c r="AA4" s="153" t="n"/>
      <c r="AE4" s="153" t="n"/>
      <c r="AN4" s="153" t="n"/>
      <c r="AR4" s="153" t="n"/>
      <c r="AS4" s="153" t="n"/>
      <c r="AW4" s="153" t="n"/>
      <c r="BF4" s="153" t="n"/>
      <c r="BJ4" s="153" t="n"/>
      <c r="BK4" s="153" t="n"/>
      <c r="BO4" s="153" t="n"/>
      <c r="BX4" s="153" t="n"/>
    </row>
    <row r="5" ht="18.5" customHeight="1" s="516">
      <c r="A5" s="180" t="inlineStr">
        <is>
          <t>Revision</t>
        </is>
      </c>
      <c r="B5" s="397" t="n"/>
      <c r="G5" s="532">
        <f>A21</f>
        <v/>
      </c>
      <c r="H5" s="525" t="n"/>
      <c r="I5" s="525" t="n"/>
      <c r="J5" s="525" t="n"/>
      <c r="K5" s="525" t="n"/>
      <c r="L5" s="525" t="n"/>
      <c r="M5" s="525" t="n"/>
      <c r="N5" s="525" t="n"/>
      <c r="O5" s="525" t="n"/>
      <c r="P5" s="525" t="n"/>
      <c r="Q5" s="525" t="n"/>
      <c r="R5" s="525" t="n"/>
      <c r="S5" s="525" t="n"/>
      <c r="T5" s="525" t="n"/>
      <c r="U5" s="525" t="n"/>
      <c r="V5" s="525" t="n"/>
      <c r="W5" s="526" t="n"/>
      <c r="Y5" s="532">
        <f>A22</f>
        <v/>
      </c>
      <c r="Z5" s="525" t="n"/>
      <c r="AA5" s="525" t="n"/>
      <c r="AB5" s="525" t="n"/>
      <c r="AC5" s="525" t="n"/>
      <c r="AD5" s="525" t="n"/>
      <c r="AE5" s="525" t="n"/>
      <c r="AF5" s="525" t="n"/>
      <c r="AG5" s="525" t="n"/>
      <c r="AH5" s="525" t="n"/>
      <c r="AI5" s="525" t="n"/>
      <c r="AJ5" s="525" t="n"/>
      <c r="AK5" s="525" t="n"/>
      <c r="AL5" s="525" t="n"/>
      <c r="AM5" s="525" t="n"/>
      <c r="AN5" s="525" t="n"/>
      <c r="AO5" s="526" t="n"/>
      <c r="AQ5" s="532">
        <f>A23</f>
        <v/>
      </c>
      <c r="AR5" s="525" t="n"/>
      <c r="AS5" s="525" t="n"/>
      <c r="AT5" s="525" t="n"/>
      <c r="AU5" s="525" t="n"/>
      <c r="AV5" s="525" t="n"/>
      <c r="AW5" s="525" t="n"/>
      <c r="AX5" s="525" t="n"/>
      <c r="AY5" s="525" t="n"/>
      <c r="AZ5" s="525" t="n"/>
      <c r="BA5" s="525" t="n"/>
      <c r="BB5" s="525" t="n"/>
      <c r="BC5" s="525" t="n"/>
      <c r="BD5" s="525" t="n"/>
      <c r="BE5" s="525" t="n"/>
      <c r="BF5" s="525" t="n"/>
      <c r="BG5" s="526" t="n"/>
      <c r="BI5" s="532">
        <f>A24</f>
        <v/>
      </c>
      <c r="BJ5" s="525" t="n"/>
      <c r="BK5" s="525" t="n"/>
      <c r="BL5" s="525" t="n"/>
      <c r="BM5" s="525" t="n"/>
      <c r="BN5" s="525" t="n"/>
      <c r="BO5" s="525" t="n"/>
      <c r="BP5" s="525" t="n"/>
      <c r="BQ5" s="525" t="n"/>
      <c r="BR5" s="525" t="n"/>
      <c r="BS5" s="525" t="n"/>
      <c r="BT5" s="525" t="n"/>
      <c r="BU5" s="525" t="n"/>
      <c r="BV5" s="525" t="n"/>
      <c r="BW5" s="525" t="n"/>
      <c r="BX5" s="525" t="n"/>
      <c r="BY5" s="526" t="n"/>
    </row>
    <row r="6" ht="18" customHeight="1" s="516">
      <c r="G6" s="531" t="inlineStr">
        <is>
          <t>S.No</t>
        </is>
      </c>
      <c r="H6" s="530" t="inlineStr">
        <is>
          <t>Cycles / Hour</t>
        </is>
      </c>
      <c r="I6" s="522" t="n"/>
      <c r="J6" s="522" t="n"/>
      <c r="K6" s="522" t="n"/>
      <c r="L6" s="522" t="n"/>
      <c r="M6" s="522" t="n"/>
      <c r="N6" s="522" t="n"/>
      <c r="O6" s="522" t="n"/>
      <c r="P6" s="522" t="n"/>
      <c r="Q6" s="522" t="n"/>
      <c r="R6" s="522" t="n"/>
      <c r="S6" s="522" t="n"/>
      <c r="T6" s="522" t="n"/>
      <c r="U6" s="522" t="n"/>
      <c r="V6" s="523" t="n"/>
      <c r="W6" s="168">
        <f>3600/W7</f>
        <v/>
      </c>
      <c r="Y6" s="531" t="inlineStr">
        <is>
          <t>S.No</t>
        </is>
      </c>
      <c r="Z6" s="530" t="inlineStr">
        <is>
          <t>Cycles / Hour</t>
        </is>
      </c>
      <c r="AA6" s="522" t="n"/>
      <c r="AB6" s="522" t="n"/>
      <c r="AC6" s="522" t="n"/>
      <c r="AD6" s="522" t="n"/>
      <c r="AE6" s="522" t="n"/>
      <c r="AF6" s="522" t="n"/>
      <c r="AG6" s="522" t="n"/>
      <c r="AH6" s="522" t="n"/>
      <c r="AI6" s="522" t="n"/>
      <c r="AJ6" s="522" t="n"/>
      <c r="AK6" s="522" t="n"/>
      <c r="AL6" s="522" t="n"/>
      <c r="AM6" s="522" t="n"/>
      <c r="AN6" s="523" t="n"/>
      <c r="AO6" s="168">
        <f>3600/AO7</f>
        <v/>
      </c>
      <c r="AQ6" s="531" t="inlineStr">
        <is>
          <t>S.No</t>
        </is>
      </c>
      <c r="AR6" s="530" t="inlineStr">
        <is>
          <t>Cycles / Hour</t>
        </is>
      </c>
      <c r="AS6" s="522" t="n"/>
      <c r="AT6" s="522" t="n"/>
      <c r="AU6" s="522" t="n"/>
      <c r="AV6" s="522" t="n"/>
      <c r="AW6" s="522" t="n"/>
      <c r="AX6" s="522" t="n"/>
      <c r="AY6" s="522" t="n"/>
      <c r="AZ6" s="522" t="n"/>
      <c r="BA6" s="522" t="n"/>
      <c r="BB6" s="522" t="n"/>
      <c r="BC6" s="522" t="n"/>
      <c r="BD6" s="522" t="n"/>
      <c r="BE6" s="522" t="n"/>
      <c r="BF6" s="523" t="n"/>
      <c r="BG6" s="168">
        <f>3600/BG7</f>
        <v/>
      </c>
      <c r="BI6" s="531" t="inlineStr">
        <is>
          <t>S.No</t>
        </is>
      </c>
      <c r="BJ6" s="530" t="inlineStr">
        <is>
          <t>Cycles / Hour</t>
        </is>
      </c>
      <c r="BK6" s="522" t="n"/>
      <c r="BL6" s="522" t="n"/>
      <c r="BM6" s="522" t="n"/>
      <c r="BN6" s="522" t="n"/>
      <c r="BO6" s="522" t="n"/>
      <c r="BP6" s="522" t="n"/>
      <c r="BQ6" s="522" t="n"/>
      <c r="BR6" s="522" t="n"/>
      <c r="BS6" s="522" t="n"/>
      <c r="BT6" s="522" t="n"/>
      <c r="BU6" s="522" t="n"/>
      <c r="BV6" s="522" t="n"/>
      <c r="BW6" s="522" t="n"/>
      <c r="BX6" s="523" t="n"/>
      <c r="BY6" s="168">
        <f>3600/BY7</f>
        <v/>
      </c>
    </row>
    <row r="7" ht="28.25" customHeight="1" s="516">
      <c r="A7" s="35" t="inlineStr">
        <is>
          <t>Cycles/ Hr</t>
        </is>
      </c>
      <c r="B7" s="53">
        <f>SUMPRODUCT(D21:D24,E21:E24)</f>
        <v/>
      </c>
      <c r="C7" s="6" t="n"/>
      <c r="D7" s="6" t="n"/>
      <c r="E7" s="6" t="n"/>
      <c r="F7" s="151" t="n"/>
      <c r="G7" s="528" t="n"/>
      <c r="H7" s="530" t="inlineStr">
        <is>
          <t>Effective Cycle Time</t>
        </is>
      </c>
      <c r="I7" s="522" t="n"/>
      <c r="J7" s="522" t="n"/>
      <c r="K7" s="522" t="n"/>
      <c r="L7" s="522" t="n"/>
      <c r="M7" s="522" t="n"/>
      <c r="N7" s="522" t="n"/>
      <c r="O7" s="522" t="n"/>
      <c r="P7" s="522" t="n"/>
      <c r="Q7" s="522" t="n"/>
      <c r="R7" s="522" t="n"/>
      <c r="S7" s="522" t="n"/>
      <c r="T7" s="522" t="n"/>
      <c r="U7" s="522" t="n"/>
      <c r="V7" s="523" t="n"/>
      <c r="W7" s="156">
        <f>W9/W8</f>
        <v/>
      </c>
      <c r="Y7" s="528" t="n"/>
      <c r="Z7" s="530" t="inlineStr">
        <is>
          <t>Effective Cycle Time</t>
        </is>
      </c>
      <c r="AA7" s="522" t="n"/>
      <c r="AB7" s="522" t="n"/>
      <c r="AC7" s="522" t="n"/>
      <c r="AD7" s="522" t="n"/>
      <c r="AE7" s="522" t="n"/>
      <c r="AF7" s="522" t="n"/>
      <c r="AG7" s="522" t="n"/>
      <c r="AH7" s="522" t="n"/>
      <c r="AI7" s="522" t="n"/>
      <c r="AJ7" s="522" t="n"/>
      <c r="AK7" s="522" t="n"/>
      <c r="AL7" s="522" t="n"/>
      <c r="AM7" s="522" t="n"/>
      <c r="AN7" s="523" t="n"/>
      <c r="AO7" s="156">
        <f>AO9/AO8</f>
        <v/>
      </c>
      <c r="AQ7" s="528" t="n"/>
      <c r="AR7" s="530" t="inlineStr">
        <is>
          <t>Effective Cycle Time</t>
        </is>
      </c>
      <c r="AS7" s="522" t="n"/>
      <c r="AT7" s="522" t="n"/>
      <c r="AU7" s="522" t="n"/>
      <c r="AV7" s="522" t="n"/>
      <c r="AW7" s="522" t="n"/>
      <c r="AX7" s="522" t="n"/>
      <c r="AY7" s="522" t="n"/>
      <c r="AZ7" s="522" t="n"/>
      <c r="BA7" s="522" t="n"/>
      <c r="BB7" s="522" t="n"/>
      <c r="BC7" s="522" t="n"/>
      <c r="BD7" s="522" t="n"/>
      <c r="BE7" s="522" t="n"/>
      <c r="BF7" s="523" t="n"/>
      <c r="BG7" s="156">
        <f>BG9/BG8</f>
        <v/>
      </c>
      <c r="BI7" s="528" t="n"/>
      <c r="BJ7" s="530" t="inlineStr">
        <is>
          <t>Effective Cycle Time</t>
        </is>
      </c>
      <c r="BK7" s="522" t="n"/>
      <c r="BL7" s="522" t="n"/>
      <c r="BM7" s="522" t="n"/>
      <c r="BN7" s="522" t="n"/>
      <c r="BO7" s="522" t="n"/>
      <c r="BP7" s="522" t="n"/>
      <c r="BQ7" s="522" t="n"/>
      <c r="BR7" s="522" t="n"/>
      <c r="BS7" s="522" t="n"/>
      <c r="BT7" s="522" t="n"/>
      <c r="BU7" s="522" t="n"/>
      <c r="BV7" s="522" t="n"/>
      <c r="BW7" s="522" t="n"/>
      <c r="BX7" s="523" t="n"/>
      <c r="BY7" s="156">
        <f>BY9/BY8</f>
        <v/>
      </c>
    </row>
    <row r="8" ht="27.5" customHeight="1" s="516">
      <c r="A8" s="35" t="inlineStr">
        <is>
          <t>Zippy required</t>
        </is>
      </c>
      <c r="B8" s="53">
        <f>ROUNDUP(((B15/B7)*(1+B16))*(1+B17),)</f>
        <v/>
      </c>
      <c r="G8" s="528" t="n"/>
      <c r="H8" s="530" t="inlineStr">
        <is>
          <t>Equipment Utilization</t>
        </is>
      </c>
      <c r="I8" s="522" t="n"/>
      <c r="J8" s="522" t="n"/>
      <c r="K8" s="522" t="n"/>
      <c r="L8" s="522" t="n"/>
      <c r="M8" s="522" t="n"/>
      <c r="N8" s="522" t="n"/>
      <c r="O8" s="522" t="n"/>
      <c r="P8" s="522" t="n"/>
      <c r="Q8" s="522" t="n"/>
      <c r="R8" s="522" t="n"/>
      <c r="S8" s="522" t="n"/>
      <c r="T8" s="522" t="n"/>
      <c r="U8" s="522" t="n"/>
      <c r="V8" s="523" t="n"/>
      <c r="W8" s="157">
        <f>'Master List'!$G$1</f>
        <v/>
      </c>
      <c r="Y8" s="528" t="n"/>
      <c r="Z8" s="530" t="inlineStr">
        <is>
          <t>Equipment Utilization</t>
        </is>
      </c>
      <c r="AA8" s="522" t="n"/>
      <c r="AB8" s="522" t="n"/>
      <c r="AC8" s="522" t="n"/>
      <c r="AD8" s="522" t="n"/>
      <c r="AE8" s="522" t="n"/>
      <c r="AF8" s="522" t="n"/>
      <c r="AG8" s="522" t="n"/>
      <c r="AH8" s="522" t="n"/>
      <c r="AI8" s="522" t="n"/>
      <c r="AJ8" s="522" t="n"/>
      <c r="AK8" s="522" t="n"/>
      <c r="AL8" s="522" t="n"/>
      <c r="AM8" s="522" t="n"/>
      <c r="AN8" s="523" t="n"/>
      <c r="AO8" s="157">
        <f>'Master List'!$G$1</f>
        <v/>
      </c>
      <c r="AQ8" s="528" t="n"/>
      <c r="AR8" s="530" t="inlineStr">
        <is>
          <t>Equipment Utilization</t>
        </is>
      </c>
      <c r="AS8" s="522" t="n"/>
      <c r="AT8" s="522" t="n"/>
      <c r="AU8" s="522" t="n"/>
      <c r="AV8" s="522" t="n"/>
      <c r="AW8" s="522" t="n"/>
      <c r="AX8" s="522" t="n"/>
      <c r="AY8" s="522" t="n"/>
      <c r="AZ8" s="522" t="n"/>
      <c r="BA8" s="522" t="n"/>
      <c r="BB8" s="522" t="n"/>
      <c r="BC8" s="522" t="n"/>
      <c r="BD8" s="522" t="n"/>
      <c r="BE8" s="522" t="n"/>
      <c r="BF8" s="523" t="n"/>
      <c r="BG8" s="157">
        <f>'Master List'!$G$1</f>
        <v/>
      </c>
      <c r="BI8" s="528" t="n"/>
      <c r="BJ8" s="530" t="inlineStr">
        <is>
          <t>Equipment Utilization</t>
        </is>
      </c>
      <c r="BK8" s="522" t="n"/>
      <c r="BL8" s="522" t="n"/>
      <c r="BM8" s="522" t="n"/>
      <c r="BN8" s="522" t="n"/>
      <c r="BO8" s="522" t="n"/>
      <c r="BP8" s="522" t="n"/>
      <c r="BQ8" s="522" t="n"/>
      <c r="BR8" s="522" t="n"/>
      <c r="BS8" s="522" t="n"/>
      <c r="BT8" s="522" t="n"/>
      <c r="BU8" s="522" t="n"/>
      <c r="BV8" s="522" t="n"/>
      <c r="BW8" s="522" t="n"/>
      <c r="BX8" s="523" t="n"/>
      <c r="BY8" s="157">
        <f>'Master List'!$G$1</f>
        <v/>
      </c>
    </row>
    <row r="9" ht="18" customHeight="1" s="516">
      <c r="G9" s="528" t="n"/>
      <c r="H9" s="530" t="inlineStr">
        <is>
          <t>Cycle Time</t>
        </is>
      </c>
      <c r="I9" s="522" t="n"/>
      <c r="J9" s="522" t="n"/>
      <c r="K9" s="522" t="n"/>
      <c r="L9" s="522" t="n"/>
      <c r="M9" s="522" t="n"/>
      <c r="N9" s="522" t="n"/>
      <c r="O9" s="522" t="n"/>
      <c r="P9" s="522" t="n"/>
      <c r="Q9" s="522" t="n"/>
      <c r="R9" s="522" t="n"/>
      <c r="S9" s="522" t="n"/>
      <c r="T9" s="522" t="n"/>
      <c r="U9" s="522" t="n"/>
      <c r="V9" s="523" t="n"/>
      <c r="W9" s="158">
        <f>SUM(W11:W96)</f>
        <v/>
      </c>
      <c r="Y9" s="528" t="n"/>
      <c r="Z9" s="530" t="inlineStr">
        <is>
          <t>Cycle Time</t>
        </is>
      </c>
      <c r="AA9" s="522" t="n"/>
      <c r="AB9" s="522" t="n"/>
      <c r="AC9" s="522" t="n"/>
      <c r="AD9" s="522" t="n"/>
      <c r="AE9" s="522" t="n"/>
      <c r="AF9" s="522" t="n"/>
      <c r="AG9" s="522" t="n"/>
      <c r="AH9" s="522" t="n"/>
      <c r="AI9" s="522" t="n"/>
      <c r="AJ9" s="522" t="n"/>
      <c r="AK9" s="522" t="n"/>
      <c r="AL9" s="522" t="n"/>
      <c r="AM9" s="522" t="n"/>
      <c r="AN9" s="523" t="n"/>
      <c r="AO9" s="158">
        <f>SUM(AO11:AO96)</f>
        <v/>
      </c>
      <c r="AQ9" s="528" t="n"/>
      <c r="AR9" s="530" t="inlineStr">
        <is>
          <t>Cycle Time</t>
        </is>
      </c>
      <c r="AS9" s="522" t="n"/>
      <c r="AT9" s="522" t="n"/>
      <c r="AU9" s="522" t="n"/>
      <c r="AV9" s="522" t="n"/>
      <c r="AW9" s="522" t="n"/>
      <c r="AX9" s="522" t="n"/>
      <c r="AY9" s="522" t="n"/>
      <c r="AZ9" s="522" t="n"/>
      <c r="BA9" s="522" t="n"/>
      <c r="BB9" s="522" t="n"/>
      <c r="BC9" s="522" t="n"/>
      <c r="BD9" s="522" t="n"/>
      <c r="BE9" s="522" t="n"/>
      <c r="BF9" s="523" t="n"/>
      <c r="BG9" s="158">
        <f>SUM(BG11:BG96)</f>
        <v/>
      </c>
      <c r="BI9" s="528" t="n"/>
      <c r="BJ9" s="530" t="inlineStr">
        <is>
          <t>Cycle Time</t>
        </is>
      </c>
      <c r="BK9" s="522" t="n"/>
      <c r="BL9" s="522" t="n"/>
      <c r="BM9" s="522" t="n"/>
      <c r="BN9" s="522" t="n"/>
      <c r="BO9" s="522" t="n"/>
      <c r="BP9" s="522" t="n"/>
      <c r="BQ9" s="522" t="n"/>
      <c r="BR9" s="522" t="n"/>
      <c r="BS9" s="522" t="n"/>
      <c r="BT9" s="522" t="n"/>
      <c r="BU9" s="522" t="n"/>
      <c r="BV9" s="522" t="n"/>
      <c r="BW9" s="522" t="n"/>
      <c r="BX9" s="523" t="n"/>
      <c r="BY9" s="158">
        <f>SUM(BY11:BY96)</f>
        <v/>
      </c>
    </row>
    <row r="10" ht="17.75" customFormat="1" customHeight="1" s="6">
      <c r="A10" s="33" t="inlineStr">
        <is>
          <t>Zippy to barcode ratio</t>
        </is>
      </c>
      <c r="B10" s="49">
        <f>B18/B8</f>
        <v/>
      </c>
      <c r="C10" s="1" t="inlineStr">
        <is>
          <t>&lt;&lt;-If this cell becomes red then increase the number of barcodes on the layout</t>
        </is>
      </c>
      <c r="D10" s="1" t="n"/>
      <c r="E10" s="1" t="n"/>
      <c r="F10" s="147" t="n"/>
      <c r="G10" s="529" t="n"/>
      <c r="H10" s="531" t="inlineStr">
        <is>
          <t>Activity Type</t>
        </is>
      </c>
      <c r="I10" s="159" t="inlineStr">
        <is>
          <t>Steps</t>
        </is>
      </c>
      <c r="J10" s="159" t="inlineStr">
        <is>
          <t>Time to consider in absence of data (sec)</t>
        </is>
      </c>
      <c r="K10" s="159" t="inlineStr">
        <is>
          <t>Speed (m / sec)</t>
        </is>
      </c>
      <c r="L10" s="159" t="inlineStr">
        <is>
          <t>Acceleration (m / sec^2)</t>
        </is>
      </c>
      <c r="M10" s="159" t="inlineStr">
        <is>
          <t>Total Distance (m)</t>
        </is>
      </c>
      <c r="N10" s="159" t="inlineStr">
        <is>
          <t>Time to Reach Max Speed (sec)</t>
        </is>
      </c>
      <c r="O10" s="159" t="inlineStr">
        <is>
          <t>Distance in accerlaration (m)</t>
        </is>
      </c>
      <c r="P10" s="159" t="inlineStr">
        <is>
          <t>Distance in Max speed (m)</t>
        </is>
      </c>
      <c r="Q10" s="159" t="inlineStr">
        <is>
          <t>Distance in de-acceleration (m)</t>
        </is>
      </c>
      <c r="R10" s="159" t="inlineStr">
        <is>
          <t>Time in acceleration (sec)</t>
        </is>
      </c>
      <c r="S10" s="159" t="inlineStr">
        <is>
          <t>Time in full speed (sec)</t>
        </is>
      </c>
      <c r="T10" s="159" t="inlineStr">
        <is>
          <t>Time in de-acceleration (sec)</t>
        </is>
      </c>
      <c r="U10" s="159" t="inlineStr">
        <is>
          <t>Time (sec)</t>
        </is>
      </c>
      <c r="V10" s="159" t="inlineStr">
        <is>
          <t>Units</t>
        </is>
      </c>
      <c r="W10" s="159" t="inlineStr">
        <is>
          <t>Total Time</t>
        </is>
      </c>
      <c r="X10" s="154" t="n"/>
      <c r="Y10" s="529" t="n"/>
      <c r="Z10" s="531" t="inlineStr">
        <is>
          <t>Activity Type</t>
        </is>
      </c>
      <c r="AA10" s="159" t="inlineStr">
        <is>
          <t>Steps</t>
        </is>
      </c>
      <c r="AB10" s="159" t="inlineStr">
        <is>
          <t>Time to consider in absence of data (sec)</t>
        </is>
      </c>
      <c r="AC10" s="159" t="inlineStr">
        <is>
          <t>Speed (m / sec)</t>
        </is>
      </c>
      <c r="AD10" s="159" t="inlineStr">
        <is>
          <t>Acceleration (m / sec^2)</t>
        </is>
      </c>
      <c r="AE10" s="159" t="inlineStr">
        <is>
          <t>Total Distance (m)</t>
        </is>
      </c>
      <c r="AF10" s="159" t="inlineStr">
        <is>
          <t>Time to Reach Max Speed (sec)</t>
        </is>
      </c>
      <c r="AG10" s="159" t="inlineStr">
        <is>
          <t>Distance in accerlaration (m)</t>
        </is>
      </c>
      <c r="AH10" s="159" t="inlineStr">
        <is>
          <t>Distance in Max speed (m)</t>
        </is>
      </c>
      <c r="AI10" s="159" t="inlineStr">
        <is>
          <t>Distance in de-acceleration (m)</t>
        </is>
      </c>
      <c r="AJ10" s="159" t="inlineStr">
        <is>
          <t>Time in acceleration (sec)</t>
        </is>
      </c>
      <c r="AK10" s="159" t="inlineStr">
        <is>
          <t>Time in full speed (sec)</t>
        </is>
      </c>
      <c r="AL10" s="159" t="inlineStr">
        <is>
          <t>Time in de-acceleration (sec)</t>
        </is>
      </c>
      <c r="AM10" s="159" t="inlineStr">
        <is>
          <t>Time (sec)</t>
        </is>
      </c>
      <c r="AN10" s="159" t="inlineStr">
        <is>
          <t>Units</t>
        </is>
      </c>
      <c r="AO10" s="159" t="inlineStr">
        <is>
          <t>Total Time</t>
        </is>
      </c>
      <c r="AP10" s="154" t="n"/>
      <c r="AQ10" s="529" t="n"/>
      <c r="AR10" s="531" t="inlineStr">
        <is>
          <t>Activity Type</t>
        </is>
      </c>
      <c r="AS10" s="159" t="inlineStr">
        <is>
          <t>Steps</t>
        </is>
      </c>
      <c r="AT10" s="159" t="inlineStr">
        <is>
          <t>Time to consider in absence of data (sec)</t>
        </is>
      </c>
      <c r="AU10" s="159" t="inlineStr">
        <is>
          <t>Speed (m / sec)</t>
        </is>
      </c>
      <c r="AV10" s="159" t="inlineStr">
        <is>
          <t>Acceleration (m / sec^2)</t>
        </is>
      </c>
      <c r="AW10" s="159" t="inlineStr">
        <is>
          <t>Total Distance (m)</t>
        </is>
      </c>
      <c r="AX10" s="159" t="inlineStr">
        <is>
          <t>Time to Reach Max Speed (sec)</t>
        </is>
      </c>
      <c r="AY10" s="159" t="inlineStr">
        <is>
          <t>Distance in accerlaration (m)</t>
        </is>
      </c>
      <c r="AZ10" s="159" t="inlineStr">
        <is>
          <t>Distance in Max speed (m)</t>
        </is>
      </c>
      <c r="BA10" s="159" t="inlineStr">
        <is>
          <t>Distance in de-acceleration (m)</t>
        </is>
      </c>
      <c r="BB10" s="159" t="inlineStr">
        <is>
          <t>Time in acceleration (sec)</t>
        </is>
      </c>
      <c r="BC10" s="159" t="inlineStr">
        <is>
          <t>Time in full speed (sec)</t>
        </is>
      </c>
      <c r="BD10" s="159" t="inlineStr">
        <is>
          <t>Time in de-acceleration (sec)</t>
        </is>
      </c>
      <c r="BE10" s="159" t="inlineStr">
        <is>
          <t>Time (sec)</t>
        </is>
      </c>
      <c r="BF10" s="159" t="inlineStr">
        <is>
          <t>Units</t>
        </is>
      </c>
      <c r="BG10" s="159" t="inlineStr">
        <is>
          <t>Total Time</t>
        </is>
      </c>
      <c r="BH10" s="154" t="n"/>
      <c r="BI10" s="529" t="n"/>
      <c r="BJ10" s="531" t="inlineStr">
        <is>
          <t>Activity Type</t>
        </is>
      </c>
      <c r="BK10" s="159" t="inlineStr">
        <is>
          <t>Steps</t>
        </is>
      </c>
      <c r="BL10" s="159" t="inlineStr">
        <is>
          <t>Time to consider in absence of data (sec)</t>
        </is>
      </c>
      <c r="BM10" s="159" t="inlineStr">
        <is>
          <t>Speed (m / sec)</t>
        </is>
      </c>
      <c r="BN10" s="159" t="inlineStr">
        <is>
          <t>Acceleration (m / sec^2)</t>
        </is>
      </c>
      <c r="BO10" s="159" t="inlineStr">
        <is>
          <t>Total Distance (m)</t>
        </is>
      </c>
      <c r="BP10" s="159" t="inlineStr">
        <is>
          <t>Time to Reach Max Speed (sec)</t>
        </is>
      </c>
      <c r="BQ10" s="159" t="inlineStr">
        <is>
          <t>Distance in accerlaration (m)</t>
        </is>
      </c>
      <c r="BR10" s="159" t="inlineStr">
        <is>
          <t>Distance in Max speed (m)</t>
        </is>
      </c>
      <c r="BS10" s="159" t="inlineStr">
        <is>
          <t>Distance in de-acceleration (m)</t>
        </is>
      </c>
      <c r="BT10" s="159" t="inlineStr">
        <is>
          <t>Time in acceleration (sec)</t>
        </is>
      </c>
      <c r="BU10" s="159" t="inlineStr">
        <is>
          <t>Time in full speed (sec)</t>
        </is>
      </c>
      <c r="BV10" s="159" t="inlineStr">
        <is>
          <t>Time in de-acceleration (sec)</t>
        </is>
      </c>
      <c r="BW10" s="159" t="inlineStr">
        <is>
          <t>Time (sec)</t>
        </is>
      </c>
      <c r="BX10" s="159" t="inlineStr">
        <is>
          <t>Units</t>
        </is>
      </c>
      <c r="BY10" s="159" t="inlineStr">
        <is>
          <t>Total Time</t>
        </is>
      </c>
      <c r="BZ10" s="152" t="n"/>
      <c r="CA10" s="151" t="n"/>
    </row>
    <row r="11" ht="15" customHeight="1" s="516">
      <c r="G11" s="160" t="n">
        <v>1</v>
      </c>
      <c r="H11" s="161" t="inlineStr">
        <is>
          <t>Zippy 6 Running</t>
        </is>
      </c>
      <c r="I11" s="162" t="inlineStr">
        <is>
          <t>Reach induction station</t>
        </is>
      </c>
      <c r="J11" s="163">
        <f>IFERROR(VLOOKUP(H11,'Master List'!$A:$D,2,0),0)</f>
        <v/>
      </c>
      <c r="K11" s="163">
        <f>IFERROR(VLOOKUP(H11,'Master List'!$A:$D,3,0),0)</f>
        <v/>
      </c>
      <c r="L11" s="163">
        <f>IFERROR(VLOOKUP(H11,'Master List'!$A:$D,4,0),0)</f>
        <v/>
      </c>
      <c r="M11" s="163">
        <f>$B$32</f>
        <v/>
      </c>
      <c r="N11" s="163">
        <f>IFERROR(K11/L11,0)</f>
        <v/>
      </c>
      <c r="O11" s="163">
        <f>IFERROR(IF(M11&lt;((1/2*L11*N11^2)*2),1/2*L11*SQRT((M11/2)*2/L11)^2,1/2*L11*N11^2),0)</f>
        <v/>
      </c>
      <c r="P11" s="163">
        <f>IFERROR(IF(M11-O11-Q11&lt;=0,0,M11-O11-Q11),0)</f>
        <v/>
      </c>
      <c r="Q11" s="163">
        <f>O11</f>
        <v/>
      </c>
      <c r="R11" s="163">
        <f>IFERROR(IF(M11&lt;((1/2*L11*N11^2)*2),SQRT((M11/2)*2/L11),N11),0)</f>
        <v/>
      </c>
      <c r="S11" s="163">
        <f>IFERROR(P11/K11,0)</f>
        <v/>
      </c>
      <c r="T11" s="163">
        <f>R11</f>
        <v/>
      </c>
      <c r="U11" s="163">
        <f>IF(J11&gt;0,J11,SUM(R11:T11))</f>
        <v/>
      </c>
      <c r="V11" s="163" t="n">
        <v>1</v>
      </c>
      <c r="W11" s="163">
        <f>U11*V11</f>
        <v/>
      </c>
      <c r="Y11" s="160" t="n">
        <v>1</v>
      </c>
      <c r="Z11" s="161" t="inlineStr">
        <is>
          <t>Zippy 6 Running</t>
        </is>
      </c>
      <c r="AA11" s="162" t="n"/>
      <c r="AB11" s="163">
        <f>IFERROR(VLOOKUP(Z11,'Master List'!$A:$D,2,0),0)</f>
        <v/>
      </c>
      <c r="AC11" s="163">
        <f>IFERROR(VLOOKUP(Z11,'Master List'!$A:$D,3,0),0)</f>
        <v/>
      </c>
      <c r="AD11" s="163">
        <f>IFERROR(VLOOKUP(Z11,'Master List'!$A:$D,4,0),0)</f>
        <v/>
      </c>
      <c r="AE11" s="163">
        <f>$B$32</f>
        <v/>
      </c>
      <c r="AF11" s="163">
        <f>IFERROR(AC11/AD11,0)</f>
        <v/>
      </c>
      <c r="AG11" s="163">
        <f>IFERROR(IF(AE11&lt;((1/2*AD11*AF11^2)*2),1/2*AD11*SQRT((AE11/2)*2/AD11)^2,1/2*AD11*AF11^2),0)</f>
        <v/>
      </c>
      <c r="AH11" s="163">
        <f>IFERROR(IF(AE11-AG11-AI11&lt;=0,0,AE11-AG11-AI11),0)</f>
        <v/>
      </c>
      <c r="AI11" s="163">
        <f>AG11</f>
        <v/>
      </c>
      <c r="AJ11" s="163">
        <f>IFERROR(IF(AE11&lt;((1/2*AD11*AF11^2)*2),SQRT((AE11/2)*2/AD11),AF11),0)</f>
        <v/>
      </c>
      <c r="AK11" s="163">
        <f>IFERROR(AH11/AC11,0)</f>
        <v/>
      </c>
      <c r="AL11" s="163">
        <f>AJ11</f>
        <v/>
      </c>
      <c r="AM11" s="163">
        <f>IF(AB11&gt;0,AB11,SUM(AJ11:AL11))</f>
        <v/>
      </c>
      <c r="AN11" s="163" t="n">
        <v>1</v>
      </c>
      <c r="AO11" s="163">
        <f>AM11*AN11</f>
        <v/>
      </c>
      <c r="AQ11" s="160" t="n">
        <v>1</v>
      </c>
      <c r="AR11" s="161" t="inlineStr">
        <is>
          <t>Zippy 6 Running</t>
        </is>
      </c>
      <c r="AS11" s="162" t="n"/>
      <c r="AT11" s="163">
        <f>IFERROR(VLOOKUP(AR11,'Master List'!$A:$D,2,0),0)</f>
        <v/>
      </c>
      <c r="AU11" s="163">
        <f>IFERROR(VLOOKUP(AR11,'Master List'!$A:$D,3,0),0)</f>
        <v/>
      </c>
      <c r="AV11" s="163">
        <f>IFERROR(VLOOKUP(AR11,'Master List'!$A:$D,4,0),0)</f>
        <v/>
      </c>
      <c r="AW11" s="163">
        <f>$B$32</f>
        <v/>
      </c>
      <c r="AX11" s="163">
        <f>IFERROR(AU11/AV11,0)</f>
        <v/>
      </c>
      <c r="AY11" s="163">
        <f>IFERROR(IF(AW11&lt;((1/2*AV11*AX11^2)*2),1/2*AV11*SQRT((AW11/2)*2/AV11)^2,1/2*AV11*AX11^2),0)</f>
        <v/>
      </c>
      <c r="AZ11" s="163">
        <f>IFERROR(IF(AW11-AY11-BA11&lt;=0,0,AW11-AY11-BA11),0)</f>
        <v/>
      </c>
      <c r="BA11" s="163">
        <f>AY11</f>
        <v/>
      </c>
      <c r="BB11" s="163">
        <f>IFERROR(IF(AW11&lt;((1/2*AV11*AX11^2)*2),SQRT((AW11/2)*2/AV11),AX11),0)</f>
        <v/>
      </c>
      <c r="BC11" s="163">
        <f>IFERROR(AZ11/AU11,0)</f>
        <v/>
      </c>
      <c r="BD11" s="163">
        <f>BB11</f>
        <v/>
      </c>
      <c r="BE11" s="163">
        <f>IF(AT11&gt;0,AT11,SUM(BB11:BD11))</f>
        <v/>
      </c>
      <c r="BF11" s="163" t="n">
        <v>1</v>
      </c>
      <c r="BG11" s="163">
        <f>BE11*BF11</f>
        <v/>
      </c>
      <c r="BI11" s="160" t="n">
        <v>1</v>
      </c>
      <c r="BJ11" s="161" t="inlineStr">
        <is>
          <t>Zippy 6 Running</t>
        </is>
      </c>
      <c r="BK11" s="162" t="n"/>
      <c r="BL11" s="163">
        <f>IFERROR(VLOOKUP(BJ11,'Master List'!$A:$D,2,0),0)</f>
        <v/>
      </c>
      <c r="BM11" s="163">
        <f>IFERROR(VLOOKUP(BJ11,'Master List'!$A:$D,3,0),0)</f>
        <v/>
      </c>
      <c r="BN11" s="163">
        <f>IFERROR(VLOOKUP(BJ11,'Master List'!$A:$D,4,0),0)</f>
        <v/>
      </c>
      <c r="BO11" s="163">
        <f>$B$32</f>
        <v/>
      </c>
      <c r="BP11" s="163">
        <f>IFERROR(BM11/BN11,0)</f>
        <v/>
      </c>
      <c r="BQ11" s="163">
        <f>IFERROR(IF(BO11&lt;((1/2*BN11*BP11^2)*2),1/2*BN11*SQRT((BO11/2)*2/BN11)^2,1/2*BN11*BP11^2),0)</f>
        <v/>
      </c>
      <c r="BR11" s="163">
        <f>IFERROR(IF(BO11-BQ11-BS11&lt;=0,0,BO11-BQ11-BS11),0)</f>
        <v/>
      </c>
      <c r="BS11" s="163">
        <f>BQ11</f>
        <v/>
      </c>
      <c r="BT11" s="163">
        <f>IFERROR(IF(BO11&lt;((1/2*BN11*BP11^2)*2),SQRT((BO11/2)*2/BN11),BP11),0)</f>
        <v/>
      </c>
      <c r="BU11" s="163">
        <f>IFERROR(BR11/BM11,0)</f>
        <v/>
      </c>
      <c r="BV11" s="163">
        <f>BT11</f>
        <v/>
      </c>
      <c r="BW11" s="163">
        <f>IF(BL11&gt;0,BL11,SUM(BT11:BV11))</f>
        <v/>
      </c>
      <c r="BX11" s="163" t="n">
        <v>1</v>
      </c>
      <c r="BY11" s="163">
        <f>BW11*BX11</f>
        <v/>
      </c>
    </row>
    <row r="12" ht="45" customHeight="1" s="516">
      <c r="A12" s="33" t="inlineStr">
        <is>
          <t>Count of Max Barcodes in L in sorting area</t>
        </is>
      </c>
      <c r="B12" s="26" t="n">
        <v>150</v>
      </c>
      <c r="C12" s="211" t="inlineStr">
        <is>
          <t>Number of barcodes along the side of induction stations</t>
        </is>
      </c>
      <c r="D12" s="1">
        <f>B12*$B$32</f>
        <v/>
      </c>
      <c r="E12" s="1" t="inlineStr">
        <is>
          <t>Meters</t>
        </is>
      </c>
      <c r="G12" s="160">
        <f>G11+1</f>
        <v/>
      </c>
      <c r="H12" s="161" t="inlineStr">
        <is>
          <t>Zippy 6 90 degree Turn</t>
        </is>
      </c>
      <c r="I12" s="162" t="inlineStr">
        <is>
          <t>Turn and align to get inducted</t>
        </is>
      </c>
      <c r="J12" s="163">
        <f>IFERROR(VLOOKUP(H12,'Master List'!$A:$D,2,0),0)</f>
        <v/>
      </c>
      <c r="K12" s="163">
        <f>IFERROR(VLOOKUP(H12,'Master List'!$A:$D,3,0),0)</f>
        <v/>
      </c>
      <c r="L12" s="163">
        <f>IFERROR(VLOOKUP(H12,'Master List'!$A:$D,4,0),0)</f>
        <v/>
      </c>
      <c r="M12" s="163" t="n"/>
      <c r="N12" s="163">
        <f>IFERROR(K12/L12,0)</f>
        <v/>
      </c>
      <c r="O12" s="163">
        <f>IFERROR(IF(M12&lt;((1/2*L12*N12^2)*2),1/2*L12*SQRT((M12/2)*2/L12)^2,1/2*L12*N12^2),0)</f>
        <v/>
      </c>
      <c r="P12" s="163">
        <f>IFERROR(IF(M12-O12-Q12&lt;=0,0,M12-O12-Q12),0)</f>
        <v/>
      </c>
      <c r="Q12" s="163">
        <f>O12</f>
        <v/>
      </c>
      <c r="R12" s="163">
        <f>IFERROR(IF(M12&lt;((1/2*L12*N12^2)*2),SQRT((M12/2)*2/L12),N12),0)</f>
        <v/>
      </c>
      <c r="S12" s="163">
        <f>IFERROR(P12/K12,0)</f>
        <v/>
      </c>
      <c r="T12" s="163">
        <f>R12</f>
        <v/>
      </c>
      <c r="U12" s="163">
        <f>IF(J12&gt;0,J12,SUM(R12:T12))</f>
        <v/>
      </c>
      <c r="V12" s="163" t="n">
        <v>1</v>
      </c>
      <c r="W12" s="163">
        <f>U12*V12</f>
        <v/>
      </c>
      <c r="Y12" s="160">
        <f>Y11+1</f>
        <v/>
      </c>
      <c r="Z12" s="161" t="inlineStr">
        <is>
          <t>Zippy 6 90 degree Turn</t>
        </is>
      </c>
      <c r="AA12" s="162" t="n"/>
      <c r="AB12" s="163">
        <f>IFERROR(VLOOKUP(Z12,'Master List'!$A:$D,2,0),0)</f>
        <v/>
      </c>
      <c r="AC12" s="163">
        <f>IFERROR(VLOOKUP(Z12,'Master List'!$A:$D,3,0),0)</f>
        <v/>
      </c>
      <c r="AD12" s="163">
        <f>IFERROR(VLOOKUP(Z12,'Master List'!$A:$D,4,0),0)</f>
        <v/>
      </c>
      <c r="AE12" s="163" t="n"/>
      <c r="AF12" s="163">
        <f>IFERROR(AC12/AD12,0)</f>
        <v/>
      </c>
      <c r="AG12" s="163">
        <f>IFERROR(IF(AE12&lt;((1/2*AD12*AF12^2)*2),1/2*AD12*SQRT((AE12/2)*2/AD12)^2,1/2*AD12*AF12^2),0)</f>
        <v/>
      </c>
      <c r="AH12" s="163">
        <f>IFERROR(IF(AE12-AG12-AI12&lt;=0,0,AE12-AG12-AI12),0)</f>
        <v/>
      </c>
      <c r="AI12" s="163">
        <f>AG12</f>
        <v/>
      </c>
      <c r="AJ12" s="163">
        <f>IFERROR(IF(AE12&lt;((1/2*AD12*AF12^2)*2),SQRT((AE12/2)*2/AD12),AF12),0)</f>
        <v/>
      </c>
      <c r="AK12" s="163">
        <f>IFERROR(AH12/AC12,0)</f>
        <v/>
      </c>
      <c r="AL12" s="163">
        <f>AJ12</f>
        <v/>
      </c>
      <c r="AM12" s="163">
        <f>IF(AB12&gt;0,AB12,SUM(AJ12:AL12))</f>
        <v/>
      </c>
      <c r="AN12" s="163" t="n">
        <v>1</v>
      </c>
      <c r="AO12" s="163">
        <f>AM12*AN12</f>
        <v/>
      </c>
      <c r="AQ12" s="160">
        <f>AQ11+1</f>
        <v/>
      </c>
      <c r="AR12" s="161" t="inlineStr">
        <is>
          <t>Zippy 6 90 degree Turn</t>
        </is>
      </c>
      <c r="AS12" s="162" t="n"/>
      <c r="AT12" s="163">
        <f>IFERROR(VLOOKUP(AR12,'Master List'!$A:$D,2,0),0)</f>
        <v/>
      </c>
      <c r="AU12" s="163">
        <f>IFERROR(VLOOKUP(AR12,'Master List'!$A:$D,3,0),0)</f>
        <v/>
      </c>
      <c r="AV12" s="163">
        <f>IFERROR(VLOOKUP(AR12,'Master List'!$A:$D,4,0),0)</f>
        <v/>
      </c>
      <c r="AW12" s="163" t="n"/>
      <c r="AX12" s="163">
        <f>IFERROR(AU12/AV12,0)</f>
        <v/>
      </c>
      <c r="AY12" s="163">
        <f>IFERROR(IF(AW12&lt;((1/2*AV12*AX12^2)*2),1/2*AV12*SQRT((AW12/2)*2/AV12)^2,1/2*AV12*AX12^2),0)</f>
        <v/>
      </c>
      <c r="AZ12" s="163">
        <f>IFERROR(IF(AW12-AY12-BA12&lt;=0,0,AW12-AY12-BA12),0)</f>
        <v/>
      </c>
      <c r="BA12" s="163">
        <f>AY12</f>
        <v/>
      </c>
      <c r="BB12" s="163">
        <f>IFERROR(IF(AW12&lt;((1/2*AV12*AX12^2)*2),SQRT((AW12/2)*2/AV12),AX12),0)</f>
        <v/>
      </c>
      <c r="BC12" s="163">
        <f>IFERROR(AZ12/AU12,0)</f>
        <v/>
      </c>
      <c r="BD12" s="163">
        <f>BB12</f>
        <v/>
      </c>
      <c r="BE12" s="163">
        <f>IF(AT12&gt;0,AT12,SUM(BB12:BD12))</f>
        <v/>
      </c>
      <c r="BF12" s="163" t="n">
        <v>1</v>
      </c>
      <c r="BG12" s="163">
        <f>BE12*BF12</f>
        <v/>
      </c>
      <c r="BI12" s="160">
        <f>BI11+1</f>
        <v/>
      </c>
      <c r="BJ12" s="161" t="inlineStr">
        <is>
          <t>Zippy 6 90 degree Turn</t>
        </is>
      </c>
      <c r="BK12" s="162" t="n"/>
      <c r="BL12" s="163">
        <f>IFERROR(VLOOKUP(BJ12,'Master List'!$A:$D,2,0),0)</f>
        <v/>
      </c>
      <c r="BM12" s="163">
        <f>IFERROR(VLOOKUP(BJ12,'Master List'!$A:$D,3,0),0)</f>
        <v/>
      </c>
      <c r="BN12" s="163">
        <f>IFERROR(VLOOKUP(BJ12,'Master List'!$A:$D,4,0),0)</f>
        <v/>
      </c>
      <c r="BO12" s="163" t="n"/>
      <c r="BP12" s="163">
        <f>IFERROR(BM12/BN12,0)</f>
        <v/>
      </c>
      <c r="BQ12" s="163">
        <f>IFERROR(IF(BO12&lt;((1/2*BN12*BP12^2)*2),1/2*BN12*SQRT((BO12/2)*2/BN12)^2,1/2*BN12*BP12^2),0)</f>
        <v/>
      </c>
      <c r="BR12" s="163">
        <f>IFERROR(IF(BO12-BQ12-BS12&lt;=0,0,BO12-BQ12-BS12),0)</f>
        <v/>
      </c>
      <c r="BS12" s="163">
        <f>BQ12</f>
        <v/>
      </c>
      <c r="BT12" s="163">
        <f>IFERROR(IF(BO12&lt;((1/2*BN12*BP12^2)*2),SQRT((BO12/2)*2/BN12),BP12),0)</f>
        <v/>
      </c>
      <c r="BU12" s="163">
        <f>IFERROR(BR12/BM12,0)</f>
        <v/>
      </c>
      <c r="BV12" s="163">
        <f>BT12</f>
        <v/>
      </c>
      <c r="BW12" s="163">
        <f>IF(BL12&gt;0,BL12,SUM(BT12:BV12))</f>
        <v/>
      </c>
      <c r="BX12" s="163" t="n">
        <v>1</v>
      </c>
      <c r="BY12" s="163">
        <f>BW12*BX12</f>
        <v/>
      </c>
    </row>
    <row r="13" ht="45" customHeight="1" s="516">
      <c r="A13" s="33" t="inlineStr">
        <is>
          <t>Count of Max Barcodes in W in sorting area</t>
        </is>
      </c>
      <c r="B13" s="26" t="n">
        <v>200</v>
      </c>
      <c r="C13" s="211" t="inlineStr">
        <is>
          <t>Number of barcodes perpendicular to of induction stations</t>
        </is>
      </c>
      <c r="D13" s="1">
        <f>B13*$B$32</f>
        <v/>
      </c>
      <c r="E13" s="1" t="inlineStr">
        <is>
          <t>Meters</t>
        </is>
      </c>
      <c r="G13" s="160">
        <f>G12+1</f>
        <v/>
      </c>
      <c r="H13" s="161" t="inlineStr">
        <is>
          <t>Zippy 6 Running</t>
        </is>
      </c>
      <c r="I13" s="162" t="inlineStr">
        <is>
          <t>Distance travelled in X direction</t>
        </is>
      </c>
      <c r="J13" s="163">
        <f>IFERROR(VLOOKUP(H13,'Master List'!$A:$D,2,0),0)</f>
        <v/>
      </c>
      <c r="K13" s="163">
        <f>IFERROR(VLOOKUP(H13,'Master List'!$A:$D,3,0),0)</f>
        <v/>
      </c>
      <c r="L13" s="163">
        <f>IFERROR(VLOOKUP(H13,'Master List'!$A:$D,4,0),0)</f>
        <v/>
      </c>
      <c r="M13" s="163">
        <f>$C$21</f>
        <v/>
      </c>
      <c r="N13" s="163">
        <f>IFERROR(K13/L13,0)</f>
        <v/>
      </c>
      <c r="O13" s="163">
        <f>IFERROR(IF(M13&lt;((1/2*L13*N13^2)*2),1/2*L13*SQRT((M13/2)*2/L13)^2,1/2*L13*N13^2),0)</f>
        <v/>
      </c>
      <c r="P13" s="163">
        <f>IFERROR(IF(M13-O13-Q13&lt;=0,0,M13-O13-Q13),0)</f>
        <v/>
      </c>
      <c r="Q13" s="163">
        <f>O13</f>
        <v/>
      </c>
      <c r="R13" s="163">
        <f>IFERROR(IF(M13&lt;((1/2*L13*N13^2)*2),SQRT((M13/2)*2/L13),N13),0)</f>
        <v/>
      </c>
      <c r="S13" s="163">
        <f>IFERROR(P13/K13,0)</f>
        <v/>
      </c>
      <c r="T13" s="163">
        <f>R13</f>
        <v/>
      </c>
      <c r="U13" s="163">
        <f>IF(J13&gt;0,J13,SUM(R13:T13))</f>
        <v/>
      </c>
      <c r="V13" s="163" t="n">
        <v>1</v>
      </c>
      <c r="W13" s="163">
        <f>U13*V13</f>
        <v/>
      </c>
      <c r="Y13" s="160">
        <f>Y12+1</f>
        <v/>
      </c>
      <c r="Z13" s="161" t="inlineStr">
        <is>
          <t>Zippy 6 Running</t>
        </is>
      </c>
      <c r="AA13" s="162" t="n"/>
      <c r="AB13" s="163">
        <f>IFERROR(VLOOKUP(Z13,'Master List'!$A:$D,2,0),0)</f>
        <v/>
      </c>
      <c r="AC13" s="163">
        <f>IFERROR(VLOOKUP(Z13,'Master List'!$A:$D,3,0),0)</f>
        <v/>
      </c>
      <c r="AD13" s="163">
        <f>IFERROR(VLOOKUP(Z13,'Master List'!$A:$D,4,0),0)</f>
        <v/>
      </c>
      <c r="AE13" s="163">
        <f>$C$22</f>
        <v/>
      </c>
      <c r="AF13" s="163">
        <f>IFERROR(AC13/AD13,0)</f>
        <v/>
      </c>
      <c r="AG13" s="163">
        <f>IFERROR(IF(AE13&lt;((1/2*AD13*AF13^2)*2),1/2*AD13*SQRT((AE13/2)*2/AD13)^2,1/2*AD13*AF13^2),0)</f>
        <v/>
      </c>
      <c r="AH13" s="163">
        <f>IFERROR(IF(AE13-AG13-AI13&lt;=0,0,AE13-AG13-AI13),0)</f>
        <v/>
      </c>
      <c r="AI13" s="163">
        <f>AG13</f>
        <v/>
      </c>
      <c r="AJ13" s="163">
        <f>IFERROR(IF(AE13&lt;((1/2*AD13*AF13^2)*2),SQRT((AE13/2)*2/AD13),AF13),0)</f>
        <v/>
      </c>
      <c r="AK13" s="163">
        <f>IFERROR(AH13/AC13,0)</f>
        <v/>
      </c>
      <c r="AL13" s="163">
        <f>AJ13</f>
        <v/>
      </c>
      <c r="AM13" s="163">
        <f>IF(AB13&gt;0,AB13,SUM(AJ13:AL13))</f>
        <v/>
      </c>
      <c r="AN13" s="163" t="n">
        <v>1</v>
      </c>
      <c r="AO13" s="163">
        <f>AM13*AN13</f>
        <v/>
      </c>
      <c r="AQ13" s="160">
        <f>AQ12+1</f>
        <v/>
      </c>
      <c r="AR13" s="161" t="inlineStr">
        <is>
          <t>Zippy 6 Running</t>
        </is>
      </c>
      <c r="AS13" s="162" t="n"/>
      <c r="AT13" s="163">
        <f>IFERROR(VLOOKUP(AR13,'Master List'!$A:$D,2,0),0)</f>
        <v/>
      </c>
      <c r="AU13" s="163">
        <f>IFERROR(VLOOKUP(AR13,'Master List'!$A:$D,3,0),0)</f>
        <v/>
      </c>
      <c r="AV13" s="163">
        <f>IFERROR(VLOOKUP(AR13,'Master List'!$A:$D,4,0),0)</f>
        <v/>
      </c>
      <c r="AW13" s="163">
        <f>$C$23</f>
        <v/>
      </c>
      <c r="AX13" s="163">
        <f>IFERROR(AU13/AV13,0)</f>
        <v/>
      </c>
      <c r="AY13" s="163">
        <f>IFERROR(IF(AW13&lt;((1/2*AV13*AX13^2)*2),1/2*AV13*SQRT((AW13/2)*2/AV13)^2,1/2*AV13*AX13^2),0)</f>
        <v/>
      </c>
      <c r="AZ13" s="163">
        <f>IFERROR(IF(AW13-AY13-BA13&lt;=0,0,AW13-AY13-BA13),0)</f>
        <v/>
      </c>
      <c r="BA13" s="163">
        <f>AY13</f>
        <v/>
      </c>
      <c r="BB13" s="163">
        <f>IFERROR(IF(AW13&lt;((1/2*AV13*AX13^2)*2),SQRT((AW13/2)*2/AV13),AX13),0)</f>
        <v/>
      </c>
      <c r="BC13" s="163">
        <f>IFERROR(AZ13/AU13,0)</f>
        <v/>
      </c>
      <c r="BD13" s="163">
        <f>BB13</f>
        <v/>
      </c>
      <c r="BE13" s="163">
        <f>IF(AT13&gt;0,AT13,SUM(BB13:BD13))</f>
        <v/>
      </c>
      <c r="BF13" s="163" t="n">
        <v>1</v>
      </c>
      <c r="BG13" s="163">
        <f>BE13*BF13</f>
        <v/>
      </c>
      <c r="BI13" s="160">
        <f>BI12+1</f>
        <v/>
      </c>
      <c r="BJ13" s="161" t="inlineStr">
        <is>
          <t>Zippy 6 Running</t>
        </is>
      </c>
      <c r="BK13" s="162" t="n"/>
      <c r="BL13" s="163">
        <f>IFERROR(VLOOKUP(BJ13,'Master List'!$A:$D,2,0),0)</f>
        <v/>
      </c>
      <c r="BM13" s="163">
        <f>IFERROR(VLOOKUP(BJ13,'Master List'!$A:$D,3,0),0)</f>
        <v/>
      </c>
      <c r="BN13" s="163">
        <f>IFERROR(VLOOKUP(BJ13,'Master List'!$A:$D,4,0),0)</f>
        <v/>
      </c>
      <c r="BO13" s="163">
        <f>$C$24</f>
        <v/>
      </c>
      <c r="BP13" s="163">
        <f>IFERROR(BM13/BN13,0)</f>
        <v/>
      </c>
      <c r="BQ13" s="163">
        <f>IFERROR(IF(BO13&lt;((1/2*BN13*BP13^2)*2),1/2*BN13*SQRT((BO13/2)*2/BN13)^2,1/2*BN13*BP13^2),0)</f>
        <v/>
      </c>
      <c r="BR13" s="163">
        <f>IFERROR(IF(BO13-BQ13-BS13&lt;=0,0,BO13-BQ13-BS13),0)</f>
        <v/>
      </c>
      <c r="BS13" s="163">
        <f>BQ13</f>
        <v/>
      </c>
      <c r="BT13" s="163">
        <f>IFERROR(IF(BO13&lt;((1/2*BN13*BP13^2)*2),SQRT((BO13/2)*2/BN13),BP13),0)</f>
        <v/>
      </c>
      <c r="BU13" s="163">
        <f>IFERROR(BR13/BM13,0)</f>
        <v/>
      </c>
      <c r="BV13" s="163">
        <f>BT13</f>
        <v/>
      </c>
      <c r="BW13" s="163">
        <f>IF(BL13&gt;0,BL13,SUM(BT13:BV13))</f>
        <v/>
      </c>
      <c r="BX13" s="163" t="n">
        <v>1</v>
      </c>
      <c r="BY13" s="163">
        <f>BW13*BX13</f>
        <v/>
      </c>
    </row>
    <row r="14" ht="30" customHeight="1" s="516">
      <c r="A14" s="178" t="inlineStr">
        <is>
          <t>Distance between induction station and first sort point in M</t>
        </is>
      </c>
      <c r="B14" s="48" t="n">
        <v>6</v>
      </c>
      <c r="C14" s="33" t="n"/>
      <c r="G14" s="160">
        <f>G13+1</f>
        <v/>
      </c>
      <c r="H14" s="161" t="inlineStr">
        <is>
          <t>Zippy 6 90 degree Turn</t>
        </is>
      </c>
      <c r="I14" s="162" t="inlineStr">
        <is>
          <t>Turn to start travelling in Y direction</t>
        </is>
      </c>
      <c r="J14" s="163">
        <f>IFERROR(VLOOKUP(H14,'Master List'!$A:$D,2,0),0)</f>
        <v/>
      </c>
      <c r="K14" s="163">
        <f>IFERROR(VLOOKUP(H14,'Master List'!$A:$D,3,0),0)</f>
        <v/>
      </c>
      <c r="L14" s="163">
        <f>IFERROR(VLOOKUP(H14,'Master List'!$A:$D,4,0),0)</f>
        <v/>
      </c>
      <c r="M14" s="163" t="n"/>
      <c r="N14" s="163">
        <f>IFERROR(K14/L14,0)</f>
        <v/>
      </c>
      <c r="O14" s="163">
        <f>IFERROR(IF(M14&lt;((1/2*L14*N14^2)*2),1/2*L14*SQRT((M14/2)*2/L14)^2,1/2*L14*N14^2),0)</f>
        <v/>
      </c>
      <c r="P14" s="163">
        <f>IFERROR(IF(M14-O14-Q14&lt;=0,0,M14-O14-Q14),0)</f>
        <v/>
      </c>
      <c r="Q14" s="163">
        <f>O14</f>
        <v/>
      </c>
      <c r="R14" s="163">
        <f>IFERROR(IF(M14&lt;((1/2*L14*N14^2)*2),SQRT((M14/2)*2/L14),N14),0)</f>
        <v/>
      </c>
      <c r="S14" s="163">
        <f>IFERROR(P14/K14,0)</f>
        <v/>
      </c>
      <c r="T14" s="163">
        <f>R14</f>
        <v/>
      </c>
      <c r="U14" s="163">
        <f>IF(J14&gt;0,J14,SUM(R14:T14))</f>
        <v/>
      </c>
      <c r="V14" s="163" t="n">
        <v>1</v>
      </c>
      <c r="W14" s="163">
        <f>U14*V14</f>
        <v/>
      </c>
      <c r="Y14" s="160">
        <f>Y13+1</f>
        <v/>
      </c>
      <c r="Z14" s="161" t="inlineStr">
        <is>
          <t>Zippy 6 90 degree Turn</t>
        </is>
      </c>
      <c r="AA14" s="162" t="n"/>
      <c r="AB14" s="163">
        <f>IFERROR(VLOOKUP(Z14,'Master List'!$A:$D,2,0),0)</f>
        <v/>
      </c>
      <c r="AC14" s="163">
        <f>IFERROR(VLOOKUP(Z14,'Master List'!$A:$D,3,0),0)</f>
        <v/>
      </c>
      <c r="AD14" s="163">
        <f>IFERROR(VLOOKUP(Z14,'Master List'!$A:$D,4,0),0)</f>
        <v/>
      </c>
      <c r="AE14" s="163" t="n"/>
      <c r="AF14" s="163">
        <f>IFERROR(AC14/AD14,0)</f>
        <v/>
      </c>
      <c r="AG14" s="163">
        <f>IFERROR(IF(AE14&lt;((1/2*AD14*AF14^2)*2),1/2*AD14*SQRT((AE14/2)*2/AD14)^2,1/2*AD14*AF14^2),0)</f>
        <v/>
      </c>
      <c r="AH14" s="163">
        <f>IFERROR(IF(AE14-AG14-AI14&lt;=0,0,AE14-AG14-AI14),0)</f>
        <v/>
      </c>
      <c r="AI14" s="163">
        <f>AG14</f>
        <v/>
      </c>
      <c r="AJ14" s="163">
        <f>IFERROR(IF(AE14&lt;((1/2*AD14*AF14^2)*2),SQRT((AE14/2)*2/AD14),AF14),0)</f>
        <v/>
      </c>
      <c r="AK14" s="163">
        <f>IFERROR(AH14/AC14,0)</f>
        <v/>
      </c>
      <c r="AL14" s="163">
        <f>AJ14</f>
        <v/>
      </c>
      <c r="AM14" s="163">
        <f>IF(AB14&gt;0,AB14,SUM(AJ14:AL14))</f>
        <v/>
      </c>
      <c r="AN14" s="163" t="n">
        <v>1</v>
      </c>
      <c r="AO14" s="163">
        <f>AM14*AN14</f>
        <v/>
      </c>
      <c r="AQ14" s="160">
        <f>AQ13+1</f>
        <v/>
      </c>
      <c r="AR14" s="161" t="inlineStr">
        <is>
          <t>Zippy 6 90 degree Turn</t>
        </is>
      </c>
      <c r="AS14" s="162" t="n"/>
      <c r="AT14" s="163">
        <f>IFERROR(VLOOKUP(AR14,'Master List'!$A:$D,2,0),0)</f>
        <v/>
      </c>
      <c r="AU14" s="163">
        <f>IFERROR(VLOOKUP(AR14,'Master List'!$A:$D,3,0),0)</f>
        <v/>
      </c>
      <c r="AV14" s="163">
        <f>IFERROR(VLOOKUP(AR14,'Master List'!$A:$D,4,0),0)</f>
        <v/>
      </c>
      <c r="AW14" s="163" t="n"/>
      <c r="AX14" s="163">
        <f>IFERROR(AU14/AV14,0)</f>
        <v/>
      </c>
      <c r="AY14" s="163">
        <f>IFERROR(IF(AW14&lt;((1/2*AV14*AX14^2)*2),1/2*AV14*SQRT((AW14/2)*2/AV14)^2,1/2*AV14*AX14^2),0)</f>
        <v/>
      </c>
      <c r="AZ14" s="163">
        <f>IFERROR(IF(AW14-AY14-BA14&lt;=0,0,AW14-AY14-BA14),0)</f>
        <v/>
      </c>
      <c r="BA14" s="163">
        <f>AY14</f>
        <v/>
      </c>
      <c r="BB14" s="163">
        <f>IFERROR(IF(AW14&lt;((1/2*AV14*AX14^2)*2),SQRT((AW14/2)*2/AV14),AX14),0)</f>
        <v/>
      </c>
      <c r="BC14" s="163">
        <f>IFERROR(AZ14/AU14,0)</f>
        <v/>
      </c>
      <c r="BD14" s="163">
        <f>BB14</f>
        <v/>
      </c>
      <c r="BE14" s="163">
        <f>IF(AT14&gt;0,AT14,SUM(BB14:BD14))</f>
        <v/>
      </c>
      <c r="BF14" s="163" t="n">
        <v>1</v>
      </c>
      <c r="BG14" s="163">
        <f>BE14*BF14</f>
        <v/>
      </c>
      <c r="BI14" s="160">
        <f>BI13+1</f>
        <v/>
      </c>
      <c r="BJ14" s="161" t="inlineStr">
        <is>
          <t>Zippy 6 90 degree Turn</t>
        </is>
      </c>
      <c r="BK14" s="162" t="n"/>
      <c r="BL14" s="163">
        <f>IFERROR(VLOOKUP(BJ14,'Master List'!$A:$D,2,0),0)</f>
        <v/>
      </c>
      <c r="BM14" s="163">
        <f>IFERROR(VLOOKUP(BJ14,'Master List'!$A:$D,3,0),0)</f>
        <v/>
      </c>
      <c r="BN14" s="163">
        <f>IFERROR(VLOOKUP(BJ14,'Master List'!$A:$D,4,0),0)</f>
        <v/>
      </c>
      <c r="BO14" s="163" t="n"/>
      <c r="BP14" s="163">
        <f>IFERROR(BM14/BN14,0)</f>
        <v/>
      </c>
      <c r="BQ14" s="163">
        <f>IFERROR(IF(BO14&lt;((1/2*BN14*BP14^2)*2),1/2*BN14*SQRT((BO14/2)*2/BN14)^2,1/2*BN14*BP14^2),0)</f>
        <v/>
      </c>
      <c r="BR14" s="163">
        <f>IFERROR(IF(BO14-BQ14-BS14&lt;=0,0,BO14-BQ14-BS14),0)</f>
        <v/>
      </c>
      <c r="BS14" s="163">
        <f>BQ14</f>
        <v/>
      </c>
      <c r="BT14" s="163">
        <f>IFERROR(IF(BO14&lt;((1/2*BN14*BP14^2)*2),SQRT((BO14/2)*2/BN14),BP14),0)</f>
        <v/>
      </c>
      <c r="BU14" s="163">
        <f>IFERROR(BR14/BM14,0)</f>
        <v/>
      </c>
      <c r="BV14" s="163">
        <f>BT14</f>
        <v/>
      </c>
      <c r="BW14" s="163">
        <f>IF(BL14&gt;0,BL14,SUM(BT14:BV14))</f>
        <v/>
      </c>
      <c r="BX14" s="163" t="n">
        <v>1</v>
      </c>
      <c r="BY14" s="163">
        <f>BW14*BX14</f>
        <v/>
      </c>
    </row>
    <row r="15" ht="15" customHeight="1" s="516">
      <c r="A15" s="33" t="inlineStr">
        <is>
          <t>Throughput (Sorts per hour)</t>
        </is>
      </c>
      <c r="B15" s="48" t="n">
        <v>1000</v>
      </c>
      <c r="C15" s="211" t="inlineStr">
        <is>
          <t>Sorts per Hr</t>
        </is>
      </c>
      <c r="G15" s="160">
        <f>G14+1</f>
        <v/>
      </c>
      <c r="H15" s="161" t="inlineStr">
        <is>
          <t>Zippy 6 Running</t>
        </is>
      </c>
      <c r="I15" s="162" t="inlineStr">
        <is>
          <t>Distance travelled in Y direction</t>
        </is>
      </c>
      <c r="J15" s="163">
        <f>IFERROR(VLOOKUP(H15,'Master List'!$A:$D,2,0),0)</f>
        <v/>
      </c>
      <c r="K15" s="163">
        <f>IFERROR(VLOOKUP(H15,'Master List'!$A:$D,3,0),0)</f>
        <v/>
      </c>
      <c r="L15" s="163">
        <f>IFERROR(VLOOKUP(H15,'Master List'!$A:$D,4,0),0)</f>
        <v/>
      </c>
      <c r="M15" s="163">
        <f>$C$27</f>
        <v/>
      </c>
      <c r="N15" s="163">
        <f>IFERROR(K15/L15,0)</f>
        <v/>
      </c>
      <c r="O15" s="163">
        <f>IFERROR(IF(M15&lt;((1/2*L15*N15^2)*2),1/2*L15*SQRT((M15/2)*2/L15)^2,1/2*L15*N15^2),0)</f>
        <v/>
      </c>
      <c r="P15" s="163">
        <f>IFERROR(IF(M15-O15-Q15&lt;=0,0,M15-O15-Q15),0)</f>
        <v/>
      </c>
      <c r="Q15" s="163">
        <f>O15</f>
        <v/>
      </c>
      <c r="R15" s="163">
        <f>IFERROR(IF(M15&lt;((1/2*L15*N15^2)*2),SQRT((M15/2)*2/L15),N15),0)</f>
        <v/>
      </c>
      <c r="S15" s="163">
        <f>IFERROR(P15/K15,0)</f>
        <v/>
      </c>
      <c r="T15" s="163">
        <f>R15</f>
        <v/>
      </c>
      <c r="U15" s="163">
        <f>IF(J15&gt;0,J15,SUM(R15:T15))</f>
        <v/>
      </c>
      <c r="V15" s="163" t="n">
        <v>1</v>
      </c>
      <c r="W15" s="163">
        <f>U15*V15</f>
        <v/>
      </c>
      <c r="Y15" s="160">
        <f>Y14+1</f>
        <v/>
      </c>
      <c r="Z15" s="161" t="inlineStr">
        <is>
          <t>Zippy 6 Running</t>
        </is>
      </c>
      <c r="AA15" s="162" t="n"/>
      <c r="AB15" s="163">
        <f>IFERROR(VLOOKUP(Z15,'Master List'!$A:$D,2,0),0)</f>
        <v/>
      </c>
      <c r="AC15" s="163">
        <f>IFERROR(VLOOKUP(Z15,'Master List'!$A:$D,3,0),0)</f>
        <v/>
      </c>
      <c r="AD15" s="163">
        <f>IFERROR(VLOOKUP(Z15,'Master List'!$A:$D,4,0),0)</f>
        <v/>
      </c>
      <c r="AE15" s="163">
        <f>$C$28</f>
        <v/>
      </c>
      <c r="AF15" s="163">
        <f>IFERROR(AC15/AD15,0)</f>
        <v/>
      </c>
      <c r="AG15" s="163">
        <f>IFERROR(IF(AE15&lt;((1/2*AD15*AF15^2)*2),1/2*AD15*SQRT((AE15/2)*2/AD15)^2,1/2*AD15*AF15^2),0)</f>
        <v/>
      </c>
      <c r="AH15" s="163">
        <f>IFERROR(IF(AE15-AG15-AI15&lt;=0,0,AE15-AG15-AI15),0)</f>
        <v/>
      </c>
      <c r="AI15" s="163">
        <f>AG15</f>
        <v/>
      </c>
      <c r="AJ15" s="163">
        <f>IFERROR(IF(AE15&lt;((1/2*AD15*AF15^2)*2),SQRT((AE15/2)*2/AD15),AF15),0)</f>
        <v/>
      </c>
      <c r="AK15" s="163">
        <f>IFERROR(AH15/AC15,0)</f>
        <v/>
      </c>
      <c r="AL15" s="163">
        <f>AJ15</f>
        <v/>
      </c>
      <c r="AM15" s="163">
        <f>IF(AB15&gt;0,AB15,SUM(AJ15:AL15))</f>
        <v/>
      </c>
      <c r="AN15" s="163" t="n">
        <v>1</v>
      </c>
      <c r="AO15" s="163">
        <f>AM15*AN15</f>
        <v/>
      </c>
      <c r="AQ15" s="160">
        <f>AQ14+1</f>
        <v/>
      </c>
      <c r="AR15" s="161" t="inlineStr">
        <is>
          <t>Zippy 6 Running</t>
        </is>
      </c>
      <c r="AS15" s="162" t="n"/>
      <c r="AT15" s="163">
        <f>IFERROR(VLOOKUP(AR15,'Master List'!$A:$D,2,0),0)</f>
        <v/>
      </c>
      <c r="AU15" s="163">
        <f>IFERROR(VLOOKUP(AR15,'Master List'!$A:$D,3,0),0)</f>
        <v/>
      </c>
      <c r="AV15" s="163">
        <f>IFERROR(VLOOKUP(AR15,'Master List'!$A:$D,4,0),0)</f>
        <v/>
      </c>
      <c r="AW15" s="163">
        <f>$C$29</f>
        <v/>
      </c>
      <c r="AX15" s="163">
        <f>IFERROR(AU15/AV15,0)</f>
        <v/>
      </c>
      <c r="AY15" s="163">
        <f>IFERROR(IF(AW15&lt;((1/2*AV15*AX15^2)*2),1/2*AV15*SQRT((AW15/2)*2/AV15)^2,1/2*AV15*AX15^2),0)</f>
        <v/>
      </c>
      <c r="AZ15" s="163">
        <f>IFERROR(IF(AW15-AY15-BA15&lt;=0,0,AW15-AY15-BA15),0)</f>
        <v/>
      </c>
      <c r="BA15" s="163">
        <f>AY15</f>
        <v/>
      </c>
      <c r="BB15" s="163">
        <f>IFERROR(IF(AW15&lt;((1/2*AV15*AX15^2)*2),SQRT((AW15/2)*2/AV15),AX15),0)</f>
        <v/>
      </c>
      <c r="BC15" s="163">
        <f>IFERROR(AZ15/AU15,0)</f>
        <v/>
      </c>
      <c r="BD15" s="163">
        <f>BB15</f>
        <v/>
      </c>
      <c r="BE15" s="163">
        <f>IF(AT15&gt;0,AT15,SUM(BB15:BD15))</f>
        <v/>
      </c>
      <c r="BF15" s="163" t="n">
        <v>1</v>
      </c>
      <c r="BG15" s="163">
        <f>BE15*BF15</f>
        <v/>
      </c>
      <c r="BI15" s="160">
        <f>BI14+1</f>
        <v/>
      </c>
      <c r="BJ15" s="161" t="inlineStr">
        <is>
          <t>Zippy 6 Running</t>
        </is>
      </c>
      <c r="BK15" s="162" t="n"/>
      <c r="BL15" s="163">
        <f>IFERROR(VLOOKUP(BJ15,'Master List'!$A:$D,2,0),0)</f>
        <v/>
      </c>
      <c r="BM15" s="163">
        <f>IFERROR(VLOOKUP(BJ15,'Master List'!$A:$D,3,0),0)</f>
        <v/>
      </c>
      <c r="BN15" s="163">
        <f>IFERROR(VLOOKUP(BJ15,'Master List'!$A:$D,4,0),0)</f>
        <v/>
      </c>
      <c r="BO15" s="163">
        <f>$C$30</f>
        <v/>
      </c>
      <c r="BP15" s="163">
        <f>IFERROR(BM15/BN15,0)</f>
        <v/>
      </c>
      <c r="BQ15" s="163">
        <f>IFERROR(IF(BO15&lt;((1/2*BN15*BP15^2)*2),1/2*BN15*SQRT((BO15/2)*2/BN15)^2,1/2*BN15*BP15^2),0)</f>
        <v/>
      </c>
      <c r="BR15" s="163">
        <f>IFERROR(IF(BO15-BQ15-BS15&lt;=0,0,BO15-BQ15-BS15),0)</f>
        <v/>
      </c>
      <c r="BS15" s="163">
        <f>BQ15</f>
        <v/>
      </c>
      <c r="BT15" s="163">
        <f>IFERROR(IF(BO15&lt;((1/2*BN15*BP15^2)*2),SQRT((BO15/2)*2/BN15),BP15),0)</f>
        <v/>
      </c>
      <c r="BU15" s="163">
        <f>IFERROR(BR15/BM15,0)</f>
        <v/>
      </c>
      <c r="BV15" s="163">
        <f>BT15</f>
        <v/>
      </c>
      <c r="BW15" s="163">
        <f>IF(BL15&gt;0,BL15,SUM(BT15:BV15))</f>
        <v/>
      </c>
      <c r="BX15" s="163" t="n">
        <v>1</v>
      </c>
      <c r="BY15" s="163">
        <f>BW15*BX15</f>
        <v/>
      </c>
    </row>
    <row r="16" ht="15" customHeight="1" s="516">
      <c r="A16" s="33" t="inlineStr">
        <is>
          <t>Traffic factor</t>
        </is>
      </c>
      <c r="B16" s="36" t="n">
        <v>1000</v>
      </c>
      <c r="C16" s="211" t="inlineStr">
        <is>
          <t>Variable</t>
        </is>
      </c>
      <c r="G16" s="160">
        <f>G15+1</f>
        <v/>
      </c>
      <c r="H16" s="161" t="inlineStr">
        <is>
          <t>Zippy 6 90 degree Turn</t>
        </is>
      </c>
      <c r="I16" s="162" t="inlineStr">
        <is>
          <t>Turn to move towards sorting point</t>
        </is>
      </c>
      <c r="J16" s="163">
        <f>IFERROR(VLOOKUP(H16,'Master List'!$A:$D,2,0),0)</f>
        <v/>
      </c>
      <c r="K16" s="163">
        <f>IFERROR(VLOOKUP(H16,'Master List'!$A:$D,3,0),0)</f>
        <v/>
      </c>
      <c r="L16" s="163">
        <f>IFERROR(VLOOKUP(H16,'Master List'!$A:$D,4,0),0)</f>
        <v/>
      </c>
      <c r="M16" s="163" t="n"/>
      <c r="N16" s="163">
        <f>IFERROR(K16/L16,0)</f>
        <v/>
      </c>
      <c r="O16" s="163">
        <f>IFERROR(IF(M16&lt;((1/2*L16*N16^2)*2),1/2*L16*SQRT((M16/2)*2/L16)^2,1/2*L16*N16^2),0)</f>
        <v/>
      </c>
      <c r="P16" s="163">
        <f>IFERROR(IF(M16-O16-Q16&lt;=0,0,M16-O16-Q16),0)</f>
        <v/>
      </c>
      <c r="Q16" s="163">
        <f>O16</f>
        <v/>
      </c>
      <c r="R16" s="163">
        <f>IFERROR(IF(M16&lt;((1/2*L16*N16^2)*2),SQRT((M16/2)*2/L16),N16),0)</f>
        <v/>
      </c>
      <c r="S16" s="163">
        <f>IFERROR(P16/K16,0)</f>
        <v/>
      </c>
      <c r="T16" s="163">
        <f>R16</f>
        <v/>
      </c>
      <c r="U16" s="163">
        <f>IF(J16&gt;0,J16,SUM(R16:T16))</f>
        <v/>
      </c>
      <c r="V16" s="163" t="n">
        <v>1</v>
      </c>
      <c r="W16" s="163">
        <f>U16*V16</f>
        <v/>
      </c>
      <c r="Y16" s="160">
        <f>Y15+1</f>
        <v/>
      </c>
      <c r="Z16" s="161" t="inlineStr">
        <is>
          <t>Zippy 6 90 degree Turn</t>
        </is>
      </c>
      <c r="AA16" s="162" t="n"/>
      <c r="AB16" s="163">
        <f>IFERROR(VLOOKUP(Z16,'Master List'!$A:$D,2,0),0)</f>
        <v/>
      </c>
      <c r="AC16" s="163">
        <f>IFERROR(VLOOKUP(Z16,'Master List'!$A:$D,3,0),0)</f>
        <v/>
      </c>
      <c r="AD16" s="163">
        <f>IFERROR(VLOOKUP(Z16,'Master List'!$A:$D,4,0),0)</f>
        <v/>
      </c>
      <c r="AE16" s="163" t="n"/>
      <c r="AF16" s="163">
        <f>IFERROR(AC16/AD16,0)</f>
        <v/>
      </c>
      <c r="AG16" s="163">
        <f>IFERROR(IF(AE16&lt;((1/2*AD16*AF16^2)*2),1/2*AD16*SQRT((AE16/2)*2/AD16)^2,1/2*AD16*AF16^2),0)</f>
        <v/>
      </c>
      <c r="AH16" s="163">
        <f>IFERROR(IF(AE16-AG16-AI16&lt;=0,0,AE16-AG16-AI16),0)</f>
        <v/>
      </c>
      <c r="AI16" s="163">
        <f>AG16</f>
        <v/>
      </c>
      <c r="AJ16" s="163">
        <f>IFERROR(IF(AE16&lt;((1/2*AD16*AF16^2)*2),SQRT((AE16/2)*2/AD16),AF16),0)</f>
        <v/>
      </c>
      <c r="AK16" s="163">
        <f>IFERROR(AH16/AC16,0)</f>
        <v/>
      </c>
      <c r="AL16" s="163">
        <f>AJ16</f>
        <v/>
      </c>
      <c r="AM16" s="163">
        <f>IF(AB16&gt;0,AB16,SUM(AJ16:AL16))</f>
        <v/>
      </c>
      <c r="AN16" s="163" t="n">
        <v>1</v>
      </c>
      <c r="AO16" s="163">
        <f>AM16*AN16</f>
        <v/>
      </c>
      <c r="AQ16" s="160">
        <f>AQ15+1</f>
        <v/>
      </c>
      <c r="AR16" s="161" t="inlineStr">
        <is>
          <t>Zippy 6 90 degree Turn</t>
        </is>
      </c>
      <c r="AS16" s="162" t="n"/>
      <c r="AT16" s="163">
        <f>IFERROR(VLOOKUP(AR16,'Master List'!$A:$D,2,0),0)</f>
        <v/>
      </c>
      <c r="AU16" s="163">
        <f>IFERROR(VLOOKUP(AR16,'Master List'!$A:$D,3,0),0)</f>
        <v/>
      </c>
      <c r="AV16" s="163">
        <f>IFERROR(VLOOKUP(AR16,'Master List'!$A:$D,4,0),0)</f>
        <v/>
      </c>
      <c r="AW16" s="163" t="n"/>
      <c r="AX16" s="163">
        <f>IFERROR(AU16/AV16,0)</f>
        <v/>
      </c>
      <c r="AY16" s="163">
        <f>IFERROR(IF(AW16&lt;((1/2*AV16*AX16^2)*2),1/2*AV16*SQRT((AW16/2)*2/AV16)^2,1/2*AV16*AX16^2),0)</f>
        <v/>
      </c>
      <c r="AZ16" s="163">
        <f>IFERROR(IF(AW16-AY16-BA16&lt;=0,0,AW16-AY16-BA16),0)</f>
        <v/>
      </c>
      <c r="BA16" s="163">
        <f>AY16</f>
        <v/>
      </c>
      <c r="BB16" s="163">
        <f>IFERROR(IF(AW16&lt;((1/2*AV16*AX16^2)*2),SQRT((AW16/2)*2/AV16),AX16),0)</f>
        <v/>
      </c>
      <c r="BC16" s="163">
        <f>IFERROR(AZ16/AU16,0)</f>
        <v/>
      </c>
      <c r="BD16" s="163">
        <f>BB16</f>
        <v/>
      </c>
      <c r="BE16" s="163">
        <f>IF(AT16&gt;0,AT16,SUM(BB16:BD16))</f>
        <v/>
      </c>
      <c r="BF16" s="163" t="n">
        <v>1</v>
      </c>
      <c r="BG16" s="163">
        <f>BE16*BF16</f>
        <v/>
      </c>
      <c r="BI16" s="160">
        <f>BI15+1</f>
        <v/>
      </c>
      <c r="BJ16" s="161" t="inlineStr">
        <is>
          <t>Zippy 6 90 degree Turn</t>
        </is>
      </c>
      <c r="BK16" s="162" t="n"/>
      <c r="BL16" s="163">
        <f>IFERROR(VLOOKUP(BJ16,'Master List'!$A:$D,2,0),0)</f>
        <v/>
      </c>
      <c r="BM16" s="163">
        <f>IFERROR(VLOOKUP(BJ16,'Master List'!$A:$D,3,0),0)</f>
        <v/>
      </c>
      <c r="BN16" s="163">
        <f>IFERROR(VLOOKUP(BJ16,'Master List'!$A:$D,4,0),0)</f>
        <v/>
      </c>
      <c r="BO16" s="163" t="n"/>
      <c r="BP16" s="163">
        <f>IFERROR(BM16/BN16,0)</f>
        <v/>
      </c>
      <c r="BQ16" s="163">
        <f>IFERROR(IF(BO16&lt;((1/2*BN16*BP16^2)*2),1/2*BN16*SQRT((BO16/2)*2/BN16)^2,1/2*BN16*BP16^2),0)</f>
        <v/>
      </c>
      <c r="BR16" s="163">
        <f>IFERROR(IF(BO16-BQ16-BS16&lt;=0,0,BO16-BQ16-BS16),0)</f>
        <v/>
      </c>
      <c r="BS16" s="163">
        <f>BQ16</f>
        <v/>
      </c>
      <c r="BT16" s="163">
        <f>IFERROR(IF(BO16&lt;((1/2*BN16*BP16^2)*2),SQRT((BO16/2)*2/BN16),BP16),0)</f>
        <v/>
      </c>
      <c r="BU16" s="163">
        <f>IFERROR(BR16/BM16,0)</f>
        <v/>
      </c>
      <c r="BV16" s="163">
        <f>BT16</f>
        <v/>
      </c>
      <c r="BW16" s="163">
        <f>IF(BL16&gt;0,BL16,SUM(BT16:BV16))</f>
        <v/>
      </c>
      <c r="BX16" s="163" t="n">
        <v>1</v>
      </c>
      <c r="BY16" s="163">
        <f>BW16*BX16</f>
        <v/>
      </c>
    </row>
    <row r="17" ht="15" customHeight="1" s="516">
      <c r="A17" s="33" t="inlineStr">
        <is>
          <t>Charging factor</t>
        </is>
      </c>
      <c r="B17" s="36" t="n">
        <v>0.1</v>
      </c>
      <c r="C17" s="211" t="inlineStr">
        <is>
          <t>Variable</t>
        </is>
      </c>
      <c r="G17" s="160">
        <f>G16+1</f>
        <v/>
      </c>
      <c r="H17" s="161" t="inlineStr">
        <is>
          <t>Zippy 6 Tilting</t>
        </is>
      </c>
      <c r="I17" s="162" t="inlineStr">
        <is>
          <t>Sorting</t>
        </is>
      </c>
      <c r="J17" s="163">
        <f>IFERROR(VLOOKUP(H17,'Master List'!$A:$D,2,0),0)</f>
        <v/>
      </c>
      <c r="K17" s="163">
        <f>IFERROR(VLOOKUP(H17,'Master List'!$A:$D,3,0),0)</f>
        <v/>
      </c>
      <c r="L17" s="163">
        <f>IFERROR(VLOOKUP(H17,'Master List'!$A:$D,4,0),0)</f>
        <v/>
      </c>
      <c r="M17" s="163">
        <f>$B$32*2</f>
        <v/>
      </c>
      <c r="N17" s="163">
        <f>IFERROR(K17/L17,0)</f>
        <v/>
      </c>
      <c r="O17" s="163">
        <f>IFERROR(IF(M17&lt;((1/2*L17*N17^2)*2),1/2*L17*SQRT((M17/2)*2/L17)^2,1/2*L17*N17^2),0)</f>
        <v/>
      </c>
      <c r="P17" s="163">
        <f>IFERROR(IF(M17-O17-Q17&lt;=0,0,M17-O17-Q17),0)</f>
        <v/>
      </c>
      <c r="Q17" s="163">
        <f>O17</f>
        <v/>
      </c>
      <c r="R17" s="163">
        <f>IFERROR(IF(M17&lt;((1/2*L17*N17^2)*2),SQRT((M17/2)*2/L17),N17),0)</f>
        <v/>
      </c>
      <c r="S17" s="163">
        <f>IFERROR(P17/K17,0)</f>
        <v/>
      </c>
      <c r="T17" s="163">
        <f>R17</f>
        <v/>
      </c>
      <c r="U17" s="163">
        <f>IF(J17&gt;0,J17,SUM(R17:T17))</f>
        <v/>
      </c>
      <c r="V17" s="163" t="n">
        <v>1</v>
      </c>
      <c r="W17" s="163">
        <f>U17*V17</f>
        <v/>
      </c>
      <c r="Y17" s="160">
        <f>Y16+1</f>
        <v/>
      </c>
      <c r="Z17" s="161" t="inlineStr">
        <is>
          <t>Zippy 6 Tilting</t>
        </is>
      </c>
      <c r="AA17" s="162" t="n"/>
      <c r="AB17" s="163">
        <f>IFERROR(VLOOKUP(Z17,'Master List'!$A:$D,2,0),0)</f>
        <v/>
      </c>
      <c r="AC17" s="163">
        <f>IFERROR(VLOOKUP(Z17,'Master List'!$A:$D,3,0),0)</f>
        <v/>
      </c>
      <c r="AD17" s="163">
        <f>IFERROR(VLOOKUP(Z17,'Master List'!$A:$D,4,0),0)</f>
        <v/>
      </c>
      <c r="AE17" s="163">
        <f>$B$32*2</f>
        <v/>
      </c>
      <c r="AF17" s="163">
        <f>IFERROR(AC17/AD17,0)</f>
        <v/>
      </c>
      <c r="AG17" s="163">
        <f>IFERROR(IF(AE17&lt;((1/2*AD17*AF17^2)*2),1/2*AD17*SQRT((AE17/2)*2/AD17)^2,1/2*AD17*AF17^2),0)</f>
        <v/>
      </c>
      <c r="AH17" s="163">
        <f>IFERROR(IF(AE17-AG17-AI17&lt;=0,0,AE17-AG17-AI17),0)</f>
        <v/>
      </c>
      <c r="AI17" s="163">
        <f>AG17</f>
        <v/>
      </c>
      <c r="AJ17" s="163">
        <f>IFERROR(IF(AE17&lt;((1/2*AD17*AF17^2)*2),SQRT((AE17/2)*2/AD17),AF17),0)</f>
        <v/>
      </c>
      <c r="AK17" s="163">
        <f>IFERROR(AH17/AC17,0)</f>
        <v/>
      </c>
      <c r="AL17" s="163">
        <f>AJ17</f>
        <v/>
      </c>
      <c r="AM17" s="163">
        <f>IF(AB17&gt;0,AB17,SUM(AJ17:AL17))</f>
        <v/>
      </c>
      <c r="AN17" s="163" t="n">
        <v>1</v>
      </c>
      <c r="AO17" s="163">
        <f>AM17*AN17</f>
        <v/>
      </c>
      <c r="AQ17" s="160">
        <f>AQ16+1</f>
        <v/>
      </c>
      <c r="AR17" s="161" t="inlineStr">
        <is>
          <t>Zippy 6 Tilting</t>
        </is>
      </c>
      <c r="AS17" s="162" t="n"/>
      <c r="AT17" s="163">
        <f>IFERROR(VLOOKUP(AR17,'Master List'!$A:$D,2,0),0)</f>
        <v/>
      </c>
      <c r="AU17" s="163">
        <f>IFERROR(VLOOKUP(AR17,'Master List'!$A:$D,3,0),0)</f>
        <v/>
      </c>
      <c r="AV17" s="163">
        <f>IFERROR(VLOOKUP(AR17,'Master List'!$A:$D,4,0),0)</f>
        <v/>
      </c>
      <c r="AW17" s="163">
        <f>$B$32*2</f>
        <v/>
      </c>
      <c r="AX17" s="163">
        <f>IFERROR(AU17/AV17,0)</f>
        <v/>
      </c>
      <c r="AY17" s="163">
        <f>IFERROR(IF(AW17&lt;((1/2*AV17*AX17^2)*2),1/2*AV17*SQRT((AW17/2)*2/AV17)^2,1/2*AV17*AX17^2),0)</f>
        <v/>
      </c>
      <c r="AZ17" s="163">
        <f>IFERROR(IF(AW17-AY17-BA17&lt;=0,0,AW17-AY17-BA17),0)</f>
        <v/>
      </c>
      <c r="BA17" s="163">
        <f>AY17</f>
        <v/>
      </c>
      <c r="BB17" s="163">
        <f>IFERROR(IF(AW17&lt;((1/2*AV17*AX17^2)*2),SQRT((AW17/2)*2/AV17),AX17),0)</f>
        <v/>
      </c>
      <c r="BC17" s="163">
        <f>IFERROR(AZ17/AU17,0)</f>
        <v/>
      </c>
      <c r="BD17" s="163">
        <f>BB17</f>
        <v/>
      </c>
      <c r="BE17" s="163">
        <f>IF(AT17&gt;0,AT17,SUM(BB17:BD17))</f>
        <v/>
      </c>
      <c r="BF17" s="163" t="n">
        <v>1</v>
      </c>
      <c r="BG17" s="163">
        <f>BE17*BF17</f>
        <v/>
      </c>
      <c r="BI17" s="160">
        <f>BI16+1</f>
        <v/>
      </c>
      <c r="BJ17" s="161" t="inlineStr">
        <is>
          <t>Zippy 6 Tilting</t>
        </is>
      </c>
      <c r="BK17" s="162" t="n"/>
      <c r="BL17" s="163">
        <f>IFERROR(VLOOKUP(BJ17,'Master List'!$A:$D,2,0),0)</f>
        <v/>
      </c>
      <c r="BM17" s="163">
        <f>IFERROR(VLOOKUP(BJ17,'Master List'!$A:$D,3,0),0)</f>
        <v/>
      </c>
      <c r="BN17" s="163">
        <f>IFERROR(VLOOKUP(BJ17,'Master List'!$A:$D,4,0),0)</f>
        <v/>
      </c>
      <c r="BO17" s="163">
        <f>$B$32*2</f>
        <v/>
      </c>
      <c r="BP17" s="163">
        <f>IFERROR(BM17/BN17,0)</f>
        <v/>
      </c>
      <c r="BQ17" s="163">
        <f>IFERROR(IF(BO17&lt;((1/2*BN17*BP17^2)*2),1/2*BN17*SQRT((BO17/2)*2/BN17)^2,1/2*BN17*BP17^2),0)</f>
        <v/>
      </c>
      <c r="BR17" s="163">
        <f>IFERROR(IF(BO17-BQ17-BS17&lt;=0,0,BO17-BQ17-BS17),0)</f>
        <v/>
      </c>
      <c r="BS17" s="163">
        <f>BQ17</f>
        <v/>
      </c>
      <c r="BT17" s="163">
        <f>IFERROR(IF(BO17&lt;((1/2*BN17*BP17^2)*2),SQRT((BO17/2)*2/BN17),BP17),0)</f>
        <v/>
      </c>
      <c r="BU17" s="163">
        <f>IFERROR(BR17/BM17,0)</f>
        <v/>
      </c>
      <c r="BV17" s="163">
        <f>BT17</f>
        <v/>
      </c>
      <c r="BW17" s="163">
        <f>IF(BL17&gt;0,BL17,SUM(BT17:BV17))</f>
        <v/>
      </c>
      <c r="BX17" s="163" t="n">
        <v>1</v>
      </c>
      <c r="BY17" s="163">
        <f>BW17*BX17</f>
        <v/>
      </c>
    </row>
    <row r="18" ht="30" customHeight="1" s="516">
      <c r="A18" s="33" t="inlineStr">
        <is>
          <t>Total barcodes in layout</t>
        </is>
      </c>
      <c r="B18" s="48" t="n">
        <v>0.1</v>
      </c>
      <c r="C18" s="211" t="inlineStr">
        <is>
          <t>Input total number of barcodes in layout</t>
        </is>
      </c>
      <c r="G18" s="160">
        <f>G17+1</f>
        <v/>
      </c>
      <c r="H18" s="161" t="inlineStr">
        <is>
          <t>Zippy 6 Running</t>
        </is>
      </c>
      <c r="I18" s="162" t="inlineStr">
        <is>
          <t>Move one barcode ahead to make way for zippy behind if any</t>
        </is>
      </c>
      <c r="J18" s="163">
        <f>IFERROR(VLOOKUP(H18,'Master List'!$A:$D,2,0),0)</f>
        <v/>
      </c>
      <c r="K18" s="163">
        <f>IFERROR(VLOOKUP(H18,'Master List'!$A:$D,3,0),0)</f>
        <v/>
      </c>
      <c r="L18" s="163">
        <f>IFERROR(VLOOKUP(H18,'Master List'!$A:$D,4,0),0)</f>
        <v/>
      </c>
      <c r="M18" s="163">
        <f>$B$32</f>
        <v/>
      </c>
      <c r="N18" s="163">
        <f>IFERROR(K18/L18,0)</f>
        <v/>
      </c>
      <c r="O18" s="163">
        <f>IFERROR(IF(M18&lt;((1/2*L18*N18^2)*2),1/2*L18*SQRT((M18/2)*2/L18)^2,1/2*L18*N18^2),0)</f>
        <v/>
      </c>
      <c r="P18" s="163">
        <f>IFERROR(IF(M18-O18-Q18&lt;=0,0,M18-O18-Q18),0)</f>
        <v/>
      </c>
      <c r="Q18" s="163">
        <f>O18</f>
        <v/>
      </c>
      <c r="R18" s="163">
        <f>IFERROR(IF(M18&lt;((1/2*L18*N18^2)*2),SQRT((M18/2)*2/L18),N18),0)</f>
        <v/>
      </c>
      <c r="S18" s="163">
        <f>IFERROR(P18/K18,0)</f>
        <v/>
      </c>
      <c r="T18" s="163">
        <f>R18</f>
        <v/>
      </c>
      <c r="U18" s="163">
        <f>IF(J18&gt;0,J18,SUM(R18:T18))</f>
        <v/>
      </c>
      <c r="V18" s="163" t="n">
        <v>1</v>
      </c>
      <c r="W18" s="163">
        <f>U18*V18</f>
        <v/>
      </c>
      <c r="Y18" s="160">
        <f>Y17+1</f>
        <v/>
      </c>
      <c r="Z18" s="161" t="inlineStr">
        <is>
          <t>Zippy 6 Running</t>
        </is>
      </c>
      <c r="AA18" s="162" t="n"/>
      <c r="AB18" s="163">
        <f>IFERROR(VLOOKUP(Z18,'Master List'!$A:$D,2,0),0)</f>
        <v/>
      </c>
      <c r="AC18" s="163">
        <f>IFERROR(VLOOKUP(Z18,'Master List'!$A:$D,3,0),0)</f>
        <v/>
      </c>
      <c r="AD18" s="163">
        <f>IFERROR(VLOOKUP(Z18,'Master List'!$A:$D,4,0),0)</f>
        <v/>
      </c>
      <c r="AE18" s="163">
        <f>$B$32</f>
        <v/>
      </c>
      <c r="AF18" s="163">
        <f>IFERROR(AC18/AD18,0)</f>
        <v/>
      </c>
      <c r="AG18" s="163">
        <f>IFERROR(IF(AE18&lt;((1/2*AD18*AF18^2)*2),1/2*AD18*SQRT((AE18/2)*2/AD18)^2,1/2*AD18*AF18^2),0)</f>
        <v/>
      </c>
      <c r="AH18" s="163">
        <f>IFERROR(IF(AE18-AG18-AI18&lt;=0,0,AE18-AG18-AI18),0)</f>
        <v/>
      </c>
      <c r="AI18" s="163">
        <f>AG18</f>
        <v/>
      </c>
      <c r="AJ18" s="163">
        <f>IFERROR(IF(AE18&lt;((1/2*AD18*AF18^2)*2),SQRT((AE18/2)*2/AD18),AF18),0)</f>
        <v/>
      </c>
      <c r="AK18" s="163">
        <f>IFERROR(AH18/AC18,0)</f>
        <v/>
      </c>
      <c r="AL18" s="163">
        <f>AJ18</f>
        <v/>
      </c>
      <c r="AM18" s="163">
        <f>IF(AB18&gt;0,AB18,SUM(AJ18:AL18))</f>
        <v/>
      </c>
      <c r="AN18" s="163" t="n">
        <v>1</v>
      </c>
      <c r="AO18" s="163">
        <f>AM18*AN18</f>
        <v/>
      </c>
      <c r="AQ18" s="160">
        <f>AQ17+1</f>
        <v/>
      </c>
      <c r="AR18" s="161" t="inlineStr">
        <is>
          <t>Zippy 6 Running</t>
        </is>
      </c>
      <c r="AS18" s="162" t="n"/>
      <c r="AT18" s="163">
        <f>IFERROR(VLOOKUP(AR18,'Master List'!$A:$D,2,0),0)</f>
        <v/>
      </c>
      <c r="AU18" s="163">
        <f>IFERROR(VLOOKUP(AR18,'Master List'!$A:$D,3,0),0)</f>
        <v/>
      </c>
      <c r="AV18" s="163">
        <f>IFERROR(VLOOKUP(AR18,'Master List'!$A:$D,4,0),0)</f>
        <v/>
      </c>
      <c r="AW18" s="163">
        <f>$B$32</f>
        <v/>
      </c>
      <c r="AX18" s="163">
        <f>IFERROR(AU18/AV18,0)</f>
        <v/>
      </c>
      <c r="AY18" s="163">
        <f>IFERROR(IF(AW18&lt;((1/2*AV18*AX18^2)*2),1/2*AV18*SQRT((AW18/2)*2/AV18)^2,1/2*AV18*AX18^2),0)</f>
        <v/>
      </c>
      <c r="AZ18" s="163">
        <f>IFERROR(IF(AW18-AY18-BA18&lt;=0,0,AW18-AY18-BA18),0)</f>
        <v/>
      </c>
      <c r="BA18" s="163">
        <f>AY18</f>
        <v/>
      </c>
      <c r="BB18" s="163">
        <f>IFERROR(IF(AW18&lt;((1/2*AV18*AX18^2)*2),SQRT((AW18/2)*2/AV18),AX18),0)</f>
        <v/>
      </c>
      <c r="BC18" s="163">
        <f>IFERROR(AZ18/AU18,0)</f>
        <v/>
      </c>
      <c r="BD18" s="163">
        <f>BB18</f>
        <v/>
      </c>
      <c r="BE18" s="163">
        <f>IF(AT18&gt;0,AT18,SUM(BB18:BD18))</f>
        <v/>
      </c>
      <c r="BF18" s="163" t="n">
        <v>1</v>
      </c>
      <c r="BG18" s="163">
        <f>BE18*BF18</f>
        <v/>
      </c>
      <c r="BI18" s="160">
        <f>BI17+1</f>
        <v/>
      </c>
      <c r="BJ18" s="161" t="inlineStr">
        <is>
          <t>Zippy 6 Running</t>
        </is>
      </c>
      <c r="BK18" s="162" t="n"/>
      <c r="BL18" s="163">
        <f>IFERROR(VLOOKUP(BJ18,'Master List'!$A:$D,2,0),0)</f>
        <v/>
      </c>
      <c r="BM18" s="163">
        <f>IFERROR(VLOOKUP(BJ18,'Master List'!$A:$D,3,0),0)</f>
        <v/>
      </c>
      <c r="BN18" s="163">
        <f>IFERROR(VLOOKUP(BJ18,'Master List'!$A:$D,4,0),0)</f>
        <v/>
      </c>
      <c r="BO18" s="163">
        <f>$B$32</f>
        <v/>
      </c>
      <c r="BP18" s="163">
        <f>IFERROR(BM18/BN18,0)</f>
        <v/>
      </c>
      <c r="BQ18" s="163">
        <f>IFERROR(IF(BO18&lt;((1/2*BN18*BP18^2)*2),1/2*BN18*SQRT((BO18/2)*2/BN18)^2,1/2*BN18*BP18^2),0)</f>
        <v/>
      </c>
      <c r="BR18" s="163">
        <f>IFERROR(IF(BO18-BQ18-BS18&lt;=0,0,BO18-BQ18-BS18),0)</f>
        <v/>
      </c>
      <c r="BS18" s="163">
        <f>BQ18</f>
        <v/>
      </c>
      <c r="BT18" s="163">
        <f>IFERROR(IF(BO18&lt;((1/2*BN18*BP18^2)*2),SQRT((BO18/2)*2/BN18),BP18),0)</f>
        <v/>
      </c>
      <c r="BU18" s="163">
        <f>IFERROR(BR18/BM18,0)</f>
        <v/>
      </c>
      <c r="BV18" s="163">
        <f>BT18</f>
        <v/>
      </c>
      <c r="BW18" s="163">
        <f>IF(BL18&gt;0,BL18,SUM(BT18:BV18))</f>
        <v/>
      </c>
      <c r="BX18" s="163" t="n">
        <v>1</v>
      </c>
      <c r="BY18" s="163">
        <f>BW18*BX18</f>
        <v/>
      </c>
    </row>
    <row r="19" ht="15" customHeight="1" s="516">
      <c r="B19" s="1" t="n">
        <v>100</v>
      </c>
      <c r="G19" s="160">
        <f>G18+1</f>
        <v/>
      </c>
      <c r="H19" s="161" t="inlineStr">
        <is>
          <t>Zippy 6 90 degree Turn</t>
        </is>
      </c>
      <c r="I19" s="162" t="inlineStr">
        <is>
          <t>Turn to move on highway</t>
        </is>
      </c>
      <c r="J19" s="163">
        <f>IFERROR(VLOOKUP(H19,'Master List'!$A:$D,2,0),0)</f>
        <v/>
      </c>
      <c r="K19" s="163">
        <f>IFERROR(VLOOKUP(H19,'Master List'!$A:$D,3,0),0)</f>
        <v/>
      </c>
      <c r="L19" s="163">
        <f>IFERROR(VLOOKUP(H19,'Master List'!$A:$D,4,0),0)</f>
        <v/>
      </c>
      <c r="M19" s="163" t="n"/>
      <c r="N19" s="163">
        <f>IFERROR(K19/L19,0)</f>
        <v/>
      </c>
      <c r="O19" s="163">
        <f>IFERROR(IF(M19&lt;((1/2*L19*N19^2)*2),1/2*L19*SQRT((M19/2)*2/L19)^2,1/2*L19*N19^2),0)</f>
        <v/>
      </c>
      <c r="P19" s="163">
        <f>IFERROR(IF(M19-O19-Q19&lt;=0,0,M19-O19-Q19),0)</f>
        <v/>
      </c>
      <c r="Q19" s="163">
        <f>O19</f>
        <v/>
      </c>
      <c r="R19" s="163">
        <f>IFERROR(IF(M19&lt;((1/2*L19*N19^2)*2),SQRT((M19/2)*2/L19),N19),0)</f>
        <v/>
      </c>
      <c r="S19" s="163">
        <f>IFERROR(P19/K19,0)</f>
        <v/>
      </c>
      <c r="T19" s="163">
        <f>R19</f>
        <v/>
      </c>
      <c r="U19" s="163">
        <f>IF(J19&gt;0,J19,SUM(R19:T19))</f>
        <v/>
      </c>
      <c r="V19" s="163" t="n">
        <v>1</v>
      </c>
      <c r="W19" s="163">
        <f>U19*V19</f>
        <v/>
      </c>
      <c r="Y19" s="160">
        <f>Y18+1</f>
        <v/>
      </c>
      <c r="Z19" s="161" t="inlineStr">
        <is>
          <t>Zippy 6 90 degree Turn</t>
        </is>
      </c>
      <c r="AA19" s="162" t="n"/>
      <c r="AB19" s="163">
        <f>IFERROR(VLOOKUP(Z19,'Master List'!$A:$D,2,0),0)</f>
        <v/>
      </c>
      <c r="AC19" s="163">
        <f>IFERROR(VLOOKUP(Z19,'Master List'!$A:$D,3,0),0)</f>
        <v/>
      </c>
      <c r="AD19" s="163">
        <f>IFERROR(VLOOKUP(Z19,'Master List'!$A:$D,4,0),0)</f>
        <v/>
      </c>
      <c r="AE19" s="163" t="n"/>
      <c r="AF19" s="163">
        <f>IFERROR(AC19/AD19,0)</f>
        <v/>
      </c>
      <c r="AG19" s="163">
        <f>IFERROR(IF(AE19&lt;((1/2*AD19*AF19^2)*2),1/2*AD19*SQRT((AE19/2)*2/AD19)^2,1/2*AD19*AF19^2),0)</f>
        <v/>
      </c>
      <c r="AH19" s="163">
        <f>IFERROR(IF(AE19-AG19-AI19&lt;=0,0,AE19-AG19-AI19),0)</f>
        <v/>
      </c>
      <c r="AI19" s="163">
        <f>AG19</f>
        <v/>
      </c>
      <c r="AJ19" s="163">
        <f>IFERROR(IF(AE19&lt;((1/2*AD19*AF19^2)*2),SQRT((AE19/2)*2/AD19),AF19),0)</f>
        <v/>
      </c>
      <c r="AK19" s="163">
        <f>IFERROR(AH19/AC19,0)</f>
        <v/>
      </c>
      <c r="AL19" s="163">
        <f>AJ19</f>
        <v/>
      </c>
      <c r="AM19" s="163">
        <f>IF(AB19&gt;0,AB19,SUM(AJ19:AL19))</f>
        <v/>
      </c>
      <c r="AN19" s="163" t="n">
        <v>1</v>
      </c>
      <c r="AO19" s="163">
        <f>AM19*AN19</f>
        <v/>
      </c>
      <c r="AQ19" s="160">
        <f>AQ18+1</f>
        <v/>
      </c>
      <c r="AR19" s="161" t="inlineStr">
        <is>
          <t>Zippy 6 90 degree Turn</t>
        </is>
      </c>
      <c r="AS19" s="162" t="n"/>
      <c r="AT19" s="163">
        <f>IFERROR(VLOOKUP(AR19,'Master List'!$A:$D,2,0),0)</f>
        <v/>
      </c>
      <c r="AU19" s="163">
        <f>IFERROR(VLOOKUP(AR19,'Master List'!$A:$D,3,0),0)</f>
        <v/>
      </c>
      <c r="AV19" s="163">
        <f>IFERROR(VLOOKUP(AR19,'Master List'!$A:$D,4,0),0)</f>
        <v/>
      </c>
      <c r="AW19" s="163" t="n"/>
      <c r="AX19" s="163">
        <f>IFERROR(AU19/AV19,0)</f>
        <v/>
      </c>
      <c r="AY19" s="163">
        <f>IFERROR(IF(AW19&lt;((1/2*AV19*AX19^2)*2),1/2*AV19*SQRT((AW19/2)*2/AV19)^2,1/2*AV19*AX19^2),0)</f>
        <v/>
      </c>
      <c r="AZ19" s="163">
        <f>IFERROR(IF(AW19-AY19-BA19&lt;=0,0,AW19-AY19-BA19),0)</f>
        <v/>
      </c>
      <c r="BA19" s="163">
        <f>AY19</f>
        <v/>
      </c>
      <c r="BB19" s="163">
        <f>IFERROR(IF(AW19&lt;((1/2*AV19*AX19^2)*2),SQRT((AW19/2)*2/AV19),AX19),0)</f>
        <v/>
      </c>
      <c r="BC19" s="163">
        <f>IFERROR(AZ19/AU19,0)</f>
        <v/>
      </c>
      <c r="BD19" s="163">
        <f>BB19</f>
        <v/>
      </c>
      <c r="BE19" s="163">
        <f>IF(AT19&gt;0,AT19,SUM(BB19:BD19))</f>
        <v/>
      </c>
      <c r="BF19" s="163" t="n">
        <v>1</v>
      </c>
      <c r="BG19" s="163">
        <f>BE19*BF19</f>
        <v/>
      </c>
      <c r="BI19" s="160">
        <f>BI18+1</f>
        <v/>
      </c>
      <c r="BJ19" s="161" t="inlineStr">
        <is>
          <t>Zippy 6 90 degree Turn</t>
        </is>
      </c>
      <c r="BK19" s="162" t="n"/>
      <c r="BL19" s="163">
        <f>IFERROR(VLOOKUP(BJ19,'Master List'!$A:$D,2,0),0)</f>
        <v/>
      </c>
      <c r="BM19" s="163">
        <f>IFERROR(VLOOKUP(BJ19,'Master List'!$A:$D,3,0),0)</f>
        <v/>
      </c>
      <c r="BN19" s="163">
        <f>IFERROR(VLOOKUP(BJ19,'Master List'!$A:$D,4,0),0)</f>
        <v/>
      </c>
      <c r="BO19" s="163" t="n"/>
      <c r="BP19" s="163">
        <f>IFERROR(BM19/BN19,0)</f>
        <v/>
      </c>
      <c r="BQ19" s="163">
        <f>IFERROR(IF(BO19&lt;((1/2*BN19*BP19^2)*2),1/2*BN19*SQRT((BO19/2)*2/BN19)^2,1/2*BN19*BP19^2),0)</f>
        <v/>
      </c>
      <c r="BR19" s="163">
        <f>IFERROR(IF(BO19-BQ19-BS19&lt;=0,0,BO19-BQ19-BS19),0)</f>
        <v/>
      </c>
      <c r="BS19" s="163">
        <f>BQ19</f>
        <v/>
      </c>
      <c r="BT19" s="163">
        <f>IFERROR(IF(BO19&lt;((1/2*BN19*BP19^2)*2),SQRT((BO19/2)*2/BN19),BP19),0)</f>
        <v/>
      </c>
      <c r="BU19" s="163">
        <f>IFERROR(BR19/BM19,0)</f>
        <v/>
      </c>
      <c r="BV19" s="163">
        <f>BT19</f>
        <v/>
      </c>
      <c r="BW19" s="163">
        <f>IF(BL19&gt;0,BL19,SUM(BT19:BV19))</f>
        <v/>
      </c>
      <c r="BX19" s="163" t="n">
        <v>1</v>
      </c>
      <c r="BY19" s="163">
        <f>BW19*BX19</f>
        <v/>
      </c>
    </row>
    <row r="20">
      <c r="A20" s="33" t="n"/>
      <c r="B20" s="34" t="inlineStr">
        <is>
          <t>% of distance travelled in X direction</t>
        </is>
      </c>
      <c r="C20" s="34" t="inlineStr">
        <is>
          <t>Distance travelled m</t>
        </is>
      </c>
      <c r="D20" s="34" t="inlineStr">
        <is>
          <t>Cycles/ Hr</t>
        </is>
      </c>
      <c r="E20" s="34" t="inlineStr">
        <is>
          <t>Weightage</t>
        </is>
      </c>
      <c r="G20" s="160">
        <f>G19+1</f>
        <v/>
      </c>
      <c r="H20" s="161" t="inlineStr">
        <is>
          <t>Zippy 6 Running</t>
        </is>
      </c>
      <c r="I20" s="162" t="inlineStr">
        <is>
          <t>Distance travlled to come back to induction station in Y direction</t>
        </is>
      </c>
      <c r="J20" s="163">
        <f>IFERROR(VLOOKUP(H20,'Master List'!$A:$D,2,0),0)</f>
        <v/>
      </c>
      <c r="K20" s="163">
        <f>IFERROR(VLOOKUP(H20,'Master List'!$A:$D,3,0),0)</f>
        <v/>
      </c>
      <c r="L20" s="163">
        <f>IFERROR(VLOOKUP(H20,'Master List'!$A:$D,4,0),0)</f>
        <v/>
      </c>
      <c r="M20" s="163">
        <f>$M$15+M24</f>
        <v/>
      </c>
      <c r="N20" s="163">
        <f>IFERROR(K20/L20,0)</f>
        <v/>
      </c>
      <c r="O20" s="163">
        <f>IFERROR(IF(M20&lt;((1/2*L20*N20^2)*2),1/2*L20*SQRT((M20/2)*2/L20)^2,1/2*L20*N20^2),0)</f>
        <v/>
      </c>
      <c r="P20" s="163">
        <f>IFERROR(IF(M20-O20-Q20&lt;=0,0,M20-O20-Q20),0)</f>
        <v/>
      </c>
      <c r="Q20" s="163">
        <f>O20</f>
        <v/>
      </c>
      <c r="R20" s="163">
        <f>IFERROR(IF(M20&lt;((1/2*L20*N20^2)*2),SQRT((M20/2)*2/L20),N20),0)</f>
        <v/>
      </c>
      <c r="S20" s="163">
        <f>IFERROR(P20/K20,0)</f>
        <v/>
      </c>
      <c r="T20" s="163">
        <f>R20</f>
        <v/>
      </c>
      <c r="U20" s="163">
        <f>IF(J20&gt;0,J20,SUM(R20:T20))</f>
        <v/>
      </c>
      <c r="V20" s="163" t="n">
        <v>1</v>
      </c>
      <c r="W20" s="163">
        <f>U20*V20</f>
        <v/>
      </c>
      <c r="Y20" s="160">
        <f>Y19+1</f>
        <v/>
      </c>
      <c r="Z20" s="161" t="inlineStr">
        <is>
          <t>Zippy 6 Running</t>
        </is>
      </c>
      <c r="AA20" s="162" t="n"/>
      <c r="AB20" s="163">
        <f>IFERROR(VLOOKUP(Z20,'Master List'!$A:$D,2,0),0)</f>
        <v/>
      </c>
      <c r="AC20" s="163">
        <f>IFERROR(VLOOKUP(Z20,'Master List'!$A:$D,3,0),0)</f>
        <v/>
      </c>
      <c r="AD20" s="163">
        <f>IFERROR(VLOOKUP(Z20,'Master List'!$A:$D,4,0),0)</f>
        <v/>
      </c>
      <c r="AE20" s="163">
        <f>AE15+AE24</f>
        <v/>
      </c>
      <c r="AF20" s="163">
        <f>IFERROR(AC20/AD20,0)</f>
        <v/>
      </c>
      <c r="AG20" s="163">
        <f>IFERROR(IF(AE20&lt;((1/2*AD20*AF20^2)*2),1/2*AD20*SQRT((AE20/2)*2/AD20)^2,1/2*AD20*AF20^2),0)</f>
        <v/>
      </c>
      <c r="AH20" s="163">
        <f>IFERROR(IF(AE20-AG20-AI20&lt;=0,0,AE20-AG20-AI20),0)</f>
        <v/>
      </c>
      <c r="AI20" s="163">
        <f>AG20</f>
        <v/>
      </c>
      <c r="AJ20" s="163">
        <f>IFERROR(IF(AE20&lt;((1/2*AD20*AF20^2)*2),SQRT((AE20/2)*2/AD20),AF20),0)</f>
        <v/>
      </c>
      <c r="AK20" s="163">
        <f>IFERROR(AH20/AC20,0)</f>
        <v/>
      </c>
      <c r="AL20" s="163">
        <f>AJ20</f>
        <v/>
      </c>
      <c r="AM20" s="163">
        <f>IF(AB20&gt;0,AB20,SUM(AJ20:AL20))</f>
        <v/>
      </c>
      <c r="AN20" s="163" t="n">
        <v>1</v>
      </c>
      <c r="AO20" s="163">
        <f>AM20*AN20</f>
        <v/>
      </c>
      <c r="AQ20" s="160">
        <f>AQ19+1</f>
        <v/>
      </c>
      <c r="AR20" s="161" t="inlineStr">
        <is>
          <t>Zippy 6 Running</t>
        </is>
      </c>
      <c r="AS20" s="162" t="n"/>
      <c r="AT20" s="163">
        <f>IFERROR(VLOOKUP(AR20,'Master List'!$A:$D,2,0),0)</f>
        <v/>
      </c>
      <c r="AU20" s="163">
        <f>IFERROR(VLOOKUP(AR20,'Master List'!$A:$D,3,0),0)</f>
        <v/>
      </c>
      <c r="AV20" s="163">
        <f>IFERROR(VLOOKUP(AR20,'Master List'!$A:$D,4,0),0)</f>
        <v/>
      </c>
      <c r="AW20" s="163">
        <f>AW15+AW24</f>
        <v/>
      </c>
      <c r="AX20" s="163">
        <f>IFERROR(AU20/AV20,0)</f>
        <v/>
      </c>
      <c r="AY20" s="163">
        <f>IFERROR(IF(AW20&lt;((1/2*AV20*AX20^2)*2),1/2*AV20*SQRT((AW20/2)*2/AV20)^2,1/2*AV20*AX20^2),0)</f>
        <v/>
      </c>
      <c r="AZ20" s="163">
        <f>IFERROR(IF(AW20-AY20-BA20&lt;=0,0,AW20-AY20-BA20),0)</f>
        <v/>
      </c>
      <c r="BA20" s="163">
        <f>AY20</f>
        <v/>
      </c>
      <c r="BB20" s="163">
        <f>IFERROR(IF(AW20&lt;((1/2*AV20*AX20^2)*2),SQRT((AW20/2)*2/AV20),AX20),0)</f>
        <v/>
      </c>
      <c r="BC20" s="163">
        <f>IFERROR(AZ20/AU20,0)</f>
        <v/>
      </c>
      <c r="BD20" s="163">
        <f>BB20</f>
        <v/>
      </c>
      <c r="BE20" s="163">
        <f>IF(AT20&gt;0,AT20,SUM(BB20:BD20))</f>
        <v/>
      </c>
      <c r="BF20" s="163" t="n">
        <v>1</v>
      </c>
      <c r="BG20" s="163">
        <f>BE20*BF20</f>
        <v/>
      </c>
      <c r="BI20" s="160">
        <f>BI19+1</f>
        <v/>
      </c>
      <c r="BJ20" s="161" t="inlineStr">
        <is>
          <t>Zippy 6 Running</t>
        </is>
      </c>
      <c r="BK20" s="162" t="n"/>
      <c r="BL20" s="163">
        <f>IFERROR(VLOOKUP(BJ20,'Master List'!$A:$D,2,0),0)</f>
        <v/>
      </c>
      <c r="BM20" s="163">
        <f>IFERROR(VLOOKUP(BJ20,'Master List'!$A:$D,3,0),0)</f>
        <v/>
      </c>
      <c r="BN20" s="163">
        <f>IFERROR(VLOOKUP(BJ20,'Master List'!$A:$D,4,0),0)</f>
        <v/>
      </c>
      <c r="BO20" s="163">
        <f>BO15+BO24</f>
        <v/>
      </c>
      <c r="BP20" s="163">
        <f>IFERROR(BM20/BN20,0)</f>
        <v/>
      </c>
      <c r="BQ20" s="163">
        <f>IFERROR(IF(BO20&lt;((1/2*BN20*BP20^2)*2),1/2*BN20*SQRT((BO20/2)*2/BN20)^2,1/2*BN20*BP20^2),0)</f>
        <v/>
      </c>
      <c r="BR20" s="163">
        <f>IFERROR(IF(BO20-BQ20-BS20&lt;=0,0,BO20-BQ20-BS20),0)</f>
        <v/>
      </c>
      <c r="BS20" s="163">
        <f>BQ20</f>
        <v/>
      </c>
      <c r="BT20" s="163">
        <f>IFERROR(IF(BO20&lt;((1/2*BN20*BP20^2)*2),SQRT((BO20/2)*2/BN20),BP20),0)</f>
        <v/>
      </c>
      <c r="BU20" s="163">
        <f>IFERROR(BR20/BM20,0)</f>
        <v/>
      </c>
      <c r="BV20" s="163">
        <f>BT20</f>
        <v/>
      </c>
      <c r="BW20" s="163">
        <f>IF(BL20&gt;0,BL20,SUM(BT20:BV20))</f>
        <v/>
      </c>
      <c r="BX20" s="163" t="n">
        <v>1</v>
      </c>
      <c r="BY20" s="163">
        <f>BW20*BX20</f>
        <v/>
      </c>
    </row>
    <row r="21" ht="15" customHeight="1" s="516">
      <c r="A21" s="33">
        <f>"Single cycle - Near "&amp;C21&amp;" m"</f>
        <v/>
      </c>
      <c r="B21" s="561" t="n">
        <v>0.1</v>
      </c>
      <c r="C21" s="33">
        <f>B21*$D$12</f>
        <v/>
      </c>
      <c r="D21" s="25">
        <f>W6</f>
        <v/>
      </c>
      <c r="E21" s="36" t="n">
        <v>0.05</v>
      </c>
      <c r="G21" s="160">
        <f>G20+1</f>
        <v/>
      </c>
      <c r="H21" s="161" t="inlineStr">
        <is>
          <t>Zippy 6 90 degree Turn</t>
        </is>
      </c>
      <c r="I21" s="162" t="inlineStr">
        <is>
          <t>Turn towards X direction</t>
        </is>
      </c>
      <c r="J21" s="163">
        <f>IFERROR(VLOOKUP(H21,'Master List'!$A:$D,2,0),0)</f>
        <v/>
      </c>
      <c r="K21" s="163">
        <f>IFERROR(VLOOKUP(H21,'Master List'!$A:$D,3,0),0)</f>
        <v/>
      </c>
      <c r="L21" s="163">
        <f>IFERROR(VLOOKUP(H21,'Master List'!$A:$D,4,0),0)</f>
        <v/>
      </c>
      <c r="M21" s="163" t="n"/>
      <c r="N21" s="163">
        <f>IFERROR(K21/L21,0)</f>
        <v/>
      </c>
      <c r="O21" s="163">
        <f>IFERROR(IF(M21&lt;((1/2*L21*N21^2)*2),1/2*L21*SQRT((M21/2)*2/L21)^2,1/2*L21*N21^2),0)</f>
        <v/>
      </c>
      <c r="P21" s="163">
        <f>IFERROR(IF(M21-O21-Q21&lt;=0,0,M21-O21-Q21),0)</f>
        <v/>
      </c>
      <c r="Q21" s="163">
        <f>O21</f>
        <v/>
      </c>
      <c r="R21" s="163">
        <f>IFERROR(IF(M21&lt;((1/2*L21*N21^2)*2),SQRT((M21/2)*2/L21),N21),0)</f>
        <v/>
      </c>
      <c r="S21" s="163">
        <f>IFERROR(P21/K21,0)</f>
        <v/>
      </c>
      <c r="T21" s="163">
        <f>R21</f>
        <v/>
      </c>
      <c r="U21" s="163">
        <f>IF(J21&gt;0,J21,SUM(R21:T21))</f>
        <v/>
      </c>
      <c r="V21" s="163" t="n">
        <v>1</v>
      </c>
      <c r="W21" s="163">
        <f>U21*V21</f>
        <v/>
      </c>
      <c r="Y21" s="160">
        <f>Y20+1</f>
        <v/>
      </c>
      <c r="Z21" s="161" t="inlineStr">
        <is>
          <t>Zippy 6 90 degree Turn</t>
        </is>
      </c>
      <c r="AA21" s="162" t="n"/>
      <c r="AB21" s="163">
        <f>IFERROR(VLOOKUP(Z21,'Master List'!$A:$D,2,0),0)</f>
        <v/>
      </c>
      <c r="AC21" s="163">
        <f>IFERROR(VLOOKUP(Z21,'Master List'!$A:$D,3,0),0)</f>
        <v/>
      </c>
      <c r="AD21" s="163">
        <f>IFERROR(VLOOKUP(Z21,'Master List'!$A:$D,4,0),0)</f>
        <v/>
      </c>
      <c r="AE21" s="163" t="n"/>
      <c r="AF21" s="163">
        <f>IFERROR(AC21/AD21,0)</f>
        <v/>
      </c>
      <c r="AG21" s="163">
        <f>IFERROR(IF(AE21&lt;((1/2*AD21*AF21^2)*2),1/2*AD21*SQRT((AE21/2)*2/AD21)^2,1/2*AD21*AF21^2),0)</f>
        <v/>
      </c>
      <c r="AH21" s="163">
        <f>IFERROR(IF(AE21-AG21-AI21&lt;=0,0,AE21-AG21-AI21),0)</f>
        <v/>
      </c>
      <c r="AI21" s="163">
        <f>AG21</f>
        <v/>
      </c>
      <c r="AJ21" s="163">
        <f>IFERROR(IF(AE21&lt;((1/2*AD21*AF21^2)*2),SQRT((AE21/2)*2/AD21),AF21),0)</f>
        <v/>
      </c>
      <c r="AK21" s="163">
        <f>IFERROR(AH21/AC21,0)</f>
        <v/>
      </c>
      <c r="AL21" s="163">
        <f>AJ21</f>
        <v/>
      </c>
      <c r="AM21" s="163">
        <f>IF(AB21&gt;0,AB21,SUM(AJ21:AL21))</f>
        <v/>
      </c>
      <c r="AN21" s="163" t="n">
        <v>1</v>
      </c>
      <c r="AO21" s="163">
        <f>AM21*AN21</f>
        <v/>
      </c>
      <c r="AQ21" s="160">
        <f>AQ20+1</f>
        <v/>
      </c>
      <c r="AR21" s="161" t="inlineStr">
        <is>
          <t>Zippy 6 90 degree Turn</t>
        </is>
      </c>
      <c r="AS21" s="162" t="n"/>
      <c r="AT21" s="163">
        <f>IFERROR(VLOOKUP(AR21,'Master List'!$A:$D,2,0),0)</f>
        <v/>
      </c>
      <c r="AU21" s="163">
        <f>IFERROR(VLOOKUP(AR21,'Master List'!$A:$D,3,0),0)</f>
        <v/>
      </c>
      <c r="AV21" s="163">
        <f>IFERROR(VLOOKUP(AR21,'Master List'!$A:$D,4,0),0)</f>
        <v/>
      </c>
      <c r="AW21" s="163" t="n"/>
      <c r="AX21" s="163">
        <f>IFERROR(AU21/AV21,0)</f>
        <v/>
      </c>
      <c r="AY21" s="163">
        <f>IFERROR(IF(AW21&lt;((1/2*AV21*AX21^2)*2),1/2*AV21*SQRT((AW21/2)*2/AV21)^2,1/2*AV21*AX21^2),0)</f>
        <v/>
      </c>
      <c r="AZ21" s="163">
        <f>IFERROR(IF(AW21-AY21-BA21&lt;=0,0,AW21-AY21-BA21),0)</f>
        <v/>
      </c>
      <c r="BA21" s="163">
        <f>AY21</f>
        <v/>
      </c>
      <c r="BB21" s="163">
        <f>IFERROR(IF(AW21&lt;((1/2*AV21*AX21^2)*2),SQRT((AW21/2)*2/AV21),AX21),0)</f>
        <v/>
      </c>
      <c r="BC21" s="163">
        <f>IFERROR(AZ21/AU21,0)</f>
        <v/>
      </c>
      <c r="BD21" s="163">
        <f>BB21</f>
        <v/>
      </c>
      <c r="BE21" s="163">
        <f>IF(AT21&gt;0,AT21,SUM(BB21:BD21))</f>
        <v/>
      </c>
      <c r="BF21" s="163" t="n">
        <v>1</v>
      </c>
      <c r="BG21" s="163">
        <f>BE21*BF21</f>
        <v/>
      </c>
      <c r="BI21" s="160">
        <f>BI20+1</f>
        <v/>
      </c>
      <c r="BJ21" s="161" t="inlineStr">
        <is>
          <t>Zippy 6 90 degree Turn</t>
        </is>
      </c>
      <c r="BK21" s="162" t="n"/>
      <c r="BL21" s="163">
        <f>IFERROR(VLOOKUP(BJ21,'Master List'!$A:$D,2,0),0)</f>
        <v/>
      </c>
      <c r="BM21" s="163">
        <f>IFERROR(VLOOKUP(BJ21,'Master List'!$A:$D,3,0),0)</f>
        <v/>
      </c>
      <c r="BN21" s="163">
        <f>IFERROR(VLOOKUP(BJ21,'Master List'!$A:$D,4,0),0)</f>
        <v/>
      </c>
      <c r="BO21" s="163" t="n"/>
      <c r="BP21" s="163">
        <f>IFERROR(BM21/BN21,0)</f>
        <v/>
      </c>
      <c r="BQ21" s="163">
        <f>IFERROR(IF(BO21&lt;((1/2*BN21*BP21^2)*2),1/2*BN21*SQRT((BO21/2)*2/BN21)^2,1/2*BN21*BP21^2),0)</f>
        <v/>
      </c>
      <c r="BR21" s="163">
        <f>IFERROR(IF(BO21-BQ21-BS21&lt;=0,0,BO21-BQ21-BS21),0)</f>
        <v/>
      </c>
      <c r="BS21" s="163">
        <f>BQ21</f>
        <v/>
      </c>
      <c r="BT21" s="163">
        <f>IFERROR(IF(BO21&lt;((1/2*BN21*BP21^2)*2),SQRT((BO21/2)*2/BN21),BP21),0)</f>
        <v/>
      </c>
      <c r="BU21" s="163">
        <f>IFERROR(BR21/BM21,0)</f>
        <v/>
      </c>
      <c r="BV21" s="163">
        <f>BT21</f>
        <v/>
      </c>
      <c r="BW21" s="163">
        <f>IF(BL21&gt;0,BL21,SUM(BT21:BV21))</f>
        <v/>
      </c>
      <c r="BX21" s="163" t="n">
        <v>1</v>
      </c>
      <c r="BY21" s="163">
        <f>BW21*BX21</f>
        <v/>
      </c>
    </row>
    <row r="22" ht="15" customHeight="1" s="516">
      <c r="A22" s="33">
        <f>"Single cycle - Mid "&amp;C22&amp;" m"</f>
        <v/>
      </c>
      <c r="B22" s="561" t="n">
        <v>0.2</v>
      </c>
      <c r="C22" s="33">
        <f>B22*$D$12</f>
        <v/>
      </c>
      <c r="D22" s="25">
        <f>AO6</f>
        <v/>
      </c>
      <c r="E22" s="36" t="n">
        <v>0.45</v>
      </c>
      <c r="G22" s="160">
        <f>G21+1</f>
        <v/>
      </c>
      <c r="H22" s="161" t="inlineStr">
        <is>
          <t>Zippy 6 Running</t>
        </is>
      </c>
      <c r="I22" s="162" t="inlineStr">
        <is>
          <t>Distance travelled to move towards induction station</t>
        </is>
      </c>
      <c r="J22" s="163">
        <f>IFERROR(VLOOKUP(H22,'Master List'!$A:$D,2,0),0)</f>
        <v/>
      </c>
      <c r="K22" s="163">
        <f>IFERROR(VLOOKUP(H22,'Master List'!$A:$D,3,0),0)</f>
        <v/>
      </c>
      <c r="L22" s="163">
        <f>IFERROR(VLOOKUP(H22,'Master List'!$A:$D,4,0),0)</f>
        <v/>
      </c>
      <c r="M22" s="163">
        <f>$M$13</f>
        <v/>
      </c>
      <c r="N22" s="163">
        <f>IFERROR(K22/L22,0)</f>
        <v/>
      </c>
      <c r="O22" s="163">
        <f>IFERROR(IF(M22&lt;((1/2*L22*N22^2)*2),1/2*L22*SQRT((M22/2)*2/L22)^2,1/2*L22*N22^2),0)</f>
        <v/>
      </c>
      <c r="P22" s="163">
        <f>IFERROR(IF(M22-O22-Q22&lt;=0,0,M22-O22-Q22),0)</f>
        <v/>
      </c>
      <c r="Q22" s="163">
        <f>O22</f>
        <v/>
      </c>
      <c r="R22" s="163">
        <f>IFERROR(IF(M22&lt;((1/2*L22*N22^2)*2),SQRT((M22/2)*2/L22),N22),0)</f>
        <v/>
      </c>
      <c r="S22" s="163">
        <f>IFERROR(P22/K22,0)</f>
        <v/>
      </c>
      <c r="T22" s="163">
        <f>R22</f>
        <v/>
      </c>
      <c r="U22" s="163">
        <f>IF(J22&gt;0,J22,SUM(R22:T22))</f>
        <v/>
      </c>
      <c r="V22" s="163" t="n">
        <v>1</v>
      </c>
      <c r="W22" s="163">
        <f>U22*V22</f>
        <v/>
      </c>
      <c r="Y22" s="160">
        <f>Y21+1</f>
        <v/>
      </c>
      <c r="Z22" s="161" t="inlineStr">
        <is>
          <t>Zippy 6 Running</t>
        </is>
      </c>
      <c r="AA22" s="162" t="n"/>
      <c r="AB22" s="163">
        <f>IFERROR(VLOOKUP(Z22,'Master List'!$A:$D,2,0),0)</f>
        <v/>
      </c>
      <c r="AC22" s="163">
        <f>IFERROR(VLOOKUP(Z22,'Master List'!$A:$D,3,0),0)</f>
        <v/>
      </c>
      <c r="AD22" s="163">
        <f>IFERROR(VLOOKUP(Z22,'Master List'!$A:$D,4,0),0)</f>
        <v/>
      </c>
      <c r="AE22" s="163">
        <f>AE13</f>
        <v/>
      </c>
      <c r="AF22" s="163">
        <f>IFERROR(AC22/AD22,0)</f>
        <v/>
      </c>
      <c r="AG22" s="163">
        <f>IFERROR(IF(AE22&lt;((1/2*AD22*AF22^2)*2),1/2*AD22*SQRT((AE22/2)*2/AD22)^2,1/2*AD22*AF22^2),0)</f>
        <v/>
      </c>
      <c r="AH22" s="163">
        <f>IFERROR(IF(AE22-AG22-AI22&lt;=0,0,AE22-AG22-AI22),0)</f>
        <v/>
      </c>
      <c r="AI22" s="163">
        <f>AG22</f>
        <v/>
      </c>
      <c r="AJ22" s="163">
        <f>IFERROR(IF(AE22&lt;((1/2*AD22*AF22^2)*2),SQRT((AE22/2)*2/AD22),AF22),0)</f>
        <v/>
      </c>
      <c r="AK22" s="163">
        <f>IFERROR(AH22/AC22,0)</f>
        <v/>
      </c>
      <c r="AL22" s="163">
        <f>AJ22</f>
        <v/>
      </c>
      <c r="AM22" s="163">
        <f>IF(AB22&gt;0,AB22,SUM(AJ22:AL22))</f>
        <v/>
      </c>
      <c r="AN22" s="163" t="n">
        <v>1</v>
      </c>
      <c r="AO22" s="163">
        <f>AM22*AN22</f>
        <v/>
      </c>
      <c r="AQ22" s="160">
        <f>AQ21+1</f>
        <v/>
      </c>
      <c r="AR22" s="161" t="inlineStr">
        <is>
          <t>Zippy 6 Running</t>
        </is>
      </c>
      <c r="AS22" s="162" t="n"/>
      <c r="AT22" s="163">
        <f>IFERROR(VLOOKUP(AR22,'Master List'!$A:$D,2,0),0)</f>
        <v/>
      </c>
      <c r="AU22" s="163">
        <f>IFERROR(VLOOKUP(AR22,'Master List'!$A:$D,3,0),0)</f>
        <v/>
      </c>
      <c r="AV22" s="163">
        <f>IFERROR(VLOOKUP(AR22,'Master List'!$A:$D,4,0),0)</f>
        <v/>
      </c>
      <c r="AW22" s="163">
        <f>AW13</f>
        <v/>
      </c>
      <c r="AX22" s="163">
        <f>IFERROR(AU22/AV22,0)</f>
        <v/>
      </c>
      <c r="AY22" s="163">
        <f>IFERROR(IF(AW22&lt;((1/2*AV22*AX22^2)*2),1/2*AV22*SQRT((AW22/2)*2/AV22)^2,1/2*AV22*AX22^2),0)</f>
        <v/>
      </c>
      <c r="AZ22" s="163">
        <f>IFERROR(IF(AW22-AY22-BA22&lt;=0,0,AW22-AY22-BA22),0)</f>
        <v/>
      </c>
      <c r="BA22" s="163">
        <f>AY22</f>
        <v/>
      </c>
      <c r="BB22" s="163">
        <f>IFERROR(IF(AW22&lt;((1/2*AV22*AX22^2)*2),SQRT((AW22/2)*2/AV22),AX22),0)</f>
        <v/>
      </c>
      <c r="BC22" s="163">
        <f>IFERROR(AZ22/AU22,0)</f>
        <v/>
      </c>
      <c r="BD22" s="163">
        <f>BB22</f>
        <v/>
      </c>
      <c r="BE22" s="163">
        <f>IF(AT22&gt;0,AT22,SUM(BB22:BD22))</f>
        <v/>
      </c>
      <c r="BF22" s="163" t="n">
        <v>1</v>
      </c>
      <c r="BG22" s="163">
        <f>BE22*BF22</f>
        <v/>
      </c>
      <c r="BI22" s="160">
        <f>BI21+1</f>
        <v/>
      </c>
      <c r="BJ22" s="161" t="inlineStr">
        <is>
          <t>Zippy 6 Running</t>
        </is>
      </c>
      <c r="BK22" s="162" t="n"/>
      <c r="BL22" s="163">
        <f>IFERROR(VLOOKUP(BJ22,'Master List'!$A:$D,2,0),0)</f>
        <v/>
      </c>
      <c r="BM22" s="163">
        <f>IFERROR(VLOOKUP(BJ22,'Master List'!$A:$D,3,0),0)</f>
        <v/>
      </c>
      <c r="BN22" s="163">
        <f>IFERROR(VLOOKUP(BJ22,'Master List'!$A:$D,4,0),0)</f>
        <v/>
      </c>
      <c r="BO22" s="163">
        <f>BO13</f>
        <v/>
      </c>
      <c r="BP22" s="163">
        <f>IFERROR(BM22/BN22,0)</f>
        <v/>
      </c>
      <c r="BQ22" s="163">
        <f>IFERROR(IF(BO22&lt;((1/2*BN22*BP22^2)*2),1/2*BN22*SQRT((BO22/2)*2/BN22)^2,1/2*BN22*BP22^2),0)</f>
        <v/>
      </c>
      <c r="BR22" s="163">
        <f>IFERROR(IF(BO22-BQ22-BS22&lt;=0,0,BO22-BQ22-BS22),0)</f>
        <v/>
      </c>
      <c r="BS22" s="163">
        <f>BQ22</f>
        <v/>
      </c>
      <c r="BT22" s="163">
        <f>IFERROR(IF(BO22&lt;((1/2*BN22*BP22^2)*2),SQRT((BO22/2)*2/BN22),BP22),0)</f>
        <v/>
      </c>
      <c r="BU22" s="163">
        <f>IFERROR(BR22/BM22,0)</f>
        <v/>
      </c>
      <c r="BV22" s="163">
        <f>BT22</f>
        <v/>
      </c>
      <c r="BW22" s="163">
        <f>IF(BL22&gt;0,BL22,SUM(BT22:BV22))</f>
        <v/>
      </c>
      <c r="BX22" s="163" t="n">
        <v>1</v>
      </c>
      <c r="BY22" s="163">
        <f>BW22*BX22</f>
        <v/>
      </c>
    </row>
    <row r="23" ht="15" customHeight="1" s="516">
      <c r="A23" s="33">
        <f>"Single cycle - Far "&amp;C23&amp;" m"</f>
        <v/>
      </c>
      <c r="B23" s="561" t="n">
        <v>0.5</v>
      </c>
      <c r="C23" s="33">
        <f>B23*$D$12</f>
        <v/>
      </c>
      <c r="D23" s="25">
        <f>BG6</f>
        <v/>
      </c>
      <c r="E23" s="36" t="n">
        <v>0.45</v>
      </c>
      <c r="G23" s="160">
        <f>G22+1</f>
        <v/>
      </c>
      <c r="H23" s="161" t="inlineStr">
        <is>
          <t>Zippy 6 90 degree Turn</t>
        </is>
      </c>
      <c r="I23" s="162" t="inlineStr">
        <is>
          <t>Turn to get in queue of induction</t>
        </is>
      </c>
      <c r="J23" s="163">
        <f>IFERROR(VLOOKUP(H23,'Master List'!$A:$D,2,0),0)</f>
        <v/>
      </c>
      <c r="K23" s="163">
        <f>IFERROR(VLOOKUP(H23,'Master List'!$A:$D,3,0),0)</f>
        <v/>
      </c>
      <c r="L23" s="163">
        <f>IFERROR(VLOOKUP(H23,'Master List'!$A:$D,4,0),0)</f>
        <v/>
      </c>
      <c r="M23" s="163" t="n"/>
      <c r="N23" s="163">
        <f>IFERROR(K23/L23,0)</f>
        <v/>
      </c>
      <c r="O23" s="163">
        <f>IFERROR(IF(M23&lt;((1/2*L23*N23^2)*2),1/2*L23*SQRT((M23/2)*2/L23)^2,1/2*L23*N23^2),0)</f>
        <v/>
      </c>
      <c r="P23" s="163">
        <f>IFERROR(IF(M23-O23-Q23&lt;=0,0,M23-O23-Q23),0)</f>
        <v/>
      </c>
      <c r="Q23" s="163">
        <f>O23</f>
        <v/>
      </c>
      <c r="R23" s="163">
        <f>IFERROR(IF(M23&lt;((1/2*L23*N23^2)*2),SQRT((M23/2)*2/L23),N23),0)</f>
        <v/>
      </c>
      <c r="S23" s="163">
        <f>IFERROR(P23/K23,0)</f>
        <v/>
      </c>
      <c r="T23" s="163">
        <f>R23</f>
        <v/>
      </c>
      <c r="U23" s="163">
        <f>IF(J23&gt;0,J23,SUM(R23:T23))</f>
        <v/>
      </c>
      <c r="V23" s="163" t="n">
        <v>1</v>
      </c>
      <c r="W23" s="163">
        <f>U23*V23</f>
        <v/>
      </c>
      <c r="Y23" s="160">
        <f>Y22+1</f>
        <v/>
      </c>
      <c r="Z23" s="161" t="inlineStr">
        <is>
          <t>Zippy 6 90 degree Turn</t>
        </is>
      </c>
      <c r="AA23" s="162" t="n"/>
      <c r="AB23" s="163">
        <f>IFERROR(VLOOKUP(Z23,'Master List'!$A:$D,2,0),0)</f>
        <v/>
      </c>
      <c r="AC23" s="163">
        <f>IFERROR(VLOOKUP(Z23,'Master List'!$A:$D,3,0),0)</f>
        <v/>
      </c>
      <c r="AD23" s="163">
        <f>IFERROR(VLOOKUP(Z23,'Master List'!$A:$D,4,0),0)</f>
        <v/>
      </c>
      <c r="AE23" s="163" t="n"/>
      <c r="AF23" s="163">
        <f>IFERROR(AC23/AD23,0)</f>
        <v/>
      </c>
      <c r="AG23" s="163">
        <f>IFERROR(IF(AE23&lt;((1/2*AD23*AF23^2)*2),1/2*AD23*SQRT((AE23/2)*2/AD23)^2,1/2*AD23*AF23^2),0)</f>
        <v/>
      </c>
      <c r="AH23" s="163">
        <f>IFERROR(IF(AE23-AG23-AI23&lt;=0,0,AE23-AG23-AI23),0)</f>
        <v/>
      </c>
      <c r="AI23" s="163">
        <f>AG23</f>
        <v/>
      </c>
      <c r="AJ23" s="163">
        <f>IFERROR(IF(AE23&lt;((1/2*AD23*AF23^2)*2),SQRT((AE23/2)*2/AD23),AF23),0)</f>
        <v/>
      </c>
      <c r="AK23" s="163">
        <f>IFERROR(AH23/AC23,0)</f>
        <v/>
      </c>
      <c r="AL23" s="163">
        <f>AJ23</f>
        <v/>
      </c>
      <c r="AM23" s="163">
        <f>IF(AB23&gt;0,AB23,SUM(AJ23:AL23))</f>
        <v/>
      </c>
      <c r="AN23" s="163" t="n">
        <v>1</v>
      </c>
      <c r="AO23" s="163">
        <f>AM23*AN23</f>
        <v/>
      </c>
      <c r="AQ23" s="160">
        <f>AQ22+1</f>
        <v/>
      </c>
      <c r="AR23" s="161" t="inlineStr">
        <is>
          <t>Zippy 6 90 degree Turn</t>
        </is>
      </c>
      <c r="AS23" s="162" t="n"/>
      <c r="AT23" s="163">
        <f>IFERROR(VLOOKUP(AR23,'Master List'!$A:$D,2,0),0)</f>
        <v/>
      </c>
      <c r="AU23" s="163">
        <f>IFERROR(VLOOKUP(AR23,'Master List'!$A:$D,3,0),0)</f>
        <v/>
      </c>
      <c r="AV23" s="163">
        <f>IFERROR(VLOOKUP(AR23,'Master List'!$A:$D,4,0),0)</f>
        <v/>
      </c>
      <c r="AW23" s="163" t="n"/>
      <c r="AX23" s="163">
        <f>IFERROR(AU23/AV23,0)</f>
        <v/>
      </c>
      <c r="AY23" s="163">
        <f>IFERROR(IF(AW23&lt;((1/2*AV23*AX23^2)*2),1/2*AV23*SQRT((AW23/2)*2/AV23)^2,1/2*AV23*AX23^2),0)</f>
        <v/>
      </c>
      <c r="AZ23" s="163">
        <f>IFERROR(IF(AW23-AY23-BA23&lt;=0,0,AW23-AY23-BA23),0)</f>
        <v/>
      </c>
      <c r="BA23" s="163">
        <f>AY23</f>
        <v/>
      </c>
      <c r="BB23" s="163">
        <f>IFERROR(IF(AW23&lt;((1/2*AV23*AX23^2)*2),SQRT((AW23/2)*2/AV23),AX23),0)</f>
        <v/>
      </c>
      <c r="BC23" s="163">
        <f>IFERROR(AZ23/AU23,0)</f>
        <v/>
      </c>
      <c r="BD23" s="163">
        <f>BB23</f>
        <v/>
      </c>
      <c r="BE23" s="163">
        <f>IF(AT23&gt;0,AT23,SUM(BB23:BD23))</f>
        <v/>
      </c>
      <c r="BF23" s="163" t="n">
        <v>1</v>
      </c>
      <c r="BG23" s="163">
        <f>BE23*BF23</f>
        <v/>
      </c>
      <c r="BI23" s="160">
        <f>BI22+1</f>
        <v/>
      </c>
      <c r="BJ23" s="161" t="inlineStr">
        <is>
          <t>Zippy 6 90 degree Turn</t>
        </is>
      </c>
      <c r="BK23" s="162" t="n"/>
      <c r="BL23" s="163">
        <f>IFERROR(VLOOKUP(BJ23,'Master List'!$A:$D,2,0),0)</f>
        <v/>
      </c>
      <c r="BM23" s="163">
        <f>IFERROR(VLOOKUP(BJ23,'Master List'!$A:$D,3,0),0)</f>
        <v/>
      </c>
      <c r="BN23" s="163">
        <f>IFERROR(VLOOKUP(BJ23,'Master List'!$A:$D,4,0),0)</f>
        <v/>
      </c>
      <c r="BO23" s="163" t="n"/>
      <c r="BP23" s="163">
        <f>IFERROR(BM23/BN23,0)</f>
        <v/>
      </c>
      <c r="BQ23" s="163">
        <f>IFERROR(IF(BO23&lt;((1/2*BN23*BP23^2)*2),1/2*BN23*SQRT((BO23/2)*2/BN23)^2,1/2*BN23*BP23^2),0)</f>
        <v/>
      </c>
      <c r="BR23" s="163">
        <f>IFERROR(IF(BO23-BQ23-BS23&lt;=0,0,BO23-BQ23-BS23),0)</f>
        <v/>
      </c>
      <c r="BS23" s="163">
        <f>BQ23</f>
        <v/>
      </c>
      <c r="BT23" s="163">
        <f>IFERROR(IF(BO23&lt;((1/2*BN23*BP23^2)*2),SQRT((BO23/2)*2/BN23),BP23),0)</f>
        <v/>
      </c>
      <c r="BU23" s="163">
        <f>IFERROR(BR23/BM23,0)</f>
        <v/>
      </c>
      <c r="BV23" s="163">
        <f>BT23</f>
        <v/>
      </c>
      <c r="BW23" s="163">
        <f>IF(BL23&gt;0,BL23,SUM(BT23:BV23))</f>
        <v/>
      </c>
      <c r="BX23" s="163" t="n">
        <v>1</v>
      </c>
      <c r="BY23" s="163">
        <f>BW23*BX23</f>
        <v/>
      </c>
    </row>
    <row r="24" ht="15" customHeight="1" s="516">
      <c r="A24" s="33">
        <f>"Single cycle - Diagonally Farthest "&amp;C24&amp;" m"</f>
        <v/>
      </c>
      <c r="B24" s="561" t="n">
        <v>1</v>
      </c>
      <c r="C24" s="33">
        <f>B24*$D$12</f>
        <v/>
      </c>
      <c r="D24" s="25">
        <f>BY6</f>
        <v/>
      </c>
      <c r="E24" s="36" t="n">
        <v>0.05</v>
      </c>
      <c r="G24" s="160">
        <f>G23+1</f>
        <v/>
      </c>
      <c r="H24" s="161" t="inlineStr">
        <is>
          <t>Zippy 6 Running</t>
        </is>
      </c>
      <c r="I24" s="162" t="inlineStr">
        <is>
          <t>Distance travelled to move towards induction station</t>
        </is>
      </c>
      <c r="J24" s="163">
        <f>IFERROR(VLOOKUP(H24,'Master List'!$A:$D,2,0),0)</f>
        <v/>
      </c>
      <c r="K24" s="163">
        <f>IFERROR(VLOOKUP(H24,'Master List'!$A:$D,3,0),0)</f>
        <v/>
      </c>
      <c r="L24" s="163">
        <f>IFERROR(VLOOKUP(H24,'Master List'!$A:$D,4,0),0)</f>
        <v/>
      </c>
      <c r="M24" s="163">
        <f>2*$B$32</f>
        <v/>
      </c>
      <c r="N24" s="163">
        <f>IFERROR(K24/L24,0)</f>
        <v/>
      </c>
      <c r="O24" s="163">
        <f>IFERROR(IF(M24&lt;((1/2*L24*N24^2)*2),1/2*L24*SQRT((M24/2)*2/L24)^2,1/2*L24*N24^2),0)</f>
        <v/>
      </c>
      <c r="P24" s="163">
        <f>IFERROR(IF(M24-O24-Q24&lt;=0,0,M24-O24-Q24),0)</f>
        <v/>
      </c>
      <c r="Q24" s="163">
        <f>O24</f>
        <v/>
      </c>
      <c r="R24" s="163">
        <f>IFERROR(IF(M24&lt;((1/2*L24*N24^2)*2),SQRT((M24/2)*2/L24),N24),0)</f>
        <v/>
      </c>
      <c r="S24" s="163">
        <f>IFERROR(P24/K24,0)</f>
        <v/>
      </c>
      <c r="T24" s="163">
        <f>R24</f>
        <v/>
      </c>
      <c r="U24" s="163">
        <f>IF(J24&gt;0,J24,SUM(R24:T24))</f>
        <v/>
      </c>
      <c r="V24" s="163" t="n">
        <v>1</v>
      </c>
      <c r="W24" s="163">
        <f>U24*V24</f>
        <v/>
      </c>
      <c r="Y24" s="160">
        <f>Y23+1</f>
        <v/>
      </c>
      <c r="Z24" s="161" t="inlineStr">
        <is>
          <t>Zippy 6 Running</t>
        </is>
      </c>
      <c r="AA24" s="162" t="n"/>
      <c r="AB24" s="163">
        <f>IFERROR(VLOOKUP(Z24,'Master List'!$A:$D,2,0),0)</f>
        <v/>
      </c>
      <c r="AC24" s="163">
        <f>IFERROR(VLOOKUP(Z24,'Master List'!$A:$D,3,0),0)</f>
        <v/>
      </c>
      <c r="AD24" s="163">
        <f>IFERROR(VLOOKUP(Z24,'Master List'!$A:$D,4,0),0)</f>
        <v/>
      </c>
      <c r="AE24" s="163">
        <f>2*$B$32</f>
        <v/>
      </c>
      <c r="AF24" s="163">
        <f>IFERROR(AC24/AD24,0)</f>
        <v/>
      </c>
      <c r="AG24" s="163">
        <f>IFERROR(IF(AE24&lt;((1/2*AD24*AF24^2)*2),1/2*AD24*SQRT((AE24/2)*2/AD24)^2,1/2*AD24*AF24^2),0)</f>
        <v/>
      </c>
      <c r="AH24" s="163">
        <f>IFERROR(IF(AE24-AG24-AI24&lt;=0,0,AE24-AG24-AI24),0)</f>
        <v/>
      </c>
      <c r="AI24" s="163">
        <f>AG24</f>
        <v/>
      </c>
      <c r="AJ24" s="163">
        <f>IFERROR(IF(AE24&lt;((1/2*AD24*AF24^2)*2),SQRT((AE24/2)*2/AD24),AF24),0)</f>
        <v/>
      </c>
      <c r="AK24" s="163">
        <f>IFERROR(AH24/AC24,0)</f>
        <v/>
      </c>
      <c r="AL24" s="163">
        <f>AJ24</f>
        <v/>
      </c>
      <c r="AM24" s="163">
        <f>IF(AB24&gt;0,AB24,SUM(AJ24:AL24))</f>
        <v/>
      </c>
      <c r="AN24" s="163" t="n">
        <v>1</v>
      </c>
      <c r="AO24" s="163">
        <f>AM24*AN24</f>
        <v/>
      </c>
      <c r="AQ24" s="160">
        <f>AQ23+1</f>
        <v/>
      </c>
      <c r="AR24" s="161" t="inlineStr">
        <is>
          <t>Zippy 6 Running</t>
        </is>
      </c>
      <c r="AS24" s="162" t="n"/>
      <c r="AT24" s="163">
        <f>IFERROR(VLOOKUP(AR24,'Master List'!$A:$D,2,0),0)</f>
        <v/>
      </c>
      <c r="AU24" s="163">
        <f>IFERROR(VLOOKUP(AR24,'Master List'!$A:$D,3,0),0)</f>
        <v/>
      </c>
      <c r="AV24" s="163">
        <f>IFERROR(VLOOKUP(AR24,'Master List'!$A:$D,4,0),0)</f>
        <v/>
      </c>
      <c r="AW24" s="163">
        <f>2*$B$32</f>
        <v/>
      </c>
      <c r="AX24" s="163">
        <f>IFERROR(AU24/AV24,0)</f>
        <v/>
      </c>
      <c r="AY24" s="163">
        <f>IFERROR(IF(AW24&lt;((1/2*AV24*AX24^2)*2),1/2*AV24*SQRT((AW24/2)*2/AV24)^2,1/2*AV24*AX24^2),0)</f>
        <v/>
      </c>
      <c r="AZ24" s="163">
        <f>IFERROR(IF(AW24-AY24-BA24&lt;=0,0,AW24-AY24-BA24),0)</f>
        <v/>
      </c>
      <c r="BA24" s="163">
        <f>AY24</f>
        <v/>
      </c>
      <c r="BB24" s="163">
        <f>IFERROR(IF(AW24&lt;((1/2*AV24*AX24^2)*2),SQRT((AW24/2)*2/AV24),AX24),0)</f>
        <v/>
      </c>
      <c r="BC24" s="163">
        <f>IFERROR(AZ24/AU24,0)</f>
        <v/>
      </c>
      <c r="BD24" s="163">
        <f>BB24</f>
        <v/>
      </c>
      <c r="BE24" s="163">
        <f>IF(AT24&gt;0,AT24,SUM(BB24:BD24))</f>
        <v/>
      </c>
      <c r="BF24" s="163" t="n">
        <v>1</v>
      </c>
      <c r="BG24" s="163">
        <f>BE24*BF24</f>
        <v/>
      </c>
      <c r="BI24" s="160">
        <f>BI23+1</f>
        <v/>
      </c>
      <c r="BJ24" s="161" t="inlineStr">
        <is>
          <t>Zippy 6 Running</t>
        </is>
      </c>
      <c r="BK24" s="162" t="n"/>
      <c r="BL24" s="163">
        <f>IFERROR(VLOOKUP(BJ24,'Master List'!$A:$D,2,0),0)</f>
        <v/>
      </c>
      <c r="BM24" s="163">
        <f>IFERROR(VLOOKUP(BJ24,'Master List'!$A:$D,3,0),0)</f>
        <v/>
      </c>
      <c r="BN24" s="163">
        <f>IFERROR(VLOOKUP(BJ24,'Master List'!$A:$D,4,0),0)</f>
        <v/>
      </c>
      <c r="BO24" s="163">
        <f>2*$B$32</f>
        <v/>
      </c>
      <c r="BP24" s="163">
        <f>IFERROR(BM24/BN24,0)</f>
        <v/>
      </c>
      <c r="BQ24" s="163">
        <f>IFERROR(IF(BO24&lt;((1/2*BN24*BP24^2)*2),1/2*BN24*SQRT((BO24/2)*2/BN24)^2,1/2*BN24*BP24^2),0)</f>
        <v/>
      </c>
      <c r="BR24" s="163">
        <f>IFERROR(IF(BO24-BQ24-BS24&lt;=0,0,BO24-BQ24-BS24),0)</f>
        <v/>
      </c>
      <c r="BS24" s="163">
        <f>BQ24</f>
        <v/>
      </c>
      <c r="BT24" s="163">
        <f>IFERROR(IF(BO24&lt;((1/2*BN24*BP24^2)*2),SQRT((BO24/2)*2/BN24),BP24),0)</f>
        <v/>
      </c>
      <c r="BU24" s="163">
        <f>IFERROR(BR24/BM24,0)</f>
        <v/>
      </c>
      <c r="BV24" s="163">
        <f>BT24</f>
        <v/>
      </c>
      <c r="BW24" s="163">
        <f>IF(BL24&gt;0,BL24,SUM(BT24:BV24))</f>
        <v/>
      </c>
      <c r="BX24" s="163" t="n">
        <v>1</v>
      </c>
      <c r="BY24" s="163">
        <f>BW24*BX24</f>
        <v/>
      </c>
    </row>
    <row r="25">
      <c r="E25" s="44">
        <f>SUM(E21:E24)</f>
        <v/>
      </c>
      <c r="G25" s="160">
        <f>G24+1</f>
        <v/>
      </c>
      <c r="H25" s="165" t="n"/>
      <c r="I25" s="162" t="n"/>
      <c r="J25" s="163">
        <f>IFERROR(VLOOKUP(H25,'Master List'!$A:$D,2,0),0)</f>
        <v/>
      </c>
      <c r="K25" s="163">
        <f>IFERROR(VLOOKUP(H25,'Master List'!$A:$D,3,0),0)</f>
        <v/>
      </c>
      <c r="L25" s="163">
        <f>IFERROR(VLOOKUP(H25,'Master List'!$A:$D,4,0),0)</f>
        <v/>
      </c>
      <c r="M25" s="163" t="n">
        <v>0</v>
      </c>
      <c r="N25" s="163">
        <f>IFERROR(K25/L25,0)</f>
        <v/>
      </c>
      <c r="O25" s="163">
        <f>IFERROR(IF(M25&lt;((1/2*L25*N25^2)*2),1/2*L25*SQRT((M25/2)*2/L25)^2,1/2*L25*N25^2),0)</f>
        <v/>
      </c>
      <c r="P25" s="163">
        <f>IFERROR(IF(M25-O25-Q25&lt;=0,0,M25-O25-Q25),0)</f>
        <v/>
      </c>
      <c r="Q25" s="163">
        <f>O25</f>
        <v/>
      </c>
      <c r="R25" s="163">
        <f>IFERROR(IF(M25&lt;((1/2*L25*N25^2)*2),SQRT((M25/2)*2/L25),N25),0)</f>
        <v/>
      </c>
      <c r="S25" s="163">
        <f>IFERROR(P25/K25,0)</f>
        <v/>
      </c>
      <c r="T25" s="163">
        <f>R25</f>
        <v/>
      </c>
      <c r="U25" s="163">
        <f>IF(J25&gt;0,J25,SUM(R25:T25))</f>
        <v/>
      </c>
      <c r="V25" s="163" t="n"/>
      <c r="W25" s="163">
        <f>U25*V25</f>
        <v/>
      </c>
      <c r="Y25" s="160">
        <f>Y24+1</f>
        <v/>
      </c>
      <c r="Z25" s="165" t="n"/>
      <c r="AA25" s="162" t="n"/>
      <c r="AB25" s="163">
        <f>IFERROR(VLOOKUP(Z25,'Master List'!$A:$D,2,0),0)</f>
        <v/>
      </c>
      <c r="AC25" s="163">
        <f>IFERROR(VLOOKUP(Z25,'Master List'!$A:$D,3,0),0)</f>
        <v/>
      </c>
      <c r="AD25" s="163">
        <f>IFERROR(VLOOKUP(Z25,'Master List'!$A:$D,4,0),0)</f>
        <v/>
      </c>
      <c r="AE25" s="163" t="n"/>
      <c r="AF25" s="163">
        <f>IFERROR(AC25/AD25,0)</f>
        <v/>
      </c>
      <c r="AG25" s="163">
        <f>IFERROR(IF(AE25&lt;((1/2*AD25*AF25^2)*2),1/2*AD25*SQRT((AE25/2)*2/AD25)^2,1/2*AD25*AF25^2),0)</f>
        <v/>
      </c>
      <c r="AH25" s="163">
        <f>IFERROR(IF(AE25-AG25-AI25&lt;=0,0,AE25-AG25-AI25),0)</f>
        <v/>
      </c>
      <c r="AI25" s="163">
        <f>AG25</f>
        <v/>
      </c>
      <c r="AJ25" s="163">
        <f>IFERROR(IF(AE25&lt;((1/2*AD25*AF25^2)*2),SQRT((AE25/2)*2/AD25),AF25),0)</f>
        <v/>
      </c>
      <c r="AK25" s="163">
        <f>IFERROR(AH25/AC25,0)</f>
        <v/>
      </c>
      <c r="AL25" s="163">
        <f>AJ25</f>
        <v/>
      </c>
      <c r="AM25" s="163">
        <f>IF(AB25&gt;0,AB25,SUM(AJ25:AL25))</f>
        <v/>
      </c>
      <c r="AN25" s="163" t="n"/>
      <c r="AO25" s="163">
        <f>AM25*AN25</f>
        <v/>
      </c>
      <c r="AQ25" s="160">
        <f>AQ24+1</f>
        <v/>
      </c>
      <c r="AR25" s="165" t="n"/>
      <c r="AS25" s="162" t="n"/>
      <c r="AT25" s="163">
        <f>IFERROR(VLOOKUP(AR25,'Master List'!$A:$D,2,0),0)</f>
        <v/>
      </c>
      <c r="AU25" s="163">
        <f>IFERROR(VLOOKUP(AR25,'Master List'!$A:$D,3,0),0)</f>
        <v/>
      </c>
      <c r="AV25" s="163">
        <f>IFERROR(VLOOKUP(AR25,'Master List'!$A:$D,4,0),0)</f>
        <v/>
      </c>
      <c r="AW25" s="163" t="n"/>
      <c r="AX25" s="163">
        <f>IFERROR(AU25/AV25,0)</f>
        <v/>
      </c>
      <c r="AY25" s="163">
        <f>IFERROR(IF(AW25&lt;((1/2*AV25*AX25^2)*2),1/2*AV25*SQRT((AW25/2)*2/AV25)^2,1/2*AV25*AX25^2),0)</f>
        <v/>
      </c>
      <c r="AZ25" s="163">
        <f>IFERROR(IF(AW25-AY25-BA25&lt;=0,0,AW25-AY25-BA25),0)</f>
        <v/>
      </c>
      <c r="BA25" s="163">
        <f>AY25</f>
        <v/>
      </c>
      <c r="BB25" s="163">
        <f>IFERROR(IF(AW25&lt;((1/2*AV25*AX25^2)*2),SQRT((AW25/2)*2/AV25),AX25),0)</f>
        <v/>
      </c>
      <c r="BC25" s="163">
        <f>IFERROR(AZ25/AU25,0)</f>
        <v/>
      </c>
      <c r="BD25" s="163">
        <f>BB25</f>
        <v/>
      </c>
      <c r="BE25" s="163">
        <f>IF(AT25&gt;0,AT25,SUM(BB25:BD25))</f>
        <v/>
      </c>
      <c r="BF25" s="163" t="n"/>
      <c r="BG25" s="163">
        <f>BE25*BF25</f>
        <v/>
      </c>
      <c r="BI25" s="160">
        <f>BI24+1</f>
        <v/>
      </c>
      <c r="BJ25" s="165" t="n"/>
      <c r="BK25" s="162" t="n"/>
      <c r="BL25" s="163">
        <f>IFERROR(VLOOKUP(BJ25,'Master List'!$A:$D,2,0),0)</f>
        <v/>
      </c>
      <c r="BM25" s="163">
        <f>IFERROR(VLOOKUP(BJ25,'Master List'!$A:$D,3,0),0)</f>
        <v/>
      </c>
      <c r="BN25" s="163">
        <f>IFERROR(VLOOKUP(BJ25,'Master List'!$A:$D,4,0),0)</f>
        <v/>
      </c>
      <c r="BO25" s="163" t="n"/>
      <c r="BP25" s="163">
        <f>IFERROR(BM25/BN25,0)</f>
        <v/>
      </c>
      <c r="BQ25" s="163">
        <f>IFERROR(IF(BO25&lt;((1/2*BN25*BP25^2)*2),1/2*BN25*SQRT((BO25/2)*2/BN25)^2,1/2*BN25*BP25^2),0)</f>
        <v/>
      </c>
      <c r="BR25" s="163">
        <f>IFERROR(IF(BO25-BQ25-BS25&lt;=0,0,BO25-BQ25-BS25),0)</f>
        <v/>
      </c>
      <c r="BS25" s="163">
        <f>BQ25</f>
        <v/>
      </c>
      <c r="BT25" s="163">
        <f>IFERROR(IF(BO25&lt;((1/2*BN25*BP25^2)*2),SQRT((BO25/2)*2/BN25),BP25),0)</f>
        <v/>
      </c>
      <c r="BU25" s="163">
        <f>IFERROR(BR25/BM25,0)</f>
        <v/>
      </c>
      <c r="BV25" s="163">
        <f>BT25</f>
        <v/>
      </c>
      <c r="BW25" s="163">
        <f>IF(BL25&gt;0,BL25,SUM(BT25:BV25))</f>
        <v/>
      </c>
      <c r="BX25" s="163" t="n"/>
      <c r="BY25" s="163">
        <f>BW25*BX25</f>
        <v/>
      </c>
    </row>
    <row r="26">
      <c r="A26" s="33" t="n"/>
      <c r="B26" s="34" t="inlineStr">
        <is>
          <t>% of distance travelled in Y direction</t>
        </is>
      </c>
      <c r="C26" s="34" t="inlineStr">
        <is>
          <t>Distance travelled M</t>
        </is>
      </c>
      <c r="G26" s="160">
        <f>G25+1</f>
        <v/>
      </c>
      <c r="H26" s="165" t="n"/>
      <c r="I26" s="162" t="n"/>
      <c r="J26" s="163">
        <f>IFERROR(VLOOKUP(H26,'Master List'!$A:$D,2,0),0)</f>
        <v/>
      </c>
      <c r="K26" s="163">
        <f>IFERROR(VLOOKUP(H26,'Master List'!$A:$D,3,0),0)</f>
        <v/>
      </c>
      <c r="L26" s="163">
        <f>IFERROR(VLOOKUP(H26,'Master List'!$A:$D,4,0),0)</f>
        <v/>
      </c>
      <c r="M26" s="163" t="n">
        <v>0</v>
      </c>
      <c r="N26" s="163">
        <f>IFERROR(K26/L26,0)</f>
        <v/>
      </c>
      <c r="O26" s="163">
        <f>IFERROR(IF(M26&lt;((1/2*L26*N26^2)*2),1/2*L26*SQRT((M26/2)*2/L26)^2,1/2*L26*N26^2),0)</f>
        <v/>
      </c>
      <c r="P26" s="163">
        <f>IFERROR(IF(M26-O26-Q26&lt;=0,0,M26-O26-Q26),0)</f>
        <v/>
      </c>
      <c r="Q26" s="163">
        <f>O26</f>
        <v/>
      </c>
      <c r="R26" s="163">
        <f>IFERROR(IF(M26&lt;((1/2*L26*N26^2)*2),SQRT((M26/2)*2/L26),N26),0)</f>
        <v/>
      </c>
      <c r="S26" s="163">
        <f>IFERROR(P26/K26,0)</f>
        <v/>
      </c>
      <c r="T26" s="163">
        <f>R26</f>
        <v/>
      </c>
      <c r="U26" s="163">
        <f>IF(J26&gt;0,J26,SUM(R26:T26))</f>
        <v/>
      </c>
      <c r="V26" s="163" t="n"/>
      <c r="W26" s="163">
        <f>U26*V26</f>
        <v/>
      </c>
      <c r="Y26" s="160">
        <f>Y25+1</f>
        <v/>
      </c>
      <c r="Z26" s="165" t="n"/>
      <c r="AA26" s="162" t="n"/>
      <c r="AB26" s="163">
        <f>IFERROR(VLOOKUP(Z26,'Master List'!$A:$D,2,0),0)</f>
        <v/>
      </c>
      <c r="AC26" s="163">
        <f>IFERROR(VLOOKUP(Z26,'Master List'!$A:$D,3,0),0)</f>
        <v/>
      </c>
      <c r="AD26" s="163">
        <f>IFERROR(VLOOKUP(Z26,'Master List'!$A:$D,4,0),0)</f>
        <v/>
      </c>
      <c r="AE26" s="163" t="n"/>
      <c r="AF26" s="163">
        <f>IFERROR(AC26/AD26,0)</f>
        <v/>
      </c>
      <c r="AG26" s="163">
        <f>IFERROR(IF(AE26&lt;((1/2*AD26*AF26^2)*2),1/2*AD26*SQRT((AE26/2)*2/AD26)^2,1/2*AD26*AF26^2),0)</f>
        <v/>
      </c>
      <c r="AH26" s="163">
        <f>IFERROR(IF(AE26-AG26-AI26&lt;=0,0,AE26-AG26-AI26),0)</f>
        <v/>
      </c>
      <c r="AI26" s="163">
        <f>AG26</f>
        <v/>
      </c>
      <c r="AJ26" s="163">
        <f>IFERROR(IF(AE26&lt;((1/2*AD26*AF26^2)*2),SQRT((AE26/2)*2/AD26),AF26),0)</f>
        <v/>
      </c>
      <c r="AK26" s="163">
        <f>IFERROR(AH26/AC26,0)</f>
        <v/>
      </c>
      <c r="AL26" s="163">
        <f>AJ26</f>
        <v/>
      </c>
      <c r="AM26" s="163">
        <f>IF(AB26&gt;0,AB26,SUM(AJ26:AL26))</f>
        <v/>
      </c>
      <c r="AN26" s="163" t="n"/>
      <c r="AO26" s="163">
        <f>AM26*AN26</f>
        <v/>
      </c>
      <c r="AQ26" s="160">
        <f>AQ25+1</f>
        <v/>
      </c>
      <c r="AR26" s="165" t="n"/>
      <c r="AS26" s="162" t="n"/>
      <c r="AT26" s="163">
        <f>IFERROR(VLOOKUP(AR26,'Master List'!$A:$D,2,0),0)</f>
        <v/>
      </c>
      <c r="AU26" s="163">
        <f>IFERROR(VLOOKUP(AR26,'Master List'!$A:$D,3,0),0)</f>
        <v/>
      </c>
      <c r="AV26" s="163">
        <f>IFERROR(VLOOKUP(AR26,'Master List'!$A:$D,4,0),0)</f>
        <v/>
      </c>
      <c r="AW26" s="163" t="n"/>
      <c r="AX26" s="163">
        <f>IFERROR(AU26/AV26,0)</f>
        <v/>
      </c>
      <c r="AY26" s="163">
        <f>IFERROR(IF(AW26&lt;((1/2*AV26*AX26^2)*2),1/2*AV26*SQRT((AW26/2)*2/AV26)^2,1/2*AV26*AX26^2),0)</f>
        <v/>
      </c>
      <c r="AZ26" s="163">
        <f>IFERROR(IF(AW26-AY26-BA26&lt;=0,0,AW26-AY26-BA26),0)</f>
        <v/>
      </c>
      <c r="BA26" s="163">
        <f>AY26</f>
        <v/>
      </c>
      <c r="BB26" s="163">
        <f>IFERROR(IF(AW26&lt;((1/2*AV26*AX26^2)*2),SQRT((AW26/2)*2/AV26),AX26),0)</f>
        <v/>
      </c>
      <c r="BC26" s="163">
        <f>IFERROR(AZ26/AU26,0)</f>
        <v/>
      </c>
      <c r="BD26" s="163">
        <f>BB26</f>
        <v/>
      </c>
      <c r="BE26" s="163">
        <f>IF(AT26&gt;0,AT26,SUM(BB26:BD26))</f>
        <v/>
      </c>
      <c r="BF26" s="163" t="n"/>
      <c r="BG26" s="163">
        <f>BE26*BF26</f>
        <v/>
      </c>
      <c r="BI26" s="160">
        <f>BI25+1</f>
        <v/>
      </c>
      <c r="BJ26" s="165" t="n"/>
      <c r="BK26" s="162" t="n"/>
      <c r="BL26" s="163">
        <f>IFERROR(VLOOKUP(BJ26,'Master List'!$A:$D,2,0),0)</f>
        <v/>
      </c>
      <c r="BM26" s="163">
        <f>IFERROR(VLOOKUP(BJ26,'Master List'!$A:$D,3,0),0)</f>
        <v/>
      </c>
      <c r="BN26" s="163">
        <f>IFERROR(VLOOKUP(BJ26,'Master List'!$A:$D,4,0),0)</f>
        <v/>
      </c>
      <c r="BO26" s="163" t="n"/>
      <c r="BP26" s="163">
        <f>IFERROR(BM26/BN26,0)</f>
        <v/>
      </c>
      <c r="BQ26" s="163">
        <f>IFERROR(IF(BO26&lt;((1/2*BN26*BP26^2)*2),1/2*BN26*SQRT((BO26/2)*2/BN26)^2,1/2*BN26*BP26^2),0)</f>
        <v/>
      </c>
      <c r="BR26" s="163">
        <f>IFERROR(IF(BO26-BQ26-BS26&lt;=0,0,BO26-BQ26-BS26),0)</f>
        <v/>
      </c>
      <c r="BS26" s="163">
        <f>BQ26</f>
        <v/>
      </c>
      <c r="BT26" s="163">
        <f>IFERROR(IF(BO26&lt;((1/2*BN26*BP26^2)*2),SQRT((BO26/2)*2/BN26),BP26),0)</f>
        <v/>
      </c>
      <c r="BU26" s="163">
        <f>IFERROR(BR26/BM26,0)</f>
        <v/>
      </c>
      <c r="BV26" s="163">
        <f>BT26</f>
        <v/>
      </c>
      <c r="BW26" s="163">
        <f>IF(BL26&gt;0,BL26,SUM(BT26:BV26))</f>
        <v/>
      </c>
      <c r="BX26" s="163" t="n"/>
      <c r="BY26" s="163">
        <f>BW26*BX26</f>
        <v/>
      </c>
    </row>
    <row r="27">
      <c r="A27" s="33">
        <f>"Single cycle - Near "&amp;C27&amp;" m"</f>
        <v/>
      </c>
      <c r="B27" s="561" t="n">
        <v>0.1</v>
      </c>
      <c r="C27" s="33">
        <f>(B27*$D$13)+$B$14</f>
        <v/>
      </c>
      <c r="G27" s="160">
        <f>G26+1</f>
        <v/>
      </c>
      <c r="H27" s="165" t="n"/>
      <c r="I27" s="162" t="n"/>
      <c r="J27" s="163">
        <f>IFERROR(VLOOKUP(H27,'Master List'!$A:$D,2,0),0)</f>
        <v/>
      </c>
      <c r="K27" s="163">
        <f>IFERROR(VLOOKUP(H27,'Master List'!$A:$D,3,0),0)</f>
        <v/>
      </c>
      <c r="L27" s="163">
        <f>IFERROR(VLOOKUP(H27,'Master List'!$A:$D,4,0),0)</f>
        <v/>
      </c>
      <c r="M27" s="163" t="n">
        <v>0</v>
      </c>
      <c r="N27" s="163">
        <f>IFERROR(K27/L27,0)</f>
        <v/>
      </c>
      <c r="O27" s="163">
        <f>IFERROR(IF(M27&lt;((1/2*L27*N27^2)*2),1/2*L27*SQRT((M27/2)*2/L27)^2,1/2*L27*N27^2),0)</f>
        <v/>
      </c>
      <c r="P27" s="163">
        <f>IFERROR(IF(M27-O27-Q27&lt;=0,0,M27-O27-Q27),0)</f>
        <v/>
      </c>
      <c r="Q27" s="163">
        <f>O27</f>
        <v/>
      </c>
      <c r="R27" s="163">
        <f>IFERROR(IF(M27&lt;((1/2*L27*N27^2)*2),SQRT((M27/2)*2/L27),N27),0)</f>
        <v/>
      </c>
      <c r="S27" s="163">
        <f>IFERROR(P27/K27,0)</f>
        <v/>
      </c>
      <c r="T27" s="163">
        <f>R27</f>
        <v/>
      </c>
      <c r="U27" s="163">
        <f>IF(J27&gt;0,J27,SUM(R27:T27))</f>
        <v/>
      </c>
      <c r="V27" s="163" t="n"/>
      <c r="W27" s="163">
        <f>U27*V27</f>
        <v/>
      </c>
      <c r="Y27" s="160">
        <f>Y26+1</f>
        <v/>
      </c>
      <c r="Z27" s="165" t="n"/>
      <c r="AA27" s="162" t="n"/>
      <c r="AB27" s="163">
        <f>IFERROR(VLOOKUP(Z27,'Master List'!$A:$D,2,0),0)</f>
        <v/>
      </c>
      <c r="AC27" s="163">
        <f>IFERROR(VLOOKUP(Z27,'Master List'!$A:$D,3,0),0)</f>
        <v/>
      </c>
      <c r="AD27" s="163">
        <f>IFERROR(VLOOKUP(Z27,'Master List'!$A:$D,4,0),0)</f>
        <v/>
      </c>
      <c r="AE27" s="163" t="n"/>
      <c r="AF27" s="163">
        <f>IFERROR(AC27/AD27,0)</f>
        <v/>
      </c>
      <c r="AG27" s="163">
        <f>IFERROR(IF(AE27&lt;((1/2*AD27*AF27^2)*2),1/2*AD27*SQRT((AE27/2)*2/AD27)^2,1/2*AD27*AF27^2),0)</f>
        <v/>
      </c>
      <c r="AH27" s="163">
        <f>IFERROR(IF(AE27-AG27-AI27&lt;=0,0,AE27-AG27-AI27),0)</f>
        <v/>
      </c>
      <c r="AI27" s="163">
        <f>AG27</f>
        <v/>
      </c>
      <c r="AJ27" s="163">
        <f>IFERROR(IF(AE27&lt;((1/2*AD27*AF27^2)*2),SQRT((AE27/2)*2/AD27),AF27),0)</f>
        <v/>
      </c>
      <c r="AK27" s="163">
        <f>IFERROR(AH27/AC27,0)</f>
        <v/>
      </c>
      <c r="AL27" s="163">
        <f>AJ27</f>
        <v/>
      </c>
      <c r="AM27" s="163">
        <f>IF(AB27&gt;0,AB27,SUM(AJ27:AL27))</f>
        <v/>
      </c>
      <c r="AN27" s="163" t="n"/>
      <c r="AO27" s="163">
        <f>AM27*AN27</f>
        <v/>
      </c>
      <c r="AQ27" s="160">
        <f>AQ26+1</f>
        <v/>
      </c>
      <c r="AR27" s="165" t="n"/>
      <c r="AS27" s="162" t="n"/>
      <c r="AT27" s="163">
        <f>IFERROR(VLOOKUP(AR27,'Master List'!$A:$D,2,0),0)</f>
        <v/>
      </c>
      <c r="AU27" s="163">
        <f>IFERROR(VLOOKUP(AR27,'Master List'!$A:$D,3,0),0)</f>
        <v/>
      </c>
      <c r="AV27" s="163">
        <f>IFERROR(VLOOKUP(AR27,'Master List'!$A:$D,4,0),0)</f>
        <v/>
      </c>
      <c r="AW27" s="163" t="n"/>
      <c r="AX27" s="163">
        <f>IFERROR(AU27/AV27,0)</f>
        <v/>
      </c>
      <c r="AY27" s="163">
        <f>IFERROR(IF(AW27&lt;((1/2*AV27*AX27^2)*2),1/2*AV27*SQRT((AW27/2)*2/AV27)^2,1/2*AV27*AX27^2),0)</f>
        <v/>
      </c>
      <c r="AZ27" s="163">
        <f>IFERROR(IF(AW27-AY27-BA27&lt;=0,0,AW27-AY27-BA27),0)</f>
        <v/>
      </c>
      <c r="BA27" s="163">
        <f>AY27</f>
        <v/>
      </c>
      <c r="BB27" s="163">
        <f>IFERROR(IF(AW27&lt;((1/2*AV27*AX27^2)*2),SQRT((AW27/2)*2/AV27),AX27),0)</f>
        <v/>
      </c>
      <c r="BC27" s="163">
        <f>IFERROR(AZ27/AU27,0)</f>
        <v/>
      </c>
      <c r="BD27" s="163">
        <f>BB27</f>
        <v/>
      </c>
      <c r="BE27" s="163">
        <f>IF(AT27&gt;0,AT27,SUM(BB27:BD27))</f>
        <v/>
      </c>
      <c r="BF27" s="163" t="n"/>
      <c r="BG27" s="163">
        <f>BE27*BF27</f>
        <v/>
      </c>
      <c r="BI27" s="160">
        <f>BI26+1</f>
        <v/>
      </c>
      <c r="BJ27" s="165" t="n"/>
      <c r="BK27" s="162" t="n"/>
      <c r="BL27" s="163">
        <f>IFERROR(VLOOKUP(BJ27,'Master List'!$A:$D,2,0),0)</f>
        <v/>
      </c>
      <c r="BM27" s="163">
        <f>IFERROR(VLOOKUP(BJ27,'Master List'!$A:$D,3,0),0)</f>
        <v/>
      </c>
      <c r="BN27" s="163">
        <f>IFERROR(VLOOKUP(BJ27,'Master List'!$A:$D,4,0),0)</f>
        <v/>
      </c>
      <c r="BO27" s="163" t="n"/>
      <c r="BP27" s="163">
        <f>IFERROR(BM27/BN27,0)</f>
        <v/>
      </c>
      <c r="BQ27" s="163">
        <f>IFERROR(IF(BO27&lt;((1/2*BN27*BP27^2)*2),1/2*BN27*SQRT((BO27/2)*2/BN27)^2,1/2*BN27*BP27^2),0)</f>
        <v/>
      </c>
      <c r="BR27" s="163">
        <f>IFERROR(IF(BO27-BQ27-BS27&lt;=0,0,BO27-BQ27-BS27),0)</f>
        <v/>
      </c>
      <c r="BS27" s="163">
        <f>BQ27</f>
        <v/>
      </c>
      <c r="BT27" s="163">
        <f>IFERROR(IF(BO27&lt;((1/2*BN27*BP27^2)*2),SQRT((BO27/2)*2/BN27),BP27),0)</f>
        <v/>
      </c>
      <c r="BU27" s="163">
        <f>IFERROR(BR27/BM27,0)</f>
        <v/>
      </c>
      <c r="BV27" s="163">
        <f>BT27</f>
        <v/>
      </c>
      <c r="BW27" s="163">
        <f>IF(BL27&gt;0,BL27,SUM(BT27:BV27))</f>
        <v/>
      </c>
      <c r="BX27" s="163" t="n"/>
      <c r="BY27" s="163">
        <f>BW27*BX27</f>
        <v/>
      </c>
    </row>
    <row r="28">
      <c r="A28" s="33">
        <f>"Single cycle - Mid "&amp;C28&amp;" m"</f>
        <v/>
      </c>
      <c r="B28" s="561" t="n">
        <v>0.2</v>
      </c>
      <c r="C28" s="33">
        <f>(B28*$D$13)+$B$14</f>
        <v/>
      </c>
      <c r="G28" s="160">
        <f>G27+1</f>
        <v/>
      </c>
      <c r="H28" s="165" t="n"/>
      <c r="I28" s="162" t="n"/>
      <c r="J28" s="163">
        <f>IFERROR(VLOOKUP(H28,'Master List'!$A:$D,2,0),0)</f>
        <v/>
      </c>
      <c r="K28" s="163">
        <f>IFERROR(VLOOKUP(H28,'Master List'!$A:$D,3,0),0)</f>
        <v/>
      </c>
      <c r="L28" s="163">
        <f>IFERROR(VLOOKUP(H28,'Master List'!$A:$D,4,0),0)</f>
        <v/>
      </c>
      <c r="M28" s="163" t="n">
        <v>0</v>
      </c>
      <c r="N28" s="163">
        <f>IFERROR(K28/L28,0)</f>
        <v/>
      </c>
      <c r="O28" s="163">
        <f>IFERROR(IF(M28&lt;((1/2*L28*N28^2)*2),1/2*L28*SQRT((M28/2)*2/L28)^2,1/2*L28*N28^2),0)</f>
        <v/>
      </c>
      <c r="P28" s="163">
        <f>IFERROR(IF(M28-O28-Q28&lt;=0,0,M28-O28-Q28),0)</f>
        <v/>
      </c>
      <c r="Q28" s="163">
        <f>O28</f>
        <v/>
      </c>
      <c r="R28" s="163">
        <f>IFERROR(IF(M28&lt;((1/2*L28*N28^2)*2),SQRT((M28/2)*2/L28),N28),0)</f>
        <v/>
      </c>
      <c r="S28" s="163">
        <f>IFERROR(P28/K28,0)</f>
        <v/>
      </c>
      <c r="T28" s="163">
        <f>R28</f>
        <v/>
      </c>
      <c r="U28" s="163">
        <f>IF(J28&gt;0,J28,SUM(R28:T28))</f>
        <v/>
      </c>
      <c r="V28" s="163" t="n"/>
      <c r="W28" s="163">
        <f>U28*V28</f>
        <v/>
      </c>
      <c r="Y28" s="160">
        <f>Y27+1</f>
        <v/>
      </c>
      <c r="Z28" s="165" t="n"/>
      <c r="AA28" s="162" t="n"/>
      <c r="AB28" s="163">
        <f>IFERROR(VLOOKUP(Z28,'Master List'!$A:$D,2,0),0)</f>
        <v/>
      </c>
      <c r="AC28" s="163">
        <f>IFERROR(VLOOKUP(Z28,'Master List'!$A:$D,3,0),0)</f>
        <v/>
      </c>
      <c r="AD28" s="163">
        <f>IFERROR(VLOOKUP(Z28,'Master List'!$A:$D,4,0),0)</f>
        <v/>
      </c>
      <c r="AE28" s="163" t="n"/>
      <c r="AF28" s="163">
        <f>IFERROR(AC28/AD28,0)</f>
        <v/>
      </c>
      <c r="AG28" s="163">
        <f>IFERROR(IF(AE28&lt;((1/2*AD28*AF28^2)*2),1/2*AD28*SQRT((AE28/2)*2/AD28)^2,1/2*AD28*AF28^2),0)</f>
        <v/>
      </c>
      <c r="AH28" s="163">
        <f>IFERROR(IF(AE28-AG28-AI28&lt;=0,0,AE28-AG28-AI28),0)</f>
        <v/>
      </c>
      <c r="AI28" s="163">
        <f>AG28</f>
        <v/>
      </c>
      <c r="AJ28" s="163">
        <f>IFERROR(IF(AE28&lt;((1/2*AD28*AF28^2)*2),SQRT((AE28/2)*2/AD28),AF28),0)</f>
        <v/>
      </c>
      <c r="AK28" s="163">
        <f>IFERROR(AH28/AC28,0)</f>
        <v/>
      </c>
      <c r="AL28" s="163">
        <f>AJ28</f>
        <v/>
      </c>
      <c r="AM28" s="163">
        <f>IF(AB28&gt;0,AB28,SUM(AJ28:AL28))</f>
        <v/>
      </c>
      <c r="AN28" s="163" t="n"/>
      <c r="AO28" s="163">
        <f>AM28*AN28</f>
        <v/>
      </c>
      <c r="AQ28" s="160">
        <f>AQ27+1</f>
        <v/>
      </c>
      <c r="AR28" s="165" t="n"/>
      <c r="AS28" s="162" t="n"/>
      <c r="AT28" s="163">
        <f>IFERROR(VLOOKUP(AR28,'Master List'!$A:$D,2,0),0)</f>
        <v/>
      </c>
      <c r="AU28" s="163">
        <f>IFERROR(VLOOKUP(AR28,'Master List'!$A:$D,3,0),0)</f>
        <v/>
      </c>
      <c r="AV28" s="163">
        <f>IFERROR(VLOOKUP(AR28,'Master List'!$A:$D,4,0),0)</f>
        <v/>
      </c>
      <c r="AW28" s="163" t="n"/>
      <c r="AX28" s="163">
        <f>IFERROR(AU28/AV28,0)</f>
        <v/>
      </c>
      <c r="AY28" s="163">
        <f>IFERROR(IF(AW28&lt;((1/2*AV28*AX28^2)*2),1/2*AV28*SQRT((AW28/2)*2/AV28)^2,1/2*AV28*AX28^2),0)</f>
        <v/>
      </c>
      <c r="AZ28" s="163">
        <f>IFERROR(IF(AW28-AY28-BA28&lt;=0,0,AW28-AY28-BA28),0)</f>
        <v/>
      </c>
      <c r="BA28" s="163">
        <f>AY28</f>
        <v/>
      </c>
      <c r="BB28" s="163">
        <f>IFERROR(IF(AW28&lt;((1/2*AV28*AX28^2)*2),SQRT((AW28/2)*2/AV28),AX28),0)</f>
        <v/>
      </c>
      <c r="BC28" s="163">
        <f>IFERROR(AZ28/AU28,0)</f>
        <v/>
      </c>
      <c r="BD28" s="163">
        <f>BB28</f>
        <v/>
      </c>
      <c r="BE28" s="163">
        <f>IF(AT28&gt;0,AT28,SUM(BB28:BD28))</f>
        <v/>
      </c>
      <c r="BF28" s="163" t="n"/>
      <c r="BG28" s="163">
        <f>BE28*BF28</f>
        <v/>
      </c>
      <c r="BI28" s="160">
        <f>BI27+1</f>
        <v/>
      </c>
      <c r="BJ28" s="165" t="n"/>
      <c r="BK28" s="162" t="n"/>
      <c r="BL28" s="163">
        <f>IFERROR(VLOOKUP(BJ28,'Master List'!$A:$D,2,0),0)</f>
        <v/>
      </c>
      <c r="BM28" s="163">
        <f>IFERROR(VLOOKUP(BJ28,'Master List'!$A:$D,3,0),0)</f>
        <v/>
      </c>
      <c r="BN28" s="163">
        <f>IFERROR(VLOOKUP(BJ28,'Master List'!$A:$D,4,0),0)</f>
        <v/>
      </c>
      <c r="BO28" s="163" t="n"/>
      <c r="BP28" s="163">
        <f>IFERROR(BM28/BN28,0)</f>
        <v/>
      </c>
      <c r="BQ28" s="163">
        <f>IFERROR(IF(BO28&lt;((1/2*BN28*BP28^2)*2),1/2*BN28*SQRT((BO28/2)*2/BN28)^2,1/2*BN28*BP28^2),0)</f>
        <v/>
      </c>
      <c r="BR28" s="163">
        <f>IFERROR(IF(BO28-BQ28-BS28&lt;=0,0,BO28-BQ28-BS28),0)</f>
        <v/>
      </c>
      <c r="BS28" s="163">
        <f>BQ28</f>
        <v/>
      </c>
      <c r="BT28" s="163">
        <f>IFERROR(IF(BO28&lt;((1/2*BN28*BP28^2)*2),SQRT((BO28/2)*2/BN28),BP28),0)</f>
        <v/>
      </c>
      <c r="BU28" s="163">
        <f>IFERROR(BR28/BM28,0)</f>
        <v/>
      </c>
      <c r="BV28" s="163">
        <f>BT28</f>
        <v/>
      </c>
      <c r="BW28" s="163">
        <f>IF(BL28&gt;0,BL28,SUM(BT28:BV28))</f>
        <v/>
      </c>
      <c r="BX28" s="163" t="n"/>
      <c r="BY28" s="163">
        <f>BW28*BX28</f>
        <v/>
      </c>
    </row>
    <row r="29">
      <c r="A29" s="33">
        <f>"Single cycle - Far "&amp;C29&amp;" m"</f>
        <v/>
      </c>
      <c r="B29" s="561" t="n">
        <v>0.5</v>
      </c>
      <c r="C29" s="33">
        <f>(B29*$D$13)+$B$14</f>
        <v/>
      </c>
      <c r="G29" s="160">
        <f>G28+1</f>
        <v/>
      </c>
      <c r="H29" s="165" t="n"/>
      <c r="I29" s="162" t="n"/>
      <c r="J29" s="163">
        <f>IFERROR(VLOOKUP(H29,'Master List'!$A:$D,2,0),0)</f>
        <v/>
      </c>
      <c r="K29" s="163">
        <f>IFERROR(VLOOKUP(H29,'Master List'!$A:$D,3,0),0)</f>
        <v/>
      </c>
      <c r="L29" s="163">
        <f>IFERROR(VLOOKUP(H29,'Master List'!$A:$D,4,0),0)</f>
        <v/>
      </c>
      <c r="M29" s="163" t="n">
        <v>0</v>
      </c>
      <c r="N29" s="163">
        <f>IFERROR(K29/L29,0)</f>
        <v/>
      </c>
      <c r="O29" s="163">
        <f>IFERROR(IF(M29&lt;((1/2*L29*N29^2)*2),1/2*L29*SQRT((M29/2)*2/L29)^2,1/2*L29*N29^2),0)</f>
        <v/>
      </c>
      <c r="P29" s="163">
        <f>IFERROR(IF(M29-O29-Q29&lt;=0,0,M29-O29-Q29),0)</f>
        <v/>
      </c>
      <c r="Q29" s="163">
        <f>O29</f>
        <v/>
      </c>
      <c r="R29" s="163">
        <f>IFERROR(IF(M29&lt;((1/2*L29*N29^2)*2),SQRT((M29/2)*2/L29),N29),0)</f>
        <v/>
      </c>
      <c r="S29" s="163">
        <f>IFERROR(P29/K29,0)</f>
        <v/>
      </c>
      <c r="T29" s="163">
        <f>R29</f>
        <v/>
      </c>
      <c r="U29" s="163">
        <f>IF(J29&gt;0,J29,SUM(R29:T29))</f>
        <v/>
      </c>
      <c r="V29" s="163" t="n"/>
      <c r="W29" s="163">
        <f>U29*V29</f>
        <v/>
      </c>
      <c r="Y29" s="160">
        <f>Y28+1</f>
        <v/>
      </c>
      <c r="Z29" s="165" t="n"/>
      <c r="AA29" s="162" t="n"/>
      <c r="AB29" s="163">
        <f>IFERROR(VLOOKUP(Z29,'Master List'!$A:$D,2,0),0)</f>
        <v/>
      </c>
      <c r="AC29" s="163">
        <f>IFERROR(VLOOKUP(Z29,'Master List'!$A:$D,3,0),0)</f>
        <v/>
      </c>
      <c r="AD29" s="163">
        <f>IFERROR(VLOOKUP(Z29,'Master List'!$A:$D,4,0),0)</f>
        <v/>
      </c>
      <c r="AE29" s="163" t="n"/>
      <c r="AF29" s="163">
        <f>IFERROR(AC29/AD29,0)</f>
        <v/>
      </c>
      <c r="AG29" s="163">
        <f>IFERROR(IF(AE29&lt;((1/2*AD29*AF29^2)*2),1/2*AD29*SQRT((AE29/2)*2/AD29)^2,1/2*AD29*AF29^2),0)</f>
        <v/>
      </c>
      <c r="AH29" s="163">
        <f>IFERROR(IF(AE29-AG29-AI29&lt;=0,0,AE29-AG29-AI29),0)</f>
        <v/>
      </c>
      <c r="AI29" s="163">
        <f>AG29</f>
        <v/>
      </c>
      <c r="AJ29" s="163">
        <f>IFERROR(IF(AE29&lt;((1/2*AD29*AF29^2)*2),SQRT((AE29/2)*2/AD29),AF29),0)</f>
        <v/>
      </c>
      <c r="AK29" s="163">
        <f>IFERROR(AH29/AC29,0)</f>
        <v/>
      </c>
      <c r="AL29" s="163">
        <f>AJ29</f>
        <v/>
      </c>
      <c r="AM29" s="163">
        <f>IF(AB29&gt;0,AB29,SUM(AJ29:AL29))</f>
        <v/>
      </c>
      <c r="AN29" s="163" t="n"/>
      <c r="AO29" s="163">
        <f>AM29*AN29</f>
        <v/>
      </c>
      <c r="AQ29" s="160">
        <f>AQ28+1</f>
        <v/>
      </c>
      <c r="AR29" s="165" t="n"/>
      <c r="AS29" s="162" t="n"/>
      <c r="AT29" s="163">
        <f>IFERROR(VLOOKUP(AR29,'Master List'!$A:$D,2,0),0)</f>
        <v/>
      </c>
      <c r="AU29" s="163">
        <f>IFERROR(VLOOKUP(AR29,'Master List'!$A:$D,3,0),0)</f>
        <v/>
      </c>
      <c r="AV29" s="163">
        <f>IFERROR(VLOOKUP(AR29,'Master List'!$A:$D,4,0),0)</f>
        <v/>
      </c>
      <c r="AW29" s="163" t="n"/>
      <c r="AX29" s="163">
        <f>IFERROR(AU29/AV29,0)</f>
        <v/>
      </c>
      <c r="AY29" s="163">
        <f>IFERROR(IF(AW29&lt;((1/2*AV29*AX29^2)*2),1/2*AV29*SQRT((AW29/2)*2/AV29)^2,1/2*AV29*AX29^2),0)</f>
        <v/>
      </c>
      <c r="AZ29" s="163">
        <f>IFERROR(IF(AW29-AY29-BA29&lt;=0,0,AW29-AY29-BA29),0)</f>
        <v/>
      </c>
      <c r="BA29" s="163">
        <f>AY29</f>
        <v/>
      </c>
      <c r="BB29" s="163">
        <f>IFERROR(IF(AW29&lt;((1/2*AV29*AX29^2)*2),SQRT((AW29/2)*2/AV29),AX29),0)</f>
        <v/>
      </c>
      <c r="BC29" s="163">
        <f>IFERROR(AZ29/AU29,0)</f>
        <v/>
      </c>
      <c r="BD29" s="163">
        <f>BB29</f>
        <v/>
      </c>
      <c r="BE29" s="163">
        <f>IF(AT29&gt;0,AT29,SUM(BB29:BD29))</f>
        <v/>
      </c>
      <c r="BF29" s="163" t="n"/>
      <c r="BG29" s="163">
        <f>BE29*BF29</f>
        <v/>
      </c>
      <c r="BI29" s="160">
        <f>BI28+1</f>
        <v/>
      </c>
      <c r="BJ29" s="165" t="n"/>
      <c r="BK29" s="162" t="n"/>
      <c r="BL29" s="163">
        <f>IFERROR(VLOOKUP(BJ29,'Master List'!$A:$D,2,0),0)</f>
        <v/>
      </c>
      <c r="BM29" s="163">
        <f>IFERROR(VLOOKUP(BJ29,'Master List'!$A:$D,3,0),0)</f>
        <v/>
      </c>
      <c r="BN29" s="163">
        <f>IFERROR(VLOOKUP(BJ29,'Master List'!$A:$D,4,0),0)</f>
        <v/>
      </c>
      <c r="BO29" s="163" t="n"/>
      <c r="BP29" s="163">
        <f>IFERROR(BM29/BN29,0)</f>
        <v/>
      </c>
      <c r="BQ29" s="163">
        <f>IFERROR(IF(BO29&lt;((1/2*BN29*BP29^2)*2),1/2*BN29*SQRT((BO29/2)*2/BN29)^2,1/2*BN29*BP29^2),0)</f>
        <v/>
      </c>
      <c r="BR29" s="163">
        <f>IFERROR(IF(BO29-BQ29-BS29&lt;=0,0,BO29-BQ29-BS29),0)</f>
        <v/>
      </c>
      <c r="BS29" s="163">
        <f>BQ29</f>
        <v/>
      </c>
      <c r="BT29" s="163">
        <f>IFERROR(IF(BO29&lt;((1/2*BN29*BP29^2)*2),SQRT((BO29/2)*2/BN29),BP29),0)</f>
        <v/>
      </c>
      <c r="BU29" s="163">
        <f>IFERROR(BR29/BM29,0)</f>
        <v/>
      </c>
      <c r="BV29" s="163">
        <f>BT29</f>
        <v/>
      </c>
      <c r="BW29" s="163">
        <f>IF(BL29&gt;0,BL29,SUM(BT29:BV29))</f>
        <v/>
      </c>
      <c r="BX29" s="163" t="n"/>
      <c r="BY29" s="163">
        <f>BW29*BX29</f>
        <v/>
      </c>
    </row>
    <row r="30">
      <c r="A30" s="33">
        <f>"Single cycle - Diagonally Farthest "&amp;C30&amp;" m"</f>
        <v/>
      </c>
      <c r="B30" s="561" t="n">
        <v>1</v>
      </c>
      <c r="C30" s="33">
        <f>(B30*$D$13)+$B$14</f>
        <v/>
      </c>
      <c r="G30" s="160">
        <f>G29+1</f>
        <v/>
      </c>
      <c r="H30" s="165" t="n"/>
      <c r="I30" s="162" t="n"/>
      <c r="J30" s="163">
        <f>IFERROR(VLOOKUP(H30,'Master List'!$A:$D,2,0),0)</f>
        <v/>
      </c>
      <c r="K30" s="163">
        <f>IFERROR(VLOOKUP(H30,'Master List'!$A:$D,3,0),0)</f>
        <v/>
      </c>
      <c r="L30" s="163">
        <f>IFERROR(VLOOKUP(H30,'Master List'!$A:$D,4,0),0)</f>
        <v/>
      </c>
      <c r="M30" s="163" t="n">
        <v>0</v>
      </c>
      <c r="N30" s="163">
        <f>IFERROR(K30/L30,0)</f>
        <v/>
      </c>
      <c r="O30" s="163">
        <f>IFERROR(IF(M30&lt;((1/2*L30*N30^2)*2),1/2*L30*SQRT((M30/2)*2/L30)^2,1/2*L30*N30^2),0)</f>
        <v/>
      </c>
      <c r="P30" s="163">
        <f>IFERROR(IF(M30-O30-Q30&lt;=0,0,M30-O30-Q30),0)</f>
        <v/>
      </c>
      <c r="Q30" s="163">
        <f>O30</f>
        <v/>
      </c>
      <c r="R30" s="163">
        <f>IFERROR(IF(M30&lt;((1/2*L30*N30^2)*2),SQRT((M30/2)*2/L30),N30),0)</f>
        <v/>
      </c>
      <c r="S30" s="163">
        <f>IFERROR(P30/K30,0)</f>
        <v/>
      </c>
      <c r="T30" s="163">
        <f>R30</f>
        <v/>
      </c>
      <c r="U30" s="163">
        <f>IF(J30&gt;0,J30,SUM(R30:T30))</f>
        <v/>
      </c>
      <c r="V30" s="163" t="n"/>
      <c r="W30" s="163">
        <f>U30*V30</f>
        <v/>
      </c>
      <c r="Y30" s="160">
        <f>Y29+1</f>
        <v/>
      </c>
      <c r="Z30" s="165" t="n"/>
      <c r="AA30" s="162" t="n"/>
      <c r="AB30" s="163">
        <f>IFERROR(VLOOKUP(Z30,'Master List'!$A:$D,2,0),0)</f>
        <v/>
      </c>
      <c r="AC30" s="163">
        <f>IFERROR(VLOOKUP(Z30,'Master List'!$A:$D,3,0),0)</f>
        <v/>
      </c>
      <c r="AD30" s="163">
        <f>IFERROR(VLOOKUP(Z30,'Master List'!$A:$D,4,0),0)</f>
        <v/>
      </c>
      <c r="AE30" s="163" t="n"/>
      <c r="AF30" s="163">
        <f>IFERROR(AC30/AD30,0)</f>
        <v/>
      </c>
      <c r="AG30" s="163">
        <f>IFERROR(IF(AE30&lt;((1/2*AD30*AF30^2)*2),1/2*AD30*SQRT((AE30/2)*2/AD30)^2,1/2*AD30*AF30^2),0)</f>
        <v/>
      </c>
      <c r="AH30" s="163">
        <f>IFERROR(IF(AE30-AG30-AI30&lt;=0,0,AE30-AG30-AI30),0)</f>
        <v/>
      </c>
      <c r="AI30" s="163">
        <f>AG30</f>
        <v/>
      </c>
      <c r="AJ30" s="163">
        <f>IFERROR(IF(AE30&lt;((1/2*AD30*AF30^2)*2),SQRT((AE30/2)*2/AD30),AF30),0)</f>
        <v/>
      </c>
      <c r="AK30" s="163">
        <f>IFERROR(AH30/AC30,0)</f>
        <v/>
      </c>
      <c r="AL30" s="163">
        <f>AJ30</f>
        <v/>
      </c>
      <c r="AM30" s="163">
        <f>IF(AB30&gt;0,AB30,SUM(AJ30:AL30))</f>
        <v/>
      </c>
      <c r="AN30" s="163" t="n"/>
      <c r="AO30" s="163">
        <f>AM30*AN30</f>
        <v/>
      </c>
      <c r="AQ30" s="160">
        <f>AQ29+1</f>
        <v/>
      </c>
      <c r="AR30" s="165" t="n"/>
      <c r="AS30" s="162" t="n"/>
      <c r="AT30" s="163">
        <f>IFERROR(VLOOKUP(AR30,'Master List'!$A:$D,2,0),0)</f>
        <v/>
      </c>
      <c r="AU30" s="163">
        <f>IFERROR(VLOOKUP(AR30,'Master List'!$A:$D,3,0),0)</f>
        <v/>
      </c>
      <c r="AV30" s="163">
        <f>IFERROR(VLOOKUP(AR30,'Master List'!$A:$D,4,0),0)</f>
        <v/>
      </c>
      <c r="AW30" s="163" t="n"/>
      <c r="AX30" s="163">
        <f>IFERROR(AU30/AV30,0)</f>
        <v/>
      </c>
      <c r="AY30" s="163">
        <f>IFERROR(IF(AW30&lt;((1/2*AV30*AX30^2)*2),1/2*AV30*SQRT((AW30/2)*2/AV30)^2,1/2*AV30*AX30^2),0)</f>
        <v/>
      </c>
      <c r="AZ30" s="163">
        <f>IFERROR(IF(AW30-AY30-BA30&lt;=0,0,AW30-AY30-BA30),0)</f>
        <v/>
      </c>
      <c r="BA30" s="163">
        <f>AY30</f>
        <v/>
      </c>
      <c r="BB30" s="163">
        <f>IFERROR(IF(AW30&lt;((1/2*AV30*AX30^2)*2),SQRT((AW30/2)*2/AV30),AX30),0)</f>
        <v/>
      </c>
      <c r="BC30" s="163">
        <f>IFERROR(AZ30/AU30,0)</f>
        <v/>
      </c>
      <c r="BD30" s="163">
        <f>BB30</f>
        <v/>
      </c>
      <c r="BE30" s="163">
        <f>IF(AT30&gt;0,AT30,SUM(BB30:BD30))</f>
        <v/>
      </c>
      <c r="BF30" s="163" t="n"/>
      <c r="BG30" s="163">
        <f>BE30*BF30</f>
        <v/>
      </c>
      <c r="BI30" s="160">
        <f>BI29+1</f>
        <v/>
      </c>
      <c r="BJ30" s="165" t="n"/>
      <c r="BK30" s="162" t="n"/>
      <c r="BL30" s="163">
        <f>IFERROR(VLOOKUP(BJ30,'Master List'!$A:$D,2,0),0)</f>
        <v/>
      </c>
      <c r="BM30" s="163">
        <f>IFERROR(VLOOKUP(BJ30,'Master List'!$A:$D,3,0),0)</f>
        <v/>
      </c>
      <c r="BN30" s="163">
        <f>IFERROR(VLOOKUP(BJ30,'Master List'!$A:$D,4,0),0)</f>
        <v/>
      </c>
      <c r="BO30" s="163" t="n"/>
      <c r="BP30" s="163">
        <f>IFERROR(BM30/BN30,0)</f>
        <v/>
      </c>
      <c r="BQ30" s="163">
        <f>IFERROR(IF(BO30&lt;((1/2*BN30*BP30^2)*2),1/2*BN30*SQRT((BO30/2)*2/BN30)^2,1/2*BN30*BP30^2),0)</f>
        <v/>
      </c>
      <c r="BR30" s="163">
        <f>IFERROR(IF(BO30-BQ30-BS30&lt;=0,0,BO30-BQ30-BS30),0)</f>
        <v/>
      </c>
      <c r="BS30" s="163">
        <f>BQ30</f>
        <v/>
      </c>
      <c r="BT30" s="163">
        <f>IFERROR(IF(BO30&lt;((1/2*BN30*BP30^2)*2),SQRT((BO30/2)*2/BN30),BP30),0)</f>
        <v/>
      </c>
      <c r="BU30" s="163">
        <f>IFERROR(BR30/BM30,0)</f>
        <v/>
      </c>
      <c r="BV30" s="163">
        <f>BT30</f>
        <v/>
      </c>
      <c r="BW30" s="163">
        <f>IF(BL30&gt;0,BL30,SUM(BT30:BV30))</f>
        <v/>
      </c>
      <c r="BX30" s="163" t="n"/>
      <c r="BY30" s="163">
        <f>BW30*BX30</f>
        <v/>
      </c>
    </row>
    <row r="31">
      <c r="BO31" s="219" t="n"/>
    </row>
    <row r="32">
      <c r="A32" s="37" t="inlineStr">
        <is>
          <t>Barcode distance m (Grid size)</t>
        </is>
      </c>
      <c r="B32" s="37" t="n">
        <v>0.6</v>
      </c>
    </row>
    <row r="33">
      <c r="A33" s="1" t="inlineStr">
        <is>
          <t>Barcodes per zippy</t>
        </is>
      </c>
      <c r="B33" s="1" t="n">
        <v>8</v>
      </c>
    </row>
    <row r="36" ht="15" customHeight="1" s="516">
      <c r="H36" s="216" t="n"/>
      <c r="I36" s="216" t="n"/>
    </row>
    <row r="37" ht="15" customHeight="1" s="516">
      <c r="H37" s="216" t="n"/>
      <c r="I37" s="216" t="n"/>
    </row>
    <row r="38" ht="15" customHeight="1" s="516">
      <c r="H38" s="216" t="n"/>
      <c r="I38" s="216" t="n"/>
    </row>
    <row r="39" ht="15" customHeight="1" s="516">
      <c r="H39" s="216" t="n"/>
      <c r="I39" s="216" t="n"/>
    </row>
  </sheetData>
  <mergeCells count="24">
    <mergeCell ref="AR8:BF8"/>
    <mergeCell ref="Y6:Y10"/>
    <mergeCell ref="BJ9:BX9"/>
    <mergeCell ref="Z7:AN7"/>
    <mergeCell ref="H6:V6"/>
    <mergeCell ref="BJ6:BX6"/>
    <mergeCell ref="Z8:AN8"/>
    <mergeCell ref="BJ8:BX8"/>
    <mergeCell ref="AQ6:AQ10"/>
    <mergeCell ref="H7:V7"/>
    <mergeCell ref="BJ7:BX7"/>
    <mergeCell ref="AR6:BF6"/>
    <mergeCell ref="Y5:AO5"/>
    <mergeCell ref="Z9:AN9"/>
    <mergeCell ref="H8:V8"/>
    <mergeCell ref="AQ5:BG5"/>
    <mergeCell ref="G5:W5"/>
    <mergeCell ref="Z6:AN6"/>
    <mergeCell ref="BI5:BY5"/>
    <mergeCell ref="AR7:BF7"/>
    <mergeCell ref="H9:V9"/>
    <mergeCell ref="G6:G10"/>
    <mergeCell ref="AR9:BF9"/>
    <mergeCell ref="BI6:BI10"/>
  </mergeCells>
  <conditionalFormatting sqref="B7:B8 B10">
    <cfRule type="cellIs" priority="20" operator="lessThan" dxfId="1">
      <formula>$B$33</formula>
    </cfRule>
  </conditionalFormatting>
  <conditionalFormatting sqref="E25">
    <cfRule type="cellIs" priority="3" operator="notEqual" dxfId="0">
      <formula>1</formula>
    </cfRule>
  </conditionalFormatting>
  <pageMargins left="0.7" right="0.7" top="0.75" bottom="0.75" header="0.3" footer="0.3"/>
  <pageSetup orientation="landscape" scale="79"/>
  <drawing r:id="rId1"/>
</worksheet>
</file>

<file path=xl/worksheets/sheet4.xml><?xml version="1.0" encoding="utf-8"?>
<worksheet xmlns:r="http://schemas.openxmlformats.org/officeDocument/2006/relationships" xmlns="http://schemas.openxmlformats.org/spreadsheetml/2006/main">
  <sheetPr codeName="Sheet4">
    <tabColor rgb="FFFFC000"/>
    <outlinePr summaryBelow="1" summaryRight="1"/>
    <pageSetUpPr fitToPage="1"/>
  </sheetPr>
  <dimension ref="A1:CA39"/>
  <sheetViews>
    <sheetView showGridLines="0" zoomScale="70" zoomScaleNormal="70" workbookViewId="0">
      <selection activeCell="G14" sqref="G14"/>
    </sheetView>
  </sheetViews>
  <sheetFormatPr baseColWidth="10" defaultColWidth="8.6640625" defaultRowHeight="14"/>
  <cols>
    <col width="37.83203125" customWidth="1" style="1" min="1" max="1"/>
    <col width="35" bestFit="1" customWidth="1" style="1" min="2" max="2"/>
    <col width="21.5" bestFit="1" customWidth="1" style="1" min="3" max="3"/>
    <col width="11.33203125" bestFit="1" customWidth="1" style="1" min="4" max="4"/>
    <col width="11.6640625" bestFit="1" customWidth="1" style="1" min="5" max="5"/>
    <col width="30.83203125" customWidth="1" style="147" min="6" max="6"/>
    <col width="8.5" customWidth="1" style="153" min="7" max="7"/>
    <col width="24.6640625" customWidth="1" style="218" min="8" max="8"/>
    <col width="63.1640625" customWidth="1" style="218" min="9" max="9"/>
    <col hidden="1" width="11.5" customWidth="1" style="153" min="10" max="10"/>
    <col hidden="1" width="6.5" customWidth="1" style="153" min="11" max="11"/>
    <col hidden="1" width="11.6640625" customWidth="1" style="153" min="12" max="12"/>
    <col hidden="1" width="9.33203125" customWidth="1" style="218" min="13" max="13"/>
    <col hidden="1" width="10.6640625" customWidth="1" style="153" min="14" max="14"/>
    <col width="12.5" customWidth="1" style="153" min="15" max="15"/>
    <col hidden="1" width="9.5" customWidth="1" style="153" min="16" max="16"/>
    <col hidden="1" width="11.6640625" customWidth="1" style="153" min="17" max="17"/>
    <col hidden="1" width="11.5" customWidth="1" style="153" min="18" max="18"/>
    <col hidden="1" width="8.6640625" customWidth="1" style="153" min="19" max="19"/>
    <col hidden="1" width="11.33203125" customWidth="1" style="153" min="20" max="20"/>
    <col width="8.6640625" customWidth="1" style="153" min="21" max="21"/>
    <col width="9.33203125" customWidth="1" style="218" min="22" max="22"/>
    <col width="14.33203125" customWidth="1" style="153" min="23" max="23"/>
    <col width="8.6640625" customWidth="1" style="153" min="24" max="25"/>
    <col width="24.6640625" customWidth="1" style="218" min="26" max="26"/>
    <col width="27.6640625" customWidth="1" style="218" min="27" max="27"/>
    <col hidden="1" width="8.6640625" customWidth="1" style="153" min="28" max="30"/>
    <col width="8.6640625" customWidth="1" style="218" min="31" max="31"/>
    <col hidden="1" width="8.6640625" customWidth="1" style="153" min="32" max="38"/>
    <col width="8.6640625" customWidth="1" style="153" min="39" max="39"/>
    <col width="8.6640625" customWidth="1" style="218" min="40" max="40"/>
    <col width="8.6640625" customWidth="1" style="153" min="41" max="43"/>
    <col width="24.6640625" customWidth="1" style="218" min="44" max="44"/>
    <col width="32.6640625" customWidth="1" style="218" min="45" max="45"/>
    <col hidden="1" width="8.6640625" customWidth="1" style="153" min="46" max="48"/>
    <col width="8.6640625" customWidth="1" style="218" min="49" max="49"/>
    <col hidden="1" width="8.6640625" customWidth="1" style="153" min="50" max="56"/>
    <col width="8.6640625" customWidth="1" style="153" min="57" max="57"/>
    <col width="8.6640625" customWidth="1" style="218" min="58" max="58"/>
    <col width="8.6640625" customWidth="1" style="153" min="59" max="61"/>
    <col width="24.6640625" customWidth="1" style="218" min="62" max="62"/>
    <col width="23.83203125" customWidth="1" style="218" min="63" max="63"/>
    <col hidden="1" width="8.6640625" customWidth="1" style="153" min="64" max="66"/>
    <col width="8.6640625" customWidth="1" style="218" min="67" max="67"/>
    <col hidden="1" width="8.6640625" customWidth="1" style="153" min="68" max="74"/>
    <col width="8.6640625" customWidth="1" style="153" min="75" max="75"/>
    <col width="8.6640625" customWidth="1" style="218" min="76" max="76"/>
    <col width="8.6640625" customWidth="1" style="153" min="77" max="77"/>
    <col width="8.6640625" customWidth="1" style="148" min="78" max="79"/>
    <col width="8.6640625" customWidth="1" style="1" min="80" max="80"/>
    <col width="17.33203125" bestFit="1" customWidth="1" style="1" min="81" max="81"/>
    <col width="12.6640625" bestFit="1" customWidth="1" style="1" min="82" max="82"/>
    <col width="10.5" bestFit="1" customWidth="1" style="1" min="83" max="83"/>
    <col width="8.6640625" customWidth="1" style="1" min="84" max="84"/>
    <col width="8.6640625" customWidth="1" style="1" min="85" max="16384"/>
  </cols>
  <sheetData>
    <row r="1" ht="47" customFormat="1" customHeight="1" s="24">
      <c r="A1" s="1" t="n"/>
      <c r="B1" s="144">
        <f>'Master List'!$F$2</f>
        <v/>
      </c>
      <c r="C1" s="1" t="n"/>
      <c r="D1" s="1" t="n"/>
      <c r="E1" s="1" t="n"/>
      <c r="F1" s="147" t="n"/>
      <c r="G1" s="214" t="n"/>
      <c r="H1" s="215" t="n"/>
      <c r="I1" s="214" t="n"/>
      <c r="J1" s="214" t="n"/>
      <c r="K1" s="214" t="n"/>
      <c r="L1" s="214" t="n"/>
      <c r="M1" s="214" t="n"/>
      <c r="N1" s="214" t="n"/>
      <c r="O1" s="214" t="n"/>
      <c r="P1" s="214" t="n"/>
      <c r="Q1" s="214" t="n"/>
      <c r="R1" s="214" t="n"/>
      <c r="S1" s="214" t="n"/>
      <c r="T1" s="214" t="n"/>
      <c r="U1" s="214" t="n"/>
      <c r="V1" s="216" t="n"/>
      <c r="W1" s="216" t="n"/>
      <c r="X1" s="214" t="n"/>
      <c r="Y1" s="214" t="n"/>
      <c r="Z1" s="214" t="n"/>
      <c r="AA1" s="214" t="n"/>
      <c r="AB1" s="214" t="n"/>
      <c r="AC1" s="214" t="n"/>
      <c r="AD1" s="214" t="n"/>
      <c r="AE1" s="214" t="n"/>
      <c r="AF1" s="214" t="n"/>
      <c r="AG1" s="214" t="n"/>
      <c r="AH1" s="214" t="n"/>
      <c r="AI1" s="214" t="n"/>
      <c r="AJ1" s="214" t="n"/>
      <c r="AK1" s="214" t="n"/>
      <c r="AL1" s="214" t="n"/>
      <c r="AM1" s="214" t="n"/>
      <c r="AN1" s="214" t="n"/>
      <c r="AO1" s="214" t="n"/>
      <c r="AP1" s="214" t="n"/>
      <c r="AQ1" s="214" t="n"/>
      <c r="AR1" s="214" t="n"/>
      <c r="AS1" s="214" t="n"/>
      <c r="AT1" s="214" t="n"/>
      <c r="AU1" s="214" t="n"/>
      <c r="AV1" s="214" t="n"/>
      <c r="AW1" s="214" t="n"/>
      <c r="AX1" s="214" t="n"/>
      <c r="AY1" s="214" t="n"/>
      <c r="AZ1" s="214" t="n"/>
      <c r="BA1" s="214" t="n"/>
      <c r="BB1" s="214" t="n"/>
      <c r="BC1" s="214" t="n"/>
      <c r="BD1" s="214" t="n"/>
      <c r="BE1" s="214" t="n"/>
      <c r="BF1" s="214" t="n"/>
      <c r="BG1" s="214" t="n"/>
      <c r="BH1" s="214" t="n"/>
      <c r="BI1" s="214" t="n"/>
      <c r="BJ1" s="214" t="n"/>
      <c r="BK1" s="214" t="n"/>
      <c r="BL1" s="214" t="n"/>
      <c r="BM1" s="214" t="n"/>
      <c r="BN1" s="214" t="n"/>
      <c r="BO1" s="214" t="n"/>
      <c r="BP1" s="214" t="n"/>
      <c r="BQ1" s="214" t="n"/>
      <c r="BR1" s="214" t="n"/>
      <c r="BS1" s="214" t="n"/>
      <c r="BT1" s="214" t="n"/>
      <c r="BU1" s="214" t="n"/>
      <c r="BV1" s="214" t="n"/>
      <c r="BW1" s="214" t="n"/>
      <c r="BX1" s="214" t="n"/>
      <c r="BY1" s="214" t="n"/>
      <c r="BZ1" s="149" t="n"/>
      <c r="CA1" s="149" t="n"/>
    </row>
    <row r="2" ht="18.5" customFormat="1" customHeight="1" s="24">
      <c r="A2" s="34" t="inlineStr">
        <is>
          <t>Equipment</t>
        </is>
      </c>
      <c r="B2" s="33" t="inlineStr">
        <is>
          <t>Zippy 10</t>
        </is>
      </c>
      <c r="C2" s="1" t="n"/>
      <c r="D2" s="1" t="n"/>
      <c r="E2" s="1" t="n"/>
      <c r="F2" s="147" t="n"/>
      <c r="G2" s="214" t="n"/>
      <c r="H2" s="215" t="n"/>
      <c r="I2" s="214" t="n"/>
      <c r="J2" s="214" t="n"/>
      <c r="K2" s="214" t="n"/>
      <c r="L2" s="214" t="n"/>
      <c r="M2" s="214" t="n"/>
      <c r="N2" s="214" t="n"/>
      <c r="O2" s="214" t="n"/>
      <c r="P2" s="214" t="n"/>
      <c r="Q2" s="214" t="n"/>
      <c r="R2" s="214" t="n"/>
      <c r="S2" s="214" t="n"/>
      <c r="T2" s="214" t="n"/>
      <c r="U2" s="214" t="n"/>
      <c r="V2" s="216" t="n"/>
      <c r="W2" s="216" t="n"/>
      <c r="X2" s="214" t="n"/>
      <c r="Y2" s="214" t="n"/>
      <c r="Z2" s="214" t="n"/>
      <c r="AA2" s="214" t="n"/>
      <c r="AB2" s="214" t="n"/>
      <c r="AC2" s="214" t="n"/>
      <c r="AD2" s="214" t="n"/>
      <c r="AE2" s="214" t="n"/>
      <c r="AF2" s="214" t="n"/>
      <c r="AG2" s="214" t="n"/>
      <c r="AH2" s="214" t="n"/>
      <c r="AI2" s="214" t="n"/>
      <c r="AJ2" s="214" t="n"/>
      <c r="AK2" s="214" t="n"/>
      <c r="AL2" s="214" t="n"/>
      <c r="AM2" s="214" t="n"/>
      <c r="AN2" s="214" t="n"/>
      <c r="AO2" s="214" t="n"/>
      <c r="AP2" s="214" t="n"/>
      <c r="AQ2" s="214" t="n"/>
      <c r="AR2" s="214" t="n"/>
      <c r="AS2" s="214" t="n"/>
      <c r="AT2" s="214" t="n"/>
      <c r="AU2" s="214" t="n"/>
      <c r="AV2" s="214" t="n"/>
      <c r="AW2" s="214" t="n"/>
      <c r="AX2" s="214" t="n"/>
      <c r="AY2" s="214" t="n"/>
      <c r="AZ2" s="214" t="n"/>
      <c r="BA2" s="214" t="n"/>
      <c r="BB2" s="214" t="n"/>
      <c r="BC2" s="214" t="n"/>
      <c r="BD2" s="214" t="n"/>
      <c r="BE2" s="214" t="n"/>
      <c r="BF2" s="214" t="n"/>
      <c r="BG2" s="214" t="n"/>
      <c r="BH2" s="214" t="n"/>
      <c r="BI2" s="214" t="n"/>
      <c r="BJ2" s="214" t="n"/>
      <c r="BK2" s="214" t="n"/>
      <c r="BL2" s="214" t="n"/>
      <c r="BM2" s="214" t="n"/>
      <c r="BN2" s="214" t="n"/>
      <c r="BO2" s="214" t="n"/>
      <c r="BP2" s="214" t="n"/>
      <c r="BQ2" s="214" t="n"/>
      <c r="BR2" s="214" t="n"/>
      <c r="BS2" s="214" t="n"/>
      <c r="BT2" s="214" t="n"/>
      <c r="BU2" s="214" t="n"/>
      <c r="BV2" s="214" t="n"/>
      <c r="BW2" s="214" t="n"/>
      <c r="BX2" s="214" t="n"/>
      <c r="BY2" s="214" t="n"/>
      <c r="BZ2" s="149" t="n"/>
      <c r="CA2" s="149" t="n"/>
    </row>
    <row r="3" ht="18.5" customFormat="1" customHeight="1" s="24">
      <c r="A3" s="34" t="inlineStr">
        <is>
          <t>Utilization</t>
        </is>
      </c>
      <c r="B3" s="402">
        <f>W8</f>
        <v/>
      </c>
      <c r="C3" s="1" t="n"/>
      <c r="D3" s="1" t="n"/>
      <c r="E3" s="1" t="n"/>
      <c r="F3" s="147" t="n"/>
      <c r="G3" s="214" t="n"/>
      <c r="H3" s="215" t="n"/>
      <c r="I3" s="214" t="n"/>
      <c r="J3" s="214" t="n"/>
      <c r="K3" s="214" t="n"/>
      <c r="L3" s="214" t="n"/>
      <c r="M3" s="214" t="n"/>
      <c r="N3" s="214" t="n"/>
      <c r="O3" s="214" t="n"/>
      <c r="P3" s="214" t="n"/>
      <c r="Q3" s="214" t="n"/>
      <c r="R3" s="214" t="n"/>
      <c r="S3" s="214" t="n"/>
      <c r="T3" s="214" t="n"/>
      <c r="U3" s="214" t="n"/>
      <c r="V3" s="216" t="n"/>
      <c r="W3" s="216" t="n"/>
      <c r="X3" s="214" t="n"/>
      <c r="Y3" s="214" t="n"/>
      <c r="Z3" s="214" t="n"/>
      <c r="AA3" s="214" t="n"/>
      <c r="AB3" s="214" t="n"/>
      <c r="AC3" s="214" t="n"/>
      <c r="AD3" s="214" t="n"/>
      <c r="AE3" s="214" t="n"/>
      <c r="AF3" s="214" t="n"/>
      <c r="AG3" s="214" t="n"/>
      <c r="AH3" s="214" t="n"/>
      <c r="AI3" s="214" t="n"/>
      <c r="AJ3" s="214" t="n"/>
      <c r="AK3" s="214" t="n"/>
      <c r="AL3" s="214" t="n"/>
      <c r="AM3" s="214" t="n"/>
      <c r="AN3" s="214" t="n"/>
      <c r="AO3" s="214" t="n"/>
      <c r="AP3" s="214" t="n"/>
      <c r="AQ3" s="214" t="n"/>
      <c r="AR3" s="214" t="n"/>
      <c r="AS3" s="214" t="n"/>
      <c r="AT3" s="214" t="n"/>
      <c r="AU3" s="214" t="n"/>
      <c r="AV3" s="214" t="n"/>
      <c r="AW3" s="214" t="n"/>
      <c r="AX3" s="214" t="n"/>
      <c r="AY3" s="214" t="n"/>
      <c r="AZ3" s="214" t="n"/>
      <c r="BA3" s="214" t="n"/>
      <c r="BB3" s="214" t="n"/>
      <c r="BC3" s="214" t="n"/>
      <c r="BD3" s="214" t="n"/>
      <c r="BE3" s="214" t="n"/>
      <c r="BF3" s="214" t="n"/>
      <c r="BG3" s="214" t="n"/>
      <c r="BH3" s="214" t="n"/>
      <c r="BI3" s="214" t="n"/>
      <c r="BJ3" s="214" t="n"/>
      <c r="BK3" s="214" t="n"/>
      <c r="BL3" s="214" t="n"/>
      <c r="BM3" s="214" t="n"/>
      <c r="BN3" s="214" t="n"/>
      <c r="BO3" s="214" t="n"/>
      <c r="BP3" s="214" t="n"/>
      <c r="BQ3" s="214" t="n"/>
      <c r="BR3" s="214" t="n"/>
      <c r="BS3" s="214" t="n"/>
      <c r="BT3" s="214" t="n"/>
      <c r="BU3" s="214" t="n"/>
      <c r="BV3" s="214" t="n"/>
      <c r="BW3" s="214" t="n"/>
      <c r="BX3" s="214" t="n"/>
      <c r="BY3" s="214" t="n"/>
      <c r="BZ3" s="149" t="n"/>
      <c r="CA3" s="149" t="n"/>
    </row>
    <row r="4" ht="18.5" customHeight="1" s="516">
      <c r="A4" s="180" t="inlineStr">
        <is>
          <t>Project name</t>
        </is>
      </c>
      <c r="B4" s="181" t="n"/>
      <c r="G4" s="217" t="n"/>
      <c r="H4" s="217" t="n"/>
      <c r="I4" s="217" t="n"/>
      <c r="J4" s="217" t="n"/>
      <c r="K4" s="217" t="n"/>
      <c r="L4" s="217" t="n"/>
      <c r="M4" s="217" t="n"/>
      <c r="N4" s="217" t="n"/>
      <c r="O4" s="217" t="n"/>
      <c r="P4" s="217" t="n"/>
      <c r="Q4" s="217" t="n"/>
      <c r="R4" s="217" t="n"/>
      <c r="S4" s="217" t="n"/>
      <c r="T4" s="217" t="n"/>
      <c r="U4" s="217" t="n"/>
      <c r="V4" s="217" t="n"/>
      <c r="W4" s="217" t="n"/>
      <c r="Z4" s="153" t="n"/>
      <c r="AA4" s="153" t="n"/>
      <c r="AE4" s="153" t="n"/>
      <c r="AN4" s="153" t="n"/>
      <c r="AR4" s="153" t="n"/>
      <c r="AS4" s="153" t="n"/>
      <c r="AW4" s="153" t="n"/>
      <c r="BF4" s="153" t="n"/>
      <c r="BJ4" s="153" t="n"/>
      <c r="BK4" s="153" t="n"/>
      <c r="BO4" s="153" t="n"/>
      <c r="BX4" s="153" t="n"/>
    </row>
    <row r="5" ht="18.5" customHeight="1" s="516">
      <c r="A5" s="180" t="inlineStr">
        <is>
          <t>Revision</t>
        </is>
      </c>
      <c r="B5" s="181" t="n"/>
      <c r="G5" s="532">
        <f>A21</f>
        <v/>
      </c>
      <c r="H5" s="525" t="n"/>
      <c r="I5" s="525" t="n"/>
      <c r="J5" s="525" t="n"/>
      <c r="K5" s="525" t="n"/>
      <c r="L5" s="525" t="n"/>
      <c r="M5" s="525" t="n"/>
      <c r="N5" s="525" t="n"/>
      <c r="O5" s="525" t="n"/>
      <c r="P5" s="525" t="n"/>
      <c r="Q5" s="525" t="n"/>
      <c r="R5" s="525" t="n"/>
      <c r="S5" s="525" t="n"/>
      <c r="T5" s="525" t="n"/>
      <c r="U5" s="525" t="n"/>
      <c r="V5" s="525" t="n"/>
      <c r="W5" s="526" t="n"/>
      <c r="Y5" s="532">
        <f>A22</f>
        <v/>
      </c>
      <c r="Z5" s="525" t="n"/>
      <c r="AA5" s="525" t="n"/>
      <c r="AB5" s="525" t="n"/>
      <c r="AC5" s="525" t="n"/>
      <c r="AD5" s="525" t="n"/>
      <c r="AE5" s="525" t="n"/>
      <c r="AF5" s="525" t="n"/>
      <c r="AG5" s="525" t="n"/>
      <c r="AH5" s="525" t="n"/>
      <c r="AI5" s="525" t="n"/>
      <c r="AJ5" s="525" t="n"/>
      <c r="AK5" s="525" t="n"/>
      <c r="AL5" s="525" t="n"/>
      <c r="AM5" s="525" t="n"/>
      <c r="AN5" s="525" t="n"/>
      <c r="AO5" s="526" t="n"/>
      <c r="AQ5" s="532">
        <f>A23</f>
        <v/>
      </c>
      <c r="AR5" s="525" t="n"/>
      <c r="AS5" s="525" t="n"/>
      <c r="AT5" s="525" t="n"/>
      <c r="AU5" s="525" t="n"/>
      <c r="AV5" s="525" t="n"/>
      <c r="AW5" s="525" t="n"/>
      <c r="AX5" s="525" t="n"/>
      <c r="AY5" s="525" t="n"/>
      <c r="AZ5" s="525" t="n"/>
      <c r="BA5" s="525" t="n"/>
      <c r="BB5" s="525" t="n"/>
      <c r="BC5" s="525" t="n"/>
      <c r="BD5" s="525" t="n"/>
      <c r="BE5" s="525" t="n"/>
      <c r="BF5" s="525" t="n"/>
      <c r="BG5" s="526" t="n"/>
      <c r="BI5" s="532">
        <f>A24</f>
        <v/>
      </c>
      <c r="BJ5" s="525" t="n"/>
      <c r="BK5" s="525" t="n"/>
      <c r="BL5" s="525" t="n"/>
      <c r="BM5" s="525" t="n"/>
      <c r="BN5" s="525" t="n"/>
      <c r="BO5" s="525" t="n"/>
      <c r="BP5" s="525" t="n"/>
      <c r="BQ5" s="525" t="n"/>
      <c r="BR5" s="525" t="n"/>
      <c r="BS5" s="525" t="n"/>
      <c r="BT5" s="525" t="n"/>
      <c r="BU5" s="525" t="n"/>
      <c r="BV5" s="525" t="n"/>
      <c r="BW5" s="525" t="n"/>
      <c r="BX5" s="525" t="n"/>
      <c r="BY5" s="526" t="n"/>
    </row>
    <row r="6" ht="18" customHeight="1" s="516">
      <c r="G6" s="531" t="inlineStr">
        <is>
          <t>S.No</t>
        </is>
      </c>
      <c r="H6" s="530" t="inlineStr">
        <is>
          <t>Cycles / Hour</t>
        </is>
      </c>
      <c r="I6" s="522" t="n"/>
      <c r="J6" s="522" t="n"/>
      <c r="K6" s="522" t="n"/>
      <c r="L6" s="522" t="n"/>
      <c r="M6" s="522" t="n"/>
      <c r="N6" s="522" t="n"/>
      <c r="O6" s="522" t="n"/>
      <c r="P6" s="522" t="n"/>
      <c r="Q6" s="522" t="n"/>
      <c r="R6" s="522" t="n"/>
      <c r="S6" s="522" t="n"/>
      <c r="T6" s="522" t="n"/>
      <c r="U6" s="522" t="n"/>
      <c r="V6" s="523" t="n"/>
      <c r="W6" s="168">
        <f>3600/W7</f>
        <v/>
      </c>
      <c r="Y6" s="531" t="inlineStr">
        <is>
          <t>S.No</t>
        </is>
      </c>
      <c r="Z6" s="530" t="inlineStr">
        <is>
          <t>Cycles / Hour</t>
        </is>
      </c>
      <c r="AA6" s="522" t="n"/>
      <c r="AB6" s="522" t="n"/>
      <c r="AC6" s="522" t="n"/>
      <c r="AD6" s="522" t="n"/>
      <c r="AE6" s="522" t="n"/>
      <c r="AF6" s="522" t="n"/>
      <c r="AG6" s="522" t="n"/>
      <c r="AH6" s="522" t="n"/>
      <c r="AI6" s="522" t="n"/>
      <c r="AJ6" s="522" t="n"/>
      <c r="AK6" s="522" t="n"/>
      <c r="AL6" s="522" t="n"/>
      <c r="AM6" s="522" t="n"/>
      <c r="AN6" s="523" t="n"/>
      <c r="AO6" s="168">
        <f>3600/AO7</f>
        <v/>
      </c>
      <c r="AQ6" s="531" t="inlineStr">
        <is>
          <t>S.No</t>
        </is>
      </c>
      <c r="AR6" s="530" t="inlineStr">
        <is>
          <t>Cycles / Hour</t>
        </is>
      </c>
      <c r="AS6" s="522" t="n"/>
      <c r="AT6" s="522" t="n"/>
      <c r="AU6" s="522" t="n"/>
      <c r="AV6" s="522" t="n"/>
      <c r="AW6" s="522" t="n"/>
      <c r="AX6" s="522" t="n"/>
      <c r="AY6" s="522" t="n"/>
      <c r="AZ6" s="522" t="n"/>
      <c r="BA6" s="522" t="n"/>
      <c r="BB6" s="522" t="n"/>
      <c r="BC6" s="522" t="n"/>
      <c r="BD6" s="522" t="n"/>
      <c r="BE6" s="522" t="n"/>
      <c r="BF6" s="523" t="n"/>
      <c r="BG6" s="168">
        <f>3600/BG7</f>
        <v/>
      </c>
      <c r="BI6" s="531" t="inlineStr">
        <is>
          <t>S.No</t>
        </is>
      </c>
      <c r="BJ6" s="530" t="inlineStr">
        <is>
          <t>Cycles / Hour</t>
        </is>
      </c>
      <c r="BK6" s="522" t="n"/>
      <c r="BL6" s="522" t="n"/>
      <c r="BM6" s="522" t="n"/>
      <c r="BN6" s="522" t="n"/>
      <c r="BO6" s="522" t="n"/>
      <c r="BP6" s="522" t="n"/>
      <c r="BQ6" s="522" t="n"/>
      <c r="BR6" s="522" t="n"/>
      <c r="BS6" s="522" t="n"/>
      <c r="BT6" s="522" t="n"/>
      <c r="BU6" s="522" t="n"/>
      <c r="BV6" s="522" t="n"/>
      <c r="BW6" s="522" t="n"/>
      <c r="BX6" s="523" t="n"/>
      <c r="BY6" s="168">
        <f>3600/BY7</f>
        <v/>
      </c>
    </row>
    <row r="7" ht="28.25" customHeight="1" s="516">
      <c r="A7" s="35" t="inlineStr">
        <is>
          <t>Cycles/ Hr</t>
        </is>
      </c>
      <c r="B7" s="53">
        <f>SUMPRODUCT(D21:D24,E21:E24)</f>
        <v/>
      </c>
      <c r="C7" s="6" t="n"/>
      <c r="D7" s="6" t="n"/>
      <c r="E7" s="6" t="n"/>
      <c r="F7" s="151" t="n"/>
      <c r="G7" s="528" t="n"/>
      <c r="H7" s="530" t="inlineStr">
        <is>
          <t>Effective Cycle Time</t>
        </is>
      </c>
      <c r="I7" s="522" t="n"/>
      <c r="J7" s="522" t="n"/>
      <c r="K7" s="522" t="n"/>
      <c r="L7" s="522" t="n"/>
      <c r="M7" s="522" t="n"/>
      <c r="N7" s="522" t="n"/>
      <c r="O7" s="522" t="n"/>
      <c r="P7" s="522" t="n"/>
      <c r="Q7" s="522" t="n"/>
      <c r="R7" s="522" t="n"/>
      <c r="S7" s="522" t="n"/>
      <c r="T7" s="522" t="n"/>
      <c r="U7" s="522" t="n"/>
      <c r="V7" s="523" t="n"/>
      <c r="W7" s="156">
        <f>W9/W8</f>
        <v/>
      </c>
      <c r="Y7" s="528" t="n"/>
      <c r="Z7" s="530" t="inlineStr">
        <is>
          <t>Effective Cycle Time</t>
        </is>
      </c>
      <c r="AA7" s="522" t="n"/>
      <c r="AB7" s="522" t="n"/>
      <c r="AC7" s="522" t="n"/>
      <c r="AD7" s="522" t="n"/>
      <c r="AE7" s="522" t="n"/>
      <c r="AF7" s="522" t="n"/>
      <c r="AG7" s="522" t="n"/>
      <c r="AH7" s="522" t="n"/>
      <c r="AI7" s="522" t="n"/>
      <c r="AJ7" s="522" t="n"/>
      <c r="AK7" s="522" t="n"/>
      <c r="AL7" s="522" t="n"/>
      <c r="AM7" s="522" t="n"/>
      <c r="AN7" s="523" t="n"/>
      <c r="AO7" s="156">
        <f>AO9/AO8</f>
        <v/>
      </c>
      <c r="AQ7" s="528" t="n"/>
      <c r="AR7" s="530" t="inlineStr">
        <is>
          <t>Effective Cycle Time</t>
        </is>
      </c>
      <c r="AS7" s="522" t="n"/>
      <c r="AT7" s="522" t="n"/>
      <c r="AU7" s="522" t="n"/>
      <c r="AV7" s="522" t="n"/>
      <c r="AW7" s="522" t="n"/>
      <c r="AX7" s="522" t="n"/>
      <c r="AY7" s="522" t="n"/>
      <c r="AZ7" s="522" t="n"/>
      <c r="BA7" s="522" t="n"/>
      <c r="BB7" s="522" t="n"/>
      <c r="BC7" s="522" t="n"/>
      <c r="BD7" s="522" t="n"/>
      <c r="BE7" s="522" t="n"/>
      <c r="BF7" s="523" t="n"/>
      <c r="BG7" s="156">
        <f>BG9/BG8</f>
        <v/>
      </c>
      <c r="BI7" s="528" t="n"/>
      <c r="BJ7" s="530" t="inlineStr">
        <is>
          <t>Effective Cycle Time</t>
        </is>
      </c>
      <c r="BK7" s="522" t="n"/>
      <c r="BL7" s="522" t="n"/>
      <c r="BM7" s="522" t="n"/>
      <c r="BN7" s="522" t="n"/>
      <c r="BO7" s="522" t="n"/>
      <c r="BP7" s="522" t="n"/>
      <c r="BQ7" s="522" t="n"/>
      <c r="BR7" s="522" t="n"/>
      <c r="BS7" s="522" t="n"/>
      <c r="BT7" s="522" t="n"/>
      <c r="BU7" s="522" t="n"/>
      <c r="BV7" s="522" t="n"/>
      <c r="BW7" s="522" t="n"/>
      <c r="BX7" s="523" t="n"/>
      <c r="BY7" s="156">
        <f>BY9/BY8</f>
        <v/>
      </c>
    </row>
    <row r="8" ht="27.5" customHeight="1" s="516">
      <c r="A8" s="35" t="inlineStr">
        <is>
          <t>Zippy required</t>
        </is>
      </c>
      <c r="B8" s="53">
        <f>ROUNDUP(((B15/B7)*(1+B16))*(1+B17),)</f>
        <v/>
      </c>
      <c r="G8" s="528" t="n"/>
      <c r="H8" s="530" t="inlineStr">
        <is>
          <t>Equipment Utilization</t>
        </is>
      </c>
      <c r="I8" s="522" t="n"/>
      <c r="J8" s="522" t="n"/>
      <c r="K8" s="522" t="n"/>
      <c r="L8" s="522" t="n"/>
      <c r="M8" s="522" t="n"/>
      <c r="N8" s="522" t="n"/>
      <c r="O8" s="522" t="n"/>
      <c r="P8" s="522" t="n"/>
      <c r="Q8" s="522" t="n"/>
      <c r="R8" s="522" t="n"/>
      <c r="S8" s="522" t="n"/>
      <c r="T8" s="522" t="n"/>
      <c r="U8" s="522" t="n"/>
      <c r="V8" s="523" t="n"/>
      <c r="W8" s="157">
        <f>'Master List'!$G$1</f>
        <v/>
      </c>
      <c r="Y8" s="528" t="n"/>
      <c r="Z8" s="530" t="inlineStr">
        <is>
          <t>Equipment Utilization</t>
        </is>
      </c>
      <c r="AA8" s="522" t="n"/>
      <c r="AB8" s="522" t="n"/>
      <c r="AC8" s="522" t="n"/>
      <c r="AD8" s="522" t="n"/>
      <c r="AE8" s="522" t="n"/>
      <c r="AF8" s="522" t="n"/>
      <c r="AG8" s="522" t="n"/>
      <c r="AH8" s="522" t="n"/>
      <c r="AI8" s="522" t="n"/>
      <c r="AJ8" s="522" t="n"/>
      <c r="AK8" s="522" t="n"/>
      <c r="AL8" s="522" t="n"/>
      <c r="AM8" s="522" t="n"/>
      <c r="AN8" s="523" t="n"/>
      <c r="AO8" s="157">
        <f>'Master List'!$G$1</f>
        <v/>
      </c>
      <c r="AQ8" s="528" t="n"/>
      <c r="AR8" s="530" t="inlineStr">
        <is>
          <t>Equipment Utilization</t>
        </is>
      </c>
      <c r="AS8" s="522" t="n"/>
      <c r="AT8" s="522" t="n"/>
      <c r="AU8" s="522" t="n"/>
      <c r="AV8" s="522" t="n"/>
      <c r="AW8" s="522" t="n"/>
      <c r="AX8" s="522" t="n"/>
      <c r="AY8" s="522" t="n"/>
      <c r="AZ8" s="522" t="n"/>
      <c r="BA8" s="522" t="n"/>
      <c r="BB8" s="522" t="n"/>
      <c r="BC8" s="522" t="n"/>
      <c r="BD8" s="522" t="n"/>
      <c r="BE8" s="522" t="n"/>
      <c r="BF8" s="523" t="n"/>
      <c r="BG8" s="157">
        <f>'Master List'!$G$1</f>
        <v/>
      </c>
      <c r="BI8" s="528" t="n"/>
      <c r="BJ8" s="530" t="inlineStr">
        <is>
          <t>Equipment Utilization</t>
        </is>
      </c>
      <c r="BK8" s="522" t="n"/>
      <c r="BL8" s="522" t="n"/>
      <c r="BM8" s="522" t="n"/>
      <c r="BN8" s="522" t="n"/>
      <c r="BO8" s="522" t="n"/>
      <c r="BP8" s="522" t="n"/>
      <c r="BQ8" s="522" t="n"/>
      <c r="BR8" s="522" t="n"/>
      <c r="BS8" s="522" t="n"/>
      <c r="BT8" s="522" t="n"/>
      <c r="BU8" s="522" t="n"/>
      <c r="BV8" s="522" t="n"/>
      <c r="BW8" s="522" t="n"/>
      <c r="BX8" s="523" t="n"/>
      <c r="BY8" s="157">
        <f>'Master List'!$G$1</f>
        <v/>
      </c>
    </row>
    <row r="9" ht="18" customHeight="1" s="516">
      <c r="G9" s="528" t="n"/>
      <c r="H9" s="530" t="inlineStr">
        <is>
          <t>Cycle Time</t>
        </is>
      </c>
      <c r="I9" s="522" t="n"/>
      <c r="J9" s="522" t="n"/>
      <c r="K9" s="522" t="n"/>
      <c r="L9" s="522" t="n"/>
      <c r="M9" s="522" t="n"/>
      <c r="N9" s="522" t="n"/>
      <c r="O9" s="522" t="n"/>
      <c r="P9" s="522" t="n"/>
      <c r="Q9" s="522" t="n"/>
      <c r="R9" s="522" t="n"/>
      <c r="S9" s="522" t="n"/>
      <c r="T9" s="522" t="n"/>
      <c r="U9" s="522" t="n"/>
      <c r="V9" s="523" t="n"/>
      <c r="W9" s="158">
        <f>SUM(W11:W96)</f>
        <v/>
      </c>
      <c r="Y9" s="528" t="n"/>
      <c r="Z9" s="530" t="inlineStr">
        <is>
          <t>Cycle Time</t>
        </is>
      </c>
      <c r="AA9" s="522" t="n"/>
      <c r="AB9" s="522" t="n"/>
      <c r="AC9" s="522" t="n"/>
      <c r="AD9" s="522" t="n"/>
      <c r="AE9" s="522" t="n"/>
      <c r="AF9" s="522" t="n"/>
      <c r="AG9" s="522" t="n"/>
      <c r="AH9" s="522" t="n"/>
      <c r="AI9" s="522" t="n"/>
      <c r="AJ9" s="522" t="n"/>
      <c r="AK9" s="522" t="n"/>
      <c r="AL9" s="522" t="n"/>
      <c r="AM9" s="522" t="n"/>
      <c r="AN9" s="523" t="n"/>
      <c r="AO9" s="158">
        <f>SUM(AO11:AO96)</f>
        <v/>
      </c>
      <c r="AQ9" s="528" t="n"/>
      <c r="AR9" s="530" t="inlineStr">
        <is>
          <t>Cycle Time</t>
        </is>
      </c>
      <c r="AS9" s="522" t="n"/>
      <c r="AT9" s="522" t="n"/>
      <c r="AU9" s="522" t="n"/>
      <c r="AV9" s="522" t="n"/>
      <c r="AW9" s="522" t="n"/>
      <c r="AX9" s="522" t="n"/>
      <c r="AY9" s="522" t="n"/>
      <c r="AZ9" s="522" t="n"/>
      <c r="BA9" s="522" t="n"/>
      <c r="BB9" s="522" t="n"/>
      <c r="BC9" s="522" t="n"/>
      <c r="BD9" s="522" t="n"/>
      <c r="BE9" s="522" t="n"/>
      <c r="BF9" s="523" t="n"/>
      <c r="BG9" s="158">
        <f>SUM(BG11:BG96)</f>
        <v/>
      </c>
      <c r="BI9" s="528" t="n"/>
      <c r="BJ9" s="530" t="inlineStr">
        <is>
          <t>Cycle Time</t>
        </is>
      </c>
      <c r="BK9" s="522" t="n"/>
      <c r="BL9" s="522" t="n"/>
      <c r="BM9" s="522" t="n"/>
      <c r="BN9" s="522" t="n"/>
      <c r="BO9" s="522" t="n"/>
      <c r="BP9" s="522" t="n"/>
      <c r="BQ9" s="522" t="n"/>
      <c r="BR9" s="522" t="n"/>
      <c r="BS9" s="522" t="n"/>
      <c r="BT9" s="522" t="n"/>
      <c r="BU9" s="522" t="n"/>
      <c r="BV9" s="522" t="n"/>
      <c r="BW9" s="522" t="n"/>
      <c r="BX9" s="523" t="n"/>
      <c r="BY9" s="158">
        <f>SUM(BY11:BY96)</f>
        <v/>
      </c>
    </row>
    <row r="10" ht="17.75" customFormat="1" customHeight="1" s="6">
      <c r="A10" s="33" t="inlineStr">
        <is>
          <t>Zippy to barcode ratio</t>
        </is>
      </c>
      <c r="B10" s="49">
        <f>B18/B8</f>
        <v/>
      </c>
      <c r="C10" s="1" t="inlineStr">
        <is>
          <t>&lt;&lt;-If this cell becomes red then increase the number of barcodes on the layout</t>
        </is>
      </c>
      <c r="D10" s="1" t="n"/>
      <c r="E10" s="1" t="n"/>
      <c r="F10" s="147" t="n"/>
      <c r="G10" s="529" t="n"/>
      <c r="H10" s="531" t="inlineStr">
        <is>
          <t>Activity Type</t>
        </is>
      </c>
      <c r="I10" s="159" t="inlineStr">
        <is>
          <t>Steps</t>
        </is>
      </c>
      <c r="J10" s="159" t="inlineStr">
        <is>
          <t>Time to consider in absence of data (sec)</t>
        </is>
      </c>
      <c r="K10" s="159" t="inlineStr">
        <is>
          <t>Speed (m / sec)</t>
        </is>
      </c>
      <c r="L10" s="159" t="inlineStr">
        <is>
          <t>Acceleration (m / sec^2)</t>
        </is>
      </c>
      <c r="M10" s="159" t="inlineStr">
        <is>
          <t>Total Distance (m)</t>
        </is>
      </c>
      <c r="N10" s="159" t="inlineStr">
        <is>
          <t>Time to Reach Max Speed (sec)</t>
        </is>
      </c>
      <c r="O10" s="159" t="inlineStr">
        <is>
          <t>Distance in accerlaration (m)</t>
        </is>
      </c>
      <c r="P10" s="159" t="inlineStr">
        <is>
          <t>Distance in Max speed (m)</t>
        </is>
      </c>
      <c r="Q10" s="159" t="inlineStr">
        <is>
          <t>Distance in de-acceleration (m)</t>
        </is>
      </c>
      <c r="R10" s="159" t="inlineStr">
        <is>
          <t>Time in acceleration (sec)</t>
        </is>
      </c>
      <c r="S10" s="159" t="inlineStr">
        <is>
          <t>Time in full speed (sec)</t>
        </is>
      </c>
      <c r="T10" s="159" t="inlineStr">
        <is>
          <t>Time in de-acceleration (sec)</t>
        </is>
      </c>
      <c r="U10" s="159" t="inlineStr">
        <is>
          <t>Time (sec)</t>
        </is>
      </c>
      <c r="V10" s="159" t="inlineStr">
        <is>
          <t>Units</t>
        </is>
      </c>
      <c r="W10" s="159" t="inlineStr">
        <is>
          <t>Total Time</t>
        </is>
      </c>
      <c r="X10" s="154" t="n"/>
      <c r="Y10" s="529" t="n"/>
      <c r="Z10" s="531" t="inlineStr">
        <is>
          <t>Activity Type</t>
        </is>
      </c>
      <c r="AA10" s="159" t="inlineStr">
        <is>
          <t>Steps</t>
        </is>
      </c>
      <c r="AB10" s="159" t="inlineStr">
        <is>
          <t>Time to consider in absence of data (sec)</t>
        </is>
      </c>
      <c r="AC10" s="159" t="inlineStr">
        <is>
          <t>Speed (m / sec)</t>
        </is>
      </c>
      <c r="AD10" s="159" t="inlineStr">
        <is>
          <t>Acceleration (m / sec^2)</t>
        </is>
      </c>
      <c r="AE10" s="159" t="inlineStr">
        <is>
          <t>Total Distance (m)</t>
        </is>
      </c>
      <c r="AF10" s="159" t="inlineStr">
        <is>
          <t>Time to Reach Max Speed (sec)</t>
        </is>
      </c>
      <c r="AG10" s="159" t="inlineStr">
        <is>
          <t>Distance in accerlaration (m)</t>
        </is>
      </c>
      <c r="AH10" s="159" t="inlineStr">
        <is>
          <t>Distance in Max speed (m)</t>
        </is>
      </c>
      <c r="AI10" s="159" t="inlineStr">
        <is>
          <t>Distance in de-acceleration (m)</t>
        </is>
      </c>
      <c r="AJ10" s="159" t="inlineStr">
        <is>
          <t>Time in acceleration (sec)</t>
        </is>
      </c>
      <c r="AK10" s="159" t="inlineStr">
        <is>
          <t>Time in full speed (sec)</t>
        </is>
      </c>
      <c r="AL10" s="159" t="inlineStr">
        <is>
          <t>Time in de-acceleration (sec)</t>
        </is>
      </c>
      <c r="AM10" s="159" t="inlineStr">
        <is>
          <t>Time (sec)</t>
        </is>
      </c>
      <c r="AN10" s="159" t="inlineStr">
        <is>
          <t>Units</t>
        </is>
      </c>
      <c r="AO10" s="159" t="inlineStr">
        <is>
          <t>Total Time</t>
        </is>
      </c>
      <c r="AP10" s="154" t="n"/>
      <c r="AQ10" s="529" t="n"/>
      <c r="AR10" s="531" t="inlineStr">
        <is>
          <t>Activity Type</t>
        </is>
      </c>
      <c r="AS10" s="159" t="inlineStr">
        <is>
          <t>Steps</t>
        </is>
      </c>
      <c r="AT10" s="159" t="inlineStr">
        <is>
          <t>Time to consider in absence of data (sec)</t>
        </is>
      </c>
      <c r="AU10" s="159" t="inlineStr">
        <is>
          <t>Speed (m / sec)</t>
        </is>
      </c>
      <c r="AV10" s="159" t="inlineStr">
        <is>
          <t>Acceleration (m / sec^2)</t>
        </is>
      </c>
      <c r="AW10" s="159" t="inlineStr">
        <is>
          <t>Total Distance (m)</t>
        </is>
      </c>
      <c r="AX10" s="159" t="inlineStr">
        <is>
          <t>Time to Reach Max Speed (sec)</t>
        </is>
      </c>
      <c r="AY10" s="159" t="inlineStr">
        <is>
          <t>Distance in accerlaration (m)</t>
        </is>
      </c>
      <c r="AZ10" s="159" t="inlineStr">
        <is>
          <t>Distance in Max speed (m)</t>
        </is>
      </c>
      <c r="BA10" s="159" t="inlineStr">
        <is>
          <t>Distance in de-acceleration (m)</t>
        </is>
      </c>
      <c r="BB10" s="159" t="inlineStr">
        <is>
          <t>Time in acceleration (sec)</t>
        </is>
      </c>
      <c r="BC10" s="159" t="inlineStr">
        <is>
          <t>Time in full speed (sec)</t>
        </is>
      </c>
      <c r="BD10" s="159" t="inlineStr">
        <is>
          <t>Time in de-acceleration (sec)</t>
        </is>
      </c>
      <c r="BE10" s="159" t="inlineStr">
        <is>
          <t>Time (sec)</t>
        </is>
      </c>
      <c r="BF10" s="159" t="inlineStr">
        <is>
          <t>Units</t>
        </is>
      </c>
      <c r="BG10" s="159" t="inlineStr">
        <is>
          <t>Total Time</t>
        </is>
      </c>
      <c r="BH10" s="154" t="n"/>
      <c r="BI10" s="529" t="n"/>
      <c r="BJ10" s="531" t="inlineStr">
        <is>
          <t>Activity Type</t>
        </is>
      </c>
      <c r="BK10" s="159" t="inlineStr">
        <is>
          <t>Steps</t>
        </is>
      </c>
      <c r="BL10" s="159" t="inlineStr">
        <is>
          <t>Time to consider in absence of data (sec)</t>
        </is>
      </c>
      <c r="BM10" s="159" t="inlineStr">
        <is>
          <t>Speed (m / sec)</t>
        </is>
      </c>
      <c r="BN10" s="159" t="inlineStr">
        <is>
          <t>Acceleration (m / sec^2)</t>
        </is>
      </c>
      <c r="BO10" s="159" t="inlineStr">
        <is>
          <t>Total Distance (m)</t>
        </is>
      </c>
      <c r="BP10" s="159" t="inlineStr">
        <is>
          <t>Time to Reach Max Speed (sec)</t>
        </is>
      </c>
      <c r="BQ10" s="159" t="inlineStr">
        <is>
          <t>Distance in accerlaration (m)</t>
        </is>
      </c>
      <c r="BR10" s="159" t="inlineStr">
        <is>
          <t>Distance in Max speed (m)</t>
        </is>
      </c>
      <c r="BS10" s="159" t="inlineStr">
        <is>
          <t>Distance in de-acceleration (m)</t>
        </is>
      </c>
      <c r="BT10" s="159" t="inlineStr">
        <is>
          <t>Time in acceleration (sec)</t>
        </is>
      </c>
      <c r="BU10" s="159" t="inlineStr">
        <is>
          <t>Time in full speed (sec)</t>
        </is>
      </c>
      <c r="BV10" s="159" t="inlineStr">
        <is>
          <t>Time in de-acceleration (sec)</t>
        </is>
      </c>
      <c r="BW10" s="159" t="inlineStr">
        <is>
          <t>Time (sec)</t>
        </is>
      </c>
      <c r="BX10" s="159" t="inlineStr">
        <is>
          <t>Units</t>
        </is>
      </c>
      <c r="BY10" s="159" t="inlineStr">
        <is>
          <t>Total Time</t>
        </is>
      </c>
      <c r="BZ10" s="152" t="n"/>
      <c r="CA10" s="152" t="n"/>
    </row>
    <row r="11" ht="15" customHeight="1" s="516">
      <c r="G11" s="160" t="n">
        <v>1</v>
      </c>
      <c r="H11" s="161" t="inlineStr">
        <is>
          <t>Zippy 10 Running</t>
        </is>
      </c>
      <c r="I11" s="162" t="inlineStr">
        <is>
          <t>Reach induction station</t>
        </is>
      </c>
      <c r="J11" s="163">
        <f>IFERROR(VLOOKUP(H11,'Master List'!$A:$D,2,0),0)</f>
        <v/>
      </c>
      <c r="K11" s="163">
        <f>IFERROR(VLOOKUP(H11,'Master List'!$A:$D,3,0),0)</f>
        <v/>
      </c>
      <c r="L11" s="163">
        <f>IFERROR(VLOOKUP(H11,'Master List'!$A:$D,4,0),0)</f>
        <v/>
      </c>
      <c r="M11" s="163">
        <f>$B$32</f>
        <v/>
      </c>
      <c r="N11" s="163">
        <f>IFERROR(K11/L11,0)</f>
        <v/>
      </c>
      <c r="O11" s="163">
        <f>IFERROR(IF(M11&lt;((1/2*L11*N11^2)*2),1/2*L11*SQRT((M11/2)*2/L11)^2,1/2*L11*N11^2),0)</f>
        <v/>
      </c>
      <c r="P11" s="163">
        <f>IFERROR(IF(M11-O11-Q11&lt;=0,0,M11-O11-Q11),0)</f>
        <v/>
      </c>
      <c r="Q11" s="163">
        <f>O11</f>
        <v/>
      </c>
      <c r="R11" s="163">
        <f>IFERROR(IF(M11&lt;((1/2*L11*N11^2)*2),SQRT((M11/2)*2/L11),N11),0)</f>
        <v/>
      </c>
      <c r="S11" s="163">
        <f>IFERROR(P11/K11,0)</f>
        <v/>
      </c>
      <c r="T11" s="163">
        <f>R11</f>
        <v/>
      </c>
      <c r="U11" s="163">
        <f>IF(J11&gt;0,J11,SUM(R11:T11))</f>
        <v/>
      </c>
      <c r="V11" s="163" t="n">
        <v>1</v>
      </c>
      <c r="W11" s="163">
        <f>U11*V11</f>
        <v/>
      </c>
      <c r="Y11" s="160" t="n">
        <v>1</v>
      </c>
      <c r="Z11" s="161" t="inlineStr">
        <is>
          <t>Zippy 10 Running</t>
        </is>
      </c>
      <c r="AA11" s="162" t="n"/>
      <c r="AB11" s="163">
        <f>IFERROR(VLOOKUP(Z11,'Master List'!$A:$D,2,0),0)</f>
        <v/>
      </c>
      <c r="AC11" s="163">
        <f>IFERROR(VLOOKUP(Z11,'Master List'!$A:$D,3,0),0)</f>
        <v/>
      </c>
      <c r="AD11" s="163">
        <f>IFERROR(VLOOKUP(Z11,'Master List'!$A:$D,4,0),0)</f>
        <v/>
      </c>
      <c r="AE11" s="163">
        <f>$B$32</f>
        <v/>
      </c>
      <c r="AF11" s="163">
        <f>IFERROR(AC11/AD11,0)</f>
        <v/>
      </c>
      <c r="AG11" s="163">
        <f>IFERROR(IF(AE11&lt;((1/2*AD11*AF11^2)*2),1/2*AD11*SQRT((AE11/2)*2/AD11)^2,1/2*AD11*AF11^2),0)</f>
        <v/>
      </c>
      <c r="AH11" s="163">
        <f>IFERROR(IF(AE11-AG11-AI11&lt;=0,0,AE11-AG11-AI11),0)</f>
        <v/>
      </c>
      <c r="AI11" s="163">
        <f>AG11</f>
        <v/>
      </c>
      <c r="AJ11" s="163">
        <f>IFERROR(IF(AE11&lt;((1/2*AD11*AF11^2)*2),SQRT((AE11/2)*2/AD11),AF11),0)</f>
        <v/>
      </c>
      <c r="AK11" s="163">
        <f>IFERROR(AH11/AC11,0)</f>
        <v/>
      </c>
      <c r="AL11" s="163">
        <f>AJ11</f>
        <v/>
      </c>
      <c r="AM11" s="163">
        <f>IF(AB11&gt;0,AB11,SUM(AJ11:AL11))</f>
        <v/>
      </c>
      <c r="AN11" s="163" t="n">
        <v>1</v>
      </c>
      <c r="AO11" s="163">
        <f>AM11*AN11</f>
        <v/>
      </c>
      <c r="AQ11" s="160" t="n">
        <v>1</v>
      </c>
      <c r="AR11" s="161" t="inlineStr">
        <is>
          <t>Zippy 10 Running</t>
        </is>
      </c>
      <c r="AS11" s="162" t="n"/>
      <c r="AT11" s="163">
        <f>IFERROR(VLOOKUP(AR11,'Master List'!$A:$D,2,0),0)</f>
        <v/>
      </c>
      <c r="AU11" s="163">
        <f>IFERROR(VLOOKUP(AR11,'Master List'!$A:$D,3,0),0)</f>
        <v/>
      </c>
      <c r="AV11" s="163">
        <f>IFERROR(VLOOKUP(AR11,'Master List'!$A:$D,4,0),0)</f>
        <v/>
      </c>
      <c r="AW11" s="163">
        <f>$B$32</f>
        <v/>
      </c>
      <c r="AX11" s="163">
        <f>IFERROR(AU11/AV11,0)</f>
        <v/>
      </c>
      <c r="AY11" s="163">
        <f>IFERROR(IF(AW11&lt;((1/2*AV11*AX11^2)*2),1/2*AV11*SQRT((AW11/2)*2/AV11)^2,1/2*AV11*AX11^2),0)</f>
        <v/>
      </c>
      <c r="AZ11" s="163">
        <f>IFERROR(IF(AW11-AY11-BA11&lt;=0,0,AW11-AY11-BA11),0)</f>
        <v/>
      </c>
      <c r="BA11" s="163">
        <f>AY11</f>
        <v/>
      </c>
      <c r="BB11" s="163">
        <f>IFERROR(IF(AW11&lt;((1/2*AV11*AX11^2)*2),SQRT((AW11/2)*2/AV11),AX11),0)</f>
        <v/>
      </c>
      <c r="BC11" s="163">
        <f>IFERROR(AZ11/AU11,0)</f>
        <v/>
      </c>
      <c r="BD11" s="163">
        <f>BB11</f>
        <v/>
      </c>
      <c r="BE11" s="163">
        <f>IF(AT11&gt;0,AT11,SUM(BB11:BD11))</f>
        <v/>
      </c>
      <c r="BF11" s="163" t="n">
        <v>1</v>
      </c>
      <c r="BG11" s="163">
        <f>BE11*BF11</f>
        <v/>
      </c>
      <c r="BI11" s="160" t="n">
        <v>1</v>
      </c>
      <c r="BJ11" s="161" t="inlineStr">
        <is>
          <t>Zippy 10 Running</t>
        </is>
      </c>
      <c r="BK11" s="162" t="n"/>
      <c r="BL11" s="163">
        <f>IFERROR(VLOOKUP(BJ11,'Master List'!$A:$D,2,0),0)</f>
        <v/>
      </c>
      <c r="BM11" s="163">
        <f>IFERROR(VLOOKUP(BJ11,'Master List'!$A:$D,3,0),0)</f>
        <v/>
      </c>
      <c r="BN11" s="163">
        <f>IFERROR(VLOOKUP(BJ11,'Master List'!$A:$D,4,0),0)</f>
        <v/>
      </c>
      <c r="BO11" s="163">
        <f>$B$32</f>
        <v/>
      </c>
      <c r="BP11" s="163">
        <f>IFERROR(BM11/BN11,0)</f>
        <v/>
      </c>
      <c r="BQ11" s="163">
        <f>IFERROR(IF(BO11&lt;((1/2*BN11*BP11^2)*2),1/2*BN11*SQRT((BO11/2)*2/BN11)^2,1/2*BN11*BP11^2),0)</f>
        <v/>
      </c>
      <c r="BR11" s="163">
        <f>IFERROR(IF(BO11-BQ11-BS11&lt;=0,0,BO11-BQ11-BS11),0)</f>
        <v/>
      </c>
      <c r="BS11" s="163">
        <f>BQ11</f>
        <v/>
      </c>
      <c r="BT11" s="163">
        <f>IFERROR(IF(BO11&lt;((1/2*BN11*BP11^2)*2),SQRT((BO11/2)*2/BN11),BP11),0)</f>
        <v/>
      </c>
      <c r="BU11" s="163">
        <f>IFERROR(BR11/BM11,0)</f>
        <v/>
      </c>
      <c r="BV11" s="163">
        <f>BT11</f>
        <v/>
      </c>
      <c r="BW11" s="163">
        <f>IF(BL11&gt;0,BL11,SUM(BT11:BV11))</f>
        <v/>
      </c>
      <c r="BX11" s="163" t="n">
        <v>1</v>
      </c>
      <c r="BY11" s="163">
        <f>BW11*BX11</f>
        <v/>
      </c>
    </row>
    <row r="12" ht="45" customHeight="1" s="516">
      <c r="A12" s="33" t="inlineStr">
        <is>
          <t>Count of Max Barcodes in L in sorting area</t>
        </is>
      </c>
      <c r="B12" s="26" t="n">
        <v>70</v>
      </c>
      <c r="C12" s="212" t="inlineStr">
        <is>
          <t>Number of barcodes along the side of induction stations</t>
        </is>
      </c>
      <c r="D12" s="1">
        <f>B12*$B$32</f>
        <v/>
      </c>
      <c r="E12" s="1" t="inlineStr">
        <is>
          <t>Meters</t>
        </is>
      </c>
      <c r="G12" s="160">
        <f>G11+1</f>
        <v/>
      </c>
      <c r="H12" s="161" t="inlineStr">
        <is>
          <t>Zippy 10 90 degree Turn</t>
        </is>
      </c>
      <c r="I12" s="162" t="inlineStr">
        <is>
          <t>Turn and align to get inducted</t>
        </is>
      </c>
      <c r="J12" s="163">
        <f>IFERROR(VLOOKUP(H12,'Master List'!$A:$D,2,0),0)</f>
        <v/>
      </c>
      <c r="K12" s="163">
        <f>IFERROR(VLOOKUP(H12,'Master List'!$A:$D,3,0),0)</f>
        <v/>
      </c>
      <c r="L12" s="163">
        <f>IFERROR(VLOOKUP(H12,'Master List'!$A:$D,4,0),0)</f>
        <v/>
      </c>
      <c r="M12" s="163" t="n"/>
      <c r="N12" s="163">
        <f>IFERROR(K12/L12,0)</f>
        <v/>
      </c>
      <c r="O12" s="163">
        <f>IFERROR(IF(M12&lt;((1/2*L12*N12^2)*2),1/2*L12*SQRT((M12/2)*2/L12)^2,1/2*L12*N12^2),0)</f>
        <v/>
      </c>
      <c r="P12" s="163">
        <f>IFERROR(IF(M12-O12-Q12&lt;=0,0,M12-O12-Q12),0)</f>
        <v/>
      </c>
      <c r="Q12" s="163">
        <f>O12</f>
        <v/>
      </c>
      <c r="R12" s="163">
        <f>IFERROR(IF(M12&lt;((1/2*L12*N12^2)*2),SQRT((M12/2)*2/L12),N12),0)</f>
        <v/>
      </c>
      <c r="S12" s="163">
        <f>IFERROR(P12/K12,0)</f>
        <v/>
      </c>
      <c r="T12" s="163">
        <f>R12</f>
        <v/>
      </c>
      <c r="U12" s="163">
        <f>IF(J12&gt;0,J12,SUM(R12:T12))</f>
        <v/>
      </c>
      <c r="V12" s="163" t="n">
        <v>1</v>
      </c>
      <c r="W12" s="163">
        <f>U12*V12</f>
        <v/>
      </c>
      <c r="Y12" s="160">
        <f>Y11+1</f>
        <v/>
      </c>
      <c r="Z12" s="161" t="inlineStr">
        <is>
          <t>Zippy 10 90 degree Turn</t>
        </is>
      </c>
      <c r="AA12" s="162" t="n"/>
      <c r="AB12" s="163">
        <f>IFERROR(VLOOKUP(Z12,'Master List'!$A:$D,2,0),0)</f>
        <v/>
      </c>
      <c r="AC12" s="163">
        <f>IFERROR(VLOOKUP(Z12,'Master List'!$A:$D,3,0),0)</f>
        <v/>
      </c>
      <c r="AD12" s="163">
        <f>IFERROR(VLOOKUP(Z12,'Master List'!$A:$D,4,0),0)</f>
        <v/>
      </c>
      <c r="AE12" s="163" t="n"/>
      <c r="AF12" s="163">
        <f>IFERROR(AC12/AD12,0)</f>
        <v/>
      </c>
      <c r="AG12" s="163">
        <f>IFERROR(IF(AE12&lt;((1/2*AD12*AF12^2)*2),1/2*AD12*SQRT((AE12/2)*2/AD12)^2,1/2*AD12*AF12^2),0)</f>
        <v/>
      </c>
      <c r="AH12" s="163">
        <f>IFERROR(IF(AE12-AG12-AI12&lt;=0,0,AE12-AG12-AI12),0)</f>
        <v/>
      </c>
      <c r="AI12" s="163">
        <f>AG12</f>
        <v/>
      </c>
      <c r="AJ12" s="163">
        <f>IFERROR(IF(AE12&lt;((1/2*AD12*AF12^2)*2),SQRT((AE12/2)*2/AD12),AF12),0)</f>
        <v/>
      </c>
      <c r="AK12" s="163">
        <f>IFERROR(AH12/AC12,0)</f>
        <v/>
      </c>
      <c r="AL12" s="163">
        <f>AJ12</f>
        <v/>
      </c>
      <c r="AM12" s="163">
        <f>IF(AB12&gt;0,AB12,SUM(AJ12:AL12))</f>
        <v/>
      </c>
      <c r="AN12" s="163" t="n">
        <v>1</v>
      </c>
      <c r="AO12" s="163">
        <f>AM12*AN12</f>
        <v/>
      </c>
      <c r="AQ12" s="160">
        <f>AQ11+1</f>
        <v/>
      </c>
      <c r="AR12" s="161" t="inlineStr">
        <is>
          <t>Zippy 10 90 degree Turn</t>
        </is>
      </c>
      <c r="AS12" s="162" t="n"/>
      <c r="AT12" s="163">
        <f>IFERROR(VLOOKUP(AR12,'Master List'!$A:$D,2,0),0)</f>
        <v/>
      </c>
      <c r="AU12" s="163">
        <f>IFERROR(VLOOKUP(AR12,'Master List'!$A:$D,3,0),0)</f>
        <v/>
      </c>
      <c r="AV12" s="163">
        <f>IFERROR(VLOOKUP(AR12,'Master List'!$A:$D,4,0),0)</f>
        <v/>
      </c>
      <c r="AW12" s="163" t="n"/>
      <c r="AX12" s="163">
        <f>IFERROR(AU12/AV12,0)</f>
        <v/>
      </c>
      <c r="AY12" s="163">
        <f>IFERROR(IF(AW12&lt;((1/2*AV12*AX12^2)*2),1/2*AV12*SQRT((AW12/2)*2/AV12)^2,1/2*AV12*AX12^2),0)</f>
        <v/>
      </c>
      <c r="AZ12" s="163">
        <f>IFERROR(IF(AW12-AY12-BA12&lt;=0,0,AW12-AY12-BA12),0)</f>
        <v/>
      </c>
      <c r="BA12" s="163">
        <f>AY12</f>
        <v/>
      </c>
      <c r="BB12" s="163">
        <f>IFERROR(IF(AW12&lt;((1/2*AV12*AX12^2)*2),SQRT((AW12/2)*2/AV12),AX12),0)</f>
        <v/>
      </c>
      <c r="BC12" s="163">
        <f>IFERROR(AZ12/AU12,0)</f>
        <v/>
      </c>
      <c r="BD12" s="163">
        <f>BB12</f>
        <v/>
      </c>
      <c r="BE12" s="163">
        <f>IF(AT12&gt;0,AT12,SUM(BB12:BD12))</f>
        <v/>
      </c>
      <c r="BF12" s="163" t="n">
        <v>1</v>
      </c>
      <c r="BG12" s="163">
        <f>BE12*BF12</f>
        <v/>
      </c>
      <c r="BI12" s="160">
        <f>BI11+1</f>
        <v/>
      </c>
      <c r="BJ12" s="161" t="inlineStr">
        <is>
          <t>Zippy 10 90 degree Turn</t>
        </is>
      </c>
      <c r="BK12" s="162" t="n"/>
      <c r="BL12" s="163">
        <f>IFERROR(VLOOKUP(BJ12,'Master List'!$A:$D,2,0),0)</f>
        <v/>
      </c>
      <c r="BM12" s="163">
        <f>IFERROR(VLOOKUP(BJ12,'Master List'!$A:$D,3,0),0)</f>
        <v/>
      </c>
      <c r="BN12" s="163">
        <f>IFERROR(VLOOKUP(BJ12,'Master List'!$A:$D,4,0),0)</f>
        <v/>
      </c>
      <c r="BO12" s="163" t="n"/>
      <c r="BP12" s="163">
        <f>IFERROR(BM12/BN12,0)</f>
        <v/>
      </c>
      <c r="BQ12" s="163">
        <f>IFERROR(IF(BO12&lt;((1/2*BN12*BP12^2)*2),1/2*BN12*SQRT((BO12/2)*2/BN12)^2,1/2*BN12*BP12^2),0)</f>
        <v/>
      </c>
      <c r="BR12" s="163">
        <f>IFERROR(IF(BO12-BQ12-BS12&lt;=0,0,BO12-BQ12-BS12),0)</f>
        <v/>
      </c>
      <c r="BS12" s="163">
        <f>BQ12</f>
        <v/>
      </c>
      <c r="BT12" s="163">
        <f>IFERROR(IF(BO12&lt;((1/2*BN12*BP12^2)*2),SQRT((BO12/2)*2/BN12),BP12),0)</f>
        <v/>
      </c>
      <c r="BU12" s="163">
        <f>IFERROR(BR12/BM12,0)</f>
        <v/>
      </c>
      <c r="BV12" s="163">
        <f>BT12</f>
        <v/>
      </c>
      <c r="BW12" s="163">
        <f>IF(BL12&gt;0,BL12,SUM(BT12:BV12))</f>
        <v/>
      </c>
      <c r="BX12" s="163" t="n">
        <v>1</v>
      </c>
      <c r="BY12" s="163">
        <f>BW12*BX12</f>
        <v/>
      </c>
    </row>
    <row r="13" ht="45" customHeight="1" s="516">
      <c r="A13" s="33" t="inlineStr">
        <is>
          <t>Count of Max Barcodes in W in sorting area</t>
        </is>
      </c>
      <c r="B13" s="26" t="n">
        <v>45</v>
      </c>
      <c r="C13" s="212" t="inlineStr">
        <is>
          <t>Number of barcodes perpendicular to of induction stations</t>
        </is>
      </c>
      <c r="D13" s="1">
        <f>B13*$B$32</f>
        <v/>
      </c>
      <c r="E13" s="1" t="inlineStr">
        <is>
          <t>Meters</t>
        </is>
      </c>
      <c r="G13" s="160">
        <f>G12+1</f>
        <v/>
      </c>
      <c r="H13" s="161" t="inlineStr">
        <is>
          <t>Zippy 10 Running</t>
        </is>
      </c>
      <c r="I13" s="162" t="inlineStr">
        <is>
          <t>Distance travelled in X direction</t>
        </is>
      </c>
      <c r="J13" s="163">
        <f>IFERROR(VLOOKUP(H13,'Master List'!$A:$D,2,0),0)</f>
        <v/>
      </c>
      <c r="K13" s="163">
        <f>IFERROR(VLOOKUP(H13,'Master List'!$A:$D,3,0),0)</f>
        <v/>
      </c>
      <c r="L13" s="163">
        <f>IFERROR(VLOOKUP(H13,'Master List'!$A:$D,4,0),0)</f>
        <v/>
      </c>
      <c r="M13" s="163">
        <f>$C$21</f>
        <v/>
      </c>
      <c r="N13" s="163">
        <f>IFERROR(K13/L13,0)</f>
        <v/>
      </c>
      <c r="O13" s="163">
        <f>IFERROR(IF(M13&lt;((1/2*L13*N13^2)*2),1/2*L13*SQRT((M13/2)*2/L13)^2,1/2*L13*N13^2),0)</f>
        <v/>
      </c>
      <c r="P13" s="163">
        <f>IFERROR(IF(M13-O13-Q13&lt;=0,0,M13-O13-Q13),0)</f>
        <v/>
      </c>
      <c r="Q13" s="163">
        <f>O13</f>
        <v/>
      </c>
      <c r="R13" s="163">
        <f>IFERROR(IF(M13&lt;((1/2*L13*N13^2)*2),SQRT((M13/2)*2/L13),N13),0)</f>
        <v/>
      </c>
      <c r="S13" s="163">
        <f>IFERROR(P13/K13,0)</f>
        <v/>
      </c>
      <c r="T13" s="163">
        <f>R13</f>
        <v/>
      </c>
      <c r="U13" s="163">
        <f>IF(J13&gt;0,J13,SUM(R13:T13))</f>
        <v/>
      </c>
      <c r="V13" s="163" t="n">
        <v>1</v>
      </c>
      <c r="W13" s="163">
        <f>U13*V13</f>
        <v/>
      </c>
      <c r="Y13" s="160">
        <f>Y12+1</f>
        <v/>
      </c>
      <c r="Z13" s="161" t="inlineStr">
        <is>
          <t>Zippy 10 Running</t>
        </is>
      </c>
      <c r="AA13" s="162" t="n"/>
      <c r="AB13" s="163">
        <f>IFERROR(VLOOKUP(Z13,'Master List'!$A:$D,2,0),0)</f>
        <v/>
      </c>
      <c r="AC13" s="163">
        <f>IFERROR(VLOOKUP(Z13,'Master List'!$A:$D,3,0),0)</f>
        <v/>
      </c>
      <c r="AD13" s="163">
        <f>IFERROR(VLOOKUP(Z13,'Master List'!$A:$D,4,0),0)</f>
        <v/>
      </c>
      <c r="AE13" s="163">
        <f>$C$22</f>
        <v/>
      </c>
      <c r="AF13" s="163">
        <f>IFERROR(AC13/AD13,0)</f>
        <v/>
      </c>
      <c r="AG13" s="163">
        <f>IFERROR(IF(AE13&lt;((1/2*AD13*AF13^2)*2),1/2*AD13*SQRT((AE13/2)*2/AD13)^2,1/2*AD13*AF13^2),0)</f>
        <v/>
      </c>
      <c r="AH13" s="163">
        <f>IFERROR(IF(AE13-AG13-AI13&lt;=0,0,AE13-AG13-AI13),0)</f>
        <v/>
      </c>
      <c r="AI13" s="163">
        <f>AG13</f>
        <v/>
      </c>
      <c r="AJ13" s="163">
        <f>IFERROR(IF(AE13&lt;((1/2*AD13*AF13^2)*2),SQRT((AE13/2)*2/AD13),AF13),0)</f>
        <v/>
      </c>
      <c r="AK13" s="163">
        <f>IFERROR(AH13/AC13,0)</f>
        <v/>
      </c>
      <c r="AL13" s="163">
        <f>AJ13</f>
        <v/>
      </c>
      <c r="AM13" s="163">
        <f>IF(AB13&gt;0,AB13,SUM(AJ13:AL13))</f>
        <v/>
      </c>
      <c r="AN13" s="163" t="n">
        <v>1</v>
      </c>
      <c r="AO13" s="163">
        <f>AM13*AN13</f>
        <v/>
      </c>
      <c r="AQ13" s="160">
        <f>AQ12+1</f>
        <v/>
      </c>
      <c r="AR13" s="161" t="inlineStr">
        <is>
          <t>Zippy 10 Running</t>
        </is>
      </c>
      <c r="AS13" s="162" t="n"/>
      <c r="AT13" s="163">
        <f>IFERROR(VLOOKUP(AR13,'Master List'!$A:$D,2,0),0)</f>
        <v/>
      </c>
      <c r="AU13" s="163">
        <f>IFERROR(VLOOKUP(AR13,'Master List'!$A:$D,3,0),0)</f>
        <v/>
      </c>
      <c r="AV13" s="163">
        <f>IFERROR(VLOOKUP(AR13,'Master List'!$A:$D,4,0),0)</f>
        <v/>
      </c>
      <c r="AW13" s="163">
        <f>$C$23</f>
        <v/>
      </c>
      <c r="AX13" s="163">
        <f>IFERROR(AU13/AV13,0)</f>
        <v/>
      </c>
      <c r="AY13" s="163">
        <f>IFERROR(IF(AW13&lt;((1/2*AV13*AX13^2)*2),1/2*AV13*SQRT((AW13/2)*2/AV13)^2,1/2*AV13*AX13^2),0)</f>
        <v/>
      </c>
      <c r="AZ13" s="163">
        <f>IFERROR(IF(AW13-AY13-BA13&lt;=0,0,AW13-AY13-BA13),0)</f>
        <v/>
      </c>
      <c r="BA13" s="163">
        <f>AY13</f>
        <v/>
      </c>
      <c r="BB13" s="163">
        <f>IFERROR(IF(AW13&lt;((1/2*AV13*AX13^2)*2),SQRT((AW13/2)*2/AV13),AX13),0)</f>
        <v/>
      </c>
      <c r="BC13" s="163">
        <f>IFERROR(AZ13/AU13,0)</f>
        <v/>
      </c>
      <c r="BD13" s="163">
        <f>BB13</f>
        <v/>
      </c>
      <c r="BE13" s="163">
        <f>IF(AT13&gt;0,AT13,SUM(BB13:BD13))</f>
        <v/>
      </c>
      <c r="BF13" s="163" t="n">
        <v>1</v>
      </c>
      <c r="BG13" s="163">
        <f>BE13*BF13</f>
        <v/>
      </c>
      <c r="BI13" s="160">
        <f>BI12+1</f>
        <v/>
      </c>
      <c r="BJ13" s="161" t="inlineStr">
        <is>
          <t>Zippy 10 Running</t>
        </is>
      </c>
      <c r="BK13" s="162" t="n"/>
      <c r="BL13" s="163">
        <f>IFERROR(VLOOKUP(BJ13,'Master List'!$A:$D,2,0),0)</f>
        <v/>
      </c>
      <c r="BM13" s="163">
        <f>IFERROR(VLOOKUP(BJ13,'Master List'!$A:$D,3,0),0)</f>
        <v/>
      </c>
      <c r="BN13" s="163">
        <f>IFERROR(VLOOKUP(BJ13,'Master List'!$A:$D,4,0),0)</f>
        <v/>
      </c>
      <c r="BO13" s="163">
        <f>$C$24</f>
        <v/>
      </c>
      <c r="BP13" s="163">
        <f>IFERROR(BM13/BN13,0)</f>
        <v/>
      </c>
      <c r="BQ13" s="163">
        <f>IFERROR(IF(BO13&lt;((1/2*BN13*BP13^2)*2),1/2*BN13*SQRT((BO13/2)*2/BN13)^2,1/2*BN13*BP13^2),0)</f>
        <v/>
      </c>
      <c r="BR13" s="163">
        <f>IFERROR(IF(BO13-BQ13-BS13&lt;=0,0,BO13-BQ13-BS13),0)</f>
        <v/>
      </c>
      <c r="BS13" s="163">
        <f>BQ13</f>
        <v/>
      </c>
      <c r="BT13" s="163">
        <f>IFERROR(IF(BO13&lt;((1/2*BN13*BP13^2)*2),SQRT((BO13/2)*2/BN13),BP13),0)</f>
        <v/>
      </c>
      <c r="BU13" s="163">
        <f>IFERROR(BR13/BM13,0)</f>
        <v/>
      </c>
      <c r="BV13" s="163">
        <f>BT13</f>
        <v/>
      </c>
      <c r="BW13" s="163">
        <f>IF(BL13&gt;0,BL13,SUM(BT13:BV13))</f>
        <v/>
      </c>
      <c r="BX13" s="163" t="n">
        <v>1</v>
      </c>
      <c r="BY13" s="163">
        <f>BW13*BX13</f>
        <v/>
      </c>
    </row>
    <row r="14" ht="30" customHeight="1" s="516">
      <c r="A14" s="178" t="inlineStr">
        <is>
          <t>Distance between induction station and first sort point in M</t>
        </is>
      </c>
      <c r="B14" s="48" t="n">
        <v>7</v>
      </c>
      <c r="C14" s="33" t="n"/>
      <c r="G14" s="160">
        <f>G13+1</f>
        <v/>
      </c>
      <c r="H14" s="161" t="inlineStr">
        <is>
          <t>Zippy 10 90 degree Turn</t>
        </is>
      </c>
      <c r="I14" s="162" t="inlineStr">
        <is>
          <t>Turn to start travelling in Y direction</t>
        </is>
      </c>
      <c r="J14" s="163">
        <f>IFERROR(VLOOKUP(H14,'Master List'!$A:$D,2,0),0)</f>
        <v/>
      </c>
      <c r="K14" s="163">
        <f>IFERROR(VLOOKUP(H14,'Master List'!$A:$D,3,0),0)</f>
        <v/>
      </c>
      <c r="L14" s="163">
        <f>IFERROR(VLOOKUP(H14,'Master List'!$A:$D,4,0),0)</f>
        <v/>
      </c>
      <c r="M14" s="163" t="n"/>
      <c r="N14" s="163">
        <f>IFERROR(K14/L14,0)</f>
        <v/>
      </c>
      <c r="O14" s="163">
        <f>IFERROR(IF(M14&lt;((1/2*L14*N14^2)*2),1/2*L14*SQRT((M14/2)*2/L14)^2,1/2*L14*N14^2),0)</f>
        <v/>
      </c>
      <c r="P14" s="163">
        <f>IFERROR(IF(M14-O14-Q14&lt;=0,0,M14-O14-Q14),0)</f>
        <v/>
      </c>
      <c r="Q14" s="163">
        <f>O14</f>
        <v/>
      </c>
      <c r="R14" s="163">
        <f>IFERROR(IF(M14&lt;((1/2*L14*N14^2)*2),SQRT((M14/2)*2/L14),N14),0)</f>
        <v/>
      </c>
      <c r="S14" s="163">
        <f>IFERROR(P14/K14,0)</f>
        <v/>
      </c>
      <c r="T14" s="163">
        <f>R14</f>
        <v/>
      </c>
      <c r="U14" s="163">
        <f>IF(J14&gt;0,J14,SUM(R14:T14))</f>
        <v/>
      </c>
      <c r="V14" s="163" t="n">
        <v>1</v>
      </c>
      <c r="W14" s="163">
        <f>U14*V14</f>
        <v/>
      </c>
      <c r="Y14" s="160">
        <f>Y13+1</f>
        <v/>
      </c>
      <c r="Z14" s="161" t="inlineStr">
        <is>
          <t>Zippy 10 90 degree Turn</t>
        </is>
      </c>
      <c r="AA14" s="162" t="n"/>
      <c r="AB14" s="163">
        <f>IFERROR(VLOOKUP(Z14,'Master List'!$A:$D,2,0),0)</f>
        <v/>
      </c>
      <c r="AC14" s="163">
        <f>IFERROR(VLOOKUP(Z14,'Master List'!$A:$D,3,0),0)</f>
        <v/>
      </c>
      <c r="AD14" s="163">
        <f>IFERROR(VLOOKUP(Z14,'Master List'!$A:$D,4,0),0)</f>
        <v/>
      </c>
      <c r="AE14" s="163" t="n"/>
      <c r="AF14" s="163">
        <f>IFERROR(AC14/AD14,0)</f>
        <v/>
      </c>
      <c r="AG14" s="163">
        <f>IFERROR(IF(AE14&lt;((1/2*AD14*AF14^2)*2),1/2*AD14*SQRT((AE14/2)*2/AD14)^2,1/2*AD14*AF14^2),0)</f>
        <v/>
      </c>
      <c r="AH14" s="163">
        <f>IFERROR(IF(AE14-AG14-AI14&lt;=0,0,AE14-AG14-AI14),0)</f>
        <v/>
      </c>
      <c r="AI14" s="163">
        <f>AG14</f>
        <v/>
      </c>
      <c r="AJ14" s="163">
        <f>IFERROR(IF(AE14&lt;((1/2*AD14*AF14^2)*2),SQRT((AE14/2)*2/AD14),AF14),0)</f>
        <v/>
      </c>
      <c r="AK14" s="163">
        <f>IFERROR(AH14/AC14,0)</f>
        <v/>
      </c>
      <c r="AL14" s="163">
        <f>AJ14</f>
        <v/>
      </c>
      <c r="AM14" s="163">
        <f>IF(AB14&gt;0,AB14,SUM(AJ14:AL14))</f>
        <v/>
      </c>
      <c r="AN14" s="163" t="n">
        <v>1</v>
      </c>
      <c r="AO14" s="163">
        <f>AM14*AN14</f>
        <v/>
      </c>
      <c r="AQ14" s="160">
        <f>AQ13+1</f>
        <v/>
      </c>
      <c r="AR14" s="161" t="inlineStr">
        <is>
          <t>Zippy 10 90 degree Turn</t>
        </is>
      </c>
      <c r="AS14" s="162" t="n"/>
      <c r="AT14" s="163">
        <f>IFERROR(VLOOKUP(AR14,'Master List'!$A:$D,2,0),0)</f>
        <v/>
      </c>
      <c r="AU14" s="163">
        <f>IFERROR(VLOOKUP(AR14,'Master List'!$A:$D,3,0),0)</f>
        <v/>
      </c>
      <c r="AV14" s="163">
        <f>IFERROR(VLOOKUP(AR14,'Master List'!$A:$D,4,0),0)</f>
        <v/>
      </c>
      <c r="AW14" s="163" t="n"/>
      <c r="AX14" s="163">
        <f>IFERROR(AU14/AV14,0)</f>
        <v/>
      </c>
      <c r="AY14" s="163">
        <f>IFERROR(IF(AW14&lt;((1/2*AV14*AX14^2)*2),1/2*AV14*SQRT((AW14/2)*2/AV14)^2,1/2*AV14*AX14^2),0)</f>
        <v/>
      </c>
      <c r="AZ14" s="163">
        <f>IFERROR(IF(AW14-AY14-BA14&lt;=0,0,AW14-AY14-BA14),0)</f>
        <v/>
      </c>
      <c r="BA14" s="163">
        <f>AY14</f>
        <v/>
      </c>
      <c r="BB14" s="163">
        <f>IFERROR(IF(AW14&lt;((1/2*AV14*AX14^2)*2),SQRT((AW14/2)*2/AV14),AX14),0)</f>
        <v/>
      </c>
      <c r="BC14" s="163">
        <f>IFERROR(AZ14/AU14,0)</f>
        <v/>
      </c>
      <c r="BD14" s="163">
        <f>BB14</f>
        <v/>
      </c>
      <c r="BE14" s="163">
        <f>IF(AT14&gt;0,AT14,SUM(BB14:BD14))</f>
        <v/>
      </c>
      <c r="BF14" s="163" t="n">
        <v>1</v>
      </c>
      <c r="BG14" s="163">
        <f>BE14*BF14</f>
        <v/>
      </c>
      <c r="BI14" s="160">
        <f>BI13+1</f>
        <v/>
      </c>
      <c r="BJ14" s="161" t="inlineStr">
        <is>
          <t>Zippy 10 90 degree Turn</t>
        </is>
      </c>
      <c r="BK14" s="162" t="n"/>
      <c r="BL14" s="163">
        <f>IFERROR(VLOOKUP(BJ14,'Master List'!$A:$D,2,0),0)</f>
        <v/>
      </c>
      <c r="BM14" s="163">
        <f>IFERROR(VLOOKUP(BJ14,'Master List'!$A:$D,3,0),0)</f>
        <v/>
      </c>
      <c r="BN14" s="163">
        <f>IFERROR(VLOOKUP(BJ14,'Master List'!$A:$D,4,0),0)</f>
        <v/>
      </c>
      <c r="BO14" s="163" t="n"/>
      <c r="BP14" s="163">
        <f>IFERROR(BM14/BN14,0)</f>
        <v/>
      </c>
      <c r="BQ14" s="163">
        <f>IFERROR(IF(BO14&lt;((1/2*BN14*BP14^2)*2),1/2*BN14*SQRT((BO14/2)*2/BN14)^2,1/2*BN14*BP14^2),0)</f>
        <v/>
      </c>
      <c r="BR14" s="163">
        <f>IFERROR(IF(BO14-BQ14-BS14&lt;=0,0,BO14-BQ14-BS14),0)</f>
        <v/>
      </c>
      <c r="BS14" s="163">
        <f>BQ14</f>
        <v/>
      </c>
      <c r="BT14" s="163">
        <f>IFERROR(IF(BO14&lt;((1/2*BN14*BP14^2)*2),SQRT((BO14/2)*2/BN14),BP14),0)</f>
        <v/>
      </c>
      <c r="BU14" s="163">
        <f>IFERROR(BR14/BM14,0)</f>
        <v/>
      </c>
      <c r="BV14" s="163">
        <f>BT14</f>
        <v/>
      </c>
      <c r="BW14" s="163">
        <f>IF(BL14&gt;0,BL14,SUM(BT14:BV14))</f>
        <v/>
      </c>
      <c r="BX14" s="163" t="n">
        <v>1</v>
      </c>
      <c r="BY14" s="163">
        <f>BW14*BX14</f>
        <v/>
      </c>
    </row>
    <row r="15" ht="15" customHeight="1" s="516">
      <c r="A15" s="33" t="inlineStr">
        <is>
          <t>Throughput (Sorts per hour)</t>
        </is>
      </c>
      <c r="B15" s="48" t="n">
        <v>7000</v>
      </c>
      <c r="C15" s="212" t="inlineStr">
        <is>
          <t>Sorts per Hr</t>
        </is>
      </c>
      <c r="G15" s="160">
        <f>G14+1</f>
        <v/>
      </c>
      <c r="H15" s="161" t="inlineStr">
        <is>
          <t>Zippy 10 Running</t>
        </is>
      </c>
      <c r="I15" s="162" t="inlineStr">
        <is>
          <t>Distance travelled in Y direction</t>
        </is>
      </c>
      <c r="J15" s="163">
        <f>IFERROR(VLOOKUP(H15,'Master List'!$A:$D,2,0),0)</f>
        <v/>
      </c>
      <c r="K15" s="163">
        <f>IFERROR(VLOOKUP(H15,'Master List'!$A:$D,3,0),0)</f>
        <v/>
      </c>
      <c r="L15" s="163">
        <f>IFERROR(VLOOKUP(H15,'Master List'!$A:$D,4,0),0)</f>
        <v/>
      </c>
      <c r="M15" s="163">
        <f>$C$27</f>
        <v/>
      </c>
      <c r="N15" s="163">
        <f>IFERROR(K15/L15,0)</f>
        <v/>
      </c>
      <c r="O15" s="163">
        <f>IFERROR(IF(M15&lt;((1/2*L15*N15^2)*2),1/2*L15*SQRT((M15/2)*2/L15)^2,1/2*L15*N15^2),0)</f>
        <v/>
      </c>
      <c r="P15" s="163">
        <f>IFERROR(IF(M15-O15-Q15&lt;=0,0,M15-O15-Q15),0)</f>
        <v/>
      </c>
      <c r="Q15" s="163">
        <f>O15</f>
        <v/>
      </c>
      <c r="R15" s="163">
        <f>IFERROR(IF(M15&lt;((1/2*L15*N15^2)*2),SQRT((M15/2)*2/L15),N15),0)</f>
        <v/>
      </c>
      <c r="S15" s="163">
        <f>IFERROR(P15/K15,0)</f>
        <v/>
      </c>
      <c r="T15" s="163">
        <f>R15</f>
        <v/>
      </c>
      <c r="U15" s="163">
        <f>IF(J15&gt;0,J15,SUM(R15:T15))</f>
        <v/>
      </c>
      <c r="V15" s="163" t="n">
        <v>1</v>
      </c>
      <c r="W15" s="163">
        <f>U15*V15</f>
        <v/>
      </c>
      <c r="Y15" s="160">
        <f>Y14+1</f>
        <v/>
      </c>
      <c r="Z15" s="161" t="inlineStr">
        <is>
          <t>Zippy 10 Running</t>
        </is>
      </c>
      <c r="AA15" s="162" t="n"/>
      <c r="AB15" s="163">
        <f>IFERROR(VLOOKUP(Z15,'Master List'!$A:$D,2,0),0)</f>
        <v/>
      </c>
      <c r="AC15" s="163">
        <f>IFERROR(VLOOKUP(Z15,'Master List'!$A:$D,3,0),0)</f>
        <v/>
      </c>
      <c r="AD15" s="163">
        <f>IFERROR(VLOOKUP(Z15,'Master List'!$A:$D,4,0),0)</f>
        <v/>
      </c>
      <c r="AE15" s="163">
        <f>$C$28</f>
        <v/>
      </c>
      <c r="AF15" s="163">
        <f>IFERROR(AC15/AD15,0)</f>
        <v/>
      </c>
      <c r="AG15" s="163">
        <f>IFERROR(IF(AE15&lt;((1/2*AD15*AF15^2)*2),1/2*AD15*SQRT((AE15/2)*2/AD15)^2,1/2*AD15*AF15^2),0)</f>
        <v/>
      </c>
      <c r="AH15" s="163">
        <f>IFERROR(IF(AE15-AG15-AI15&lt;=0,0,AE15-AG15-AI15),0)</f>
        <v/>
      </c>
      <c r="AI15" s="163">
        <f>AG15</f>
        <v/>
      </c>
      <c r="AJ15" s="163">
        <f>IFERROR(IF(AE15&lt;((1/2*AD15*AF15^2)*2),SQRT((AE15/2)*2/AD15),AF15),0)</f>
        <v/>
      </c>
      <c r="AK15" s="163">
        <f>IFERROR(AH15/AC15,0)</f>
        <v/>
      </c>
      <c r="AL15" s="163">
        <f>AJ15</f>
        <v/>
      </c>
      <c r="AM15" s="163">
        <f>IF(AB15&gt;0,AB15,SUM(AJ15:AL15))</f>
        <v/>
      </c>
      <c r="AN15" s="163" t="n">
        <v>1</v>
      </c>
      <c r="AO15" s="163">
        <f>AM15*AN15</f>
        <v/>
      </c>
      <c r="AQ15" s="160">
        <f>AQ14+1</f>
        <v/>
      </c>
      <c r="AR15" s="161" t="inlineStr">
        <is>
          <t>Zippy 10 Running</t>
        </is>
      </c>
      <c r="AS15" s="162" t="n"/>
      <c r="AT15" s="163">
        <f>IFERROR(VLOOKUP(AR15,'Master List'!$A:$D,2,0),0)</f>
        <v/>
      </c>
      <c r="AU15" s="163">
        <f>IFERROR(VLOOKUP(AR15,'Master List'!$A:$D,3,0),0)</f>
        <v/>
      </c>
      <c r="AV15" s="163">
        <f>IFERROR(VLOOKUP(AR15,'Master List'!$A:$D,4,0),0)</f>
        <v/>
      </c>
      <c r="AW15" s="163">
        <f>$C$29</f>
        <v/>
      </c>
      <c r="AX15" s="163">
        <f>IFERROR(AU15/AV15,0)</f>
        <v/>
      </c>
      <c r="AY15" s="163">
        <f>IFERROR(IF(AW15&lt;((1/2*AV15*AX15^2)*2),1/2*AV15*SQRT((AW15/2)*2/AV15)^2,1/2*AV15*AX15^2),0)</f>
        <v/>
      </c>
      <c r="AZ15" s="163">
        <f>IFERROR(IF(AW15-AY15-BA15&lt;=0,0,AW15-AY15-BA15),0)</f>
        <v/>
      </c>
      <c r="BA15" s="163">
        <f>AY15</f>
        <v/>
      </c>
      <c r="BB15" s="163">
        <f>IFERROR(IF(AW15&lt;((1/2*AV15*AX15^2)*2),SQRT((AW15/2)*2/AV15),AX15),0)</f>
        <v/>
      </c>
      <c r="BC15" s="163">
        <f>IFERROR(AZ15/AU15,0)</f>
        <v/>
      </c>
      <c r="BD15" s="163">
        <f>BB15</f>
        <v/>
      </c>
      <c r="BE15" s="163">
        <f>IF(AT15&gt;0,AT15,SUM(BB15:BD15))</f>
        <v/>
      </c>
      <c r="BF15" s="163" t="n">
        <v>1</v>
      </c>
      <c r="BG15" s="163">
        <f>BE15*BF15</f>
        <v/>
      </c>
      <c r="BI15" s="160">
        <f>BI14+1</f>
        <v/>
      </c>
      <c r="BJ15" s="161" t="inlineStr">
        <is>
          <t>Zippy 10 Running</t>
        </is>
      </c>
      <c r="BK15" s="162" t="n"/>
      <c r="BL15" s="163">
        <f>IFERROR(VLOOKUP(BJ15,'Master List'!$A:$D,2,0),0)</f>
        <v/>
      </c>
      <c r="BM15" s="163">
        <f>IFERROR(VLOOKUP(BJ15,'Master List'!$A:$D,3,0),0)</f>
        <v/>
      </c>
      <c r="BN15" s="163">
        <f>IFERROR(VLOOKUP(BJ15,'Master List'!$A:$D,4,0),0)</f>
        <v/>
      </c>
      <c r="BO15" s="163">
        <f>$C$30</f>
        <v/>
      </c>
      <c r="BP15" s="163">
        <f>IFERROR(BM15/BN15,0)</f>
        <v/>
      </c>
      <c r="BQ15" s="163">
        <f>IFERROR(IF(BO15&lt;((1/2*BN15*BP15^2)*2),1/2*BN15*SQRT((BO15/2)*2/BN15)^2,1/2*BN15*BP15^2),0)</f>
        <v/>
      </c>
      <c r="BR15" s="163">
        <f>IFERROR(IF(BO15-BQ15-BS15&lt;=0,0,BO15-BQ15-BS15),0)</f>
        <v/>
      </c>
      <c r="BS15" s="163">
        <f>BQ15</f>
        <v/>
      </c>
      <c r="BT15" s="163">
        <f>IFERROR(IF(BO15&lt;((1/2*BN15*BP15^2)*2),SQRT((BO15/2)*2/BN15),BP15),0)</f>
        <v/>
      </c>
      <c r="BU15" s="163">
        <f>IFERROR(BR15/BM15,0)</f>
        <v/>
      </c>
      <c r="BV15" s="163">
        <f>BT15</f>
        <v/>
      </c>
      <c r="BW15" s="163">
        <f>IF(BL15&gt;0,BL15,SUM(BT15:BV15))</f>
        <v/>
      </c>
      <c r="BX15" s="163" t="n">
        <v>1</v>
      </c>
      <c r="BY15" s="163">
        <f>BW15*BX15</f>
        <v/>
      </c>
    </row>
    <row r="16" ht="15" customHeight="1" s="516">
      <c r="A16" s="33" t="inlineStr">
        <is>
          <t>Traffic factor</t>
        </is>
      </c>
      <c r="B16" s="36" t="n">
        <v>0.15</v>
      </c>
      <c r="C16" s="212" t="inlineStr">
        <is>
          <t>Variable</t>
        </is>
      </c>
      <c r="G16" s="160">
        <f>G15+1</f>
        <v/>
      </c>
      <c r="H16" s="161" t="inlineStr">
        <is>
          <t>Zippy 10 90 degree Turn</t>
        </is>
      </c>
      <c r="I16" s="162" t="inlineStr">
        <is>
          <t>Turn to move towards sorting point</t>
        </is>
      </c>
      <c r="J16" s="163">
        <f>IFERROR(VLOOKUP(H16,'Master List'!$A:$D,2,0),0)</f>
        <v/>
      </c>
      <c r="K16" s="163">
        <f>IFERROR(VLOOKUP(H16,'Master List'!$A:$D,3,0),0)</f>
        <v/>
      </c>
      <c r="L16" s="163">
        <f>IFERROR(VLOOKUP(H16,'Master List'!$A:$D,4,0),0)</f>
        <v/>
      </c>
      <c r="M16" s="163" t="n"/>
      <c r="N16" s="163">
        <f>IFERROR(K16/L16,0)</f>
        <v/>
      </c>
      <c r="O16" s="163">
        <f>IFERROR(IF(M16&lt;((1/2*L16*N16^2)*2),1/2*L16*SQRT((M16/2)*2/L16)^2,1/2*L16*N16^2),0)</f>
        <v/>
      </c>
      <c r="P16" s="163">
        <f>IFERROR(IF(M16-O16-Q16&lt;=0,0,M16-O16-Q16),0)</f>
        <v/>
      </c>
      <c r="Q16" s="163">
        <f>O16</f>
        <v/>
      </c>
      <c r="R16" s="163">
        <f>IFERROR(IF(M16&lt;((1/2*L16*N16^2)*2),SQRT((M16/2)*2/L16),N16),0)</f>
        <v/>
      </c>
      <c r="S16" s="163">
        <f>IFERROR(P16/K16,0)</f>
        <v/>
      </c>
      <c r="T16" s="163">
        <f>R16</f>
        <v/>
      </c>
      <c r="U16" s="163">
        <f>IF(J16&gt;0,J16,SUM(R16:T16))</f>
        <v/>
      </c>
      <c r="V16" s="163" t="n">
        <v>1</v>
      </c>
      <c r="W16" s="163">
        <f>U16*V16</f>
        <v/>
      </c>
      <c r="Y16" s="160">
        <f>Y15+1</f>
        <v/>
      </c>
      <c r="Z16" s="161" t="inlineStr">
        <is>
          <t>Zippy 10 90 degree Turn</t>
        </is>
      </c>
      <c r="AA16" s="162" t="n"/>
      <c r="AB16" s="163">
        <f>IFERROR(VLOOKUP(Z16,'Master List'!$A:$D,2,0),0)</f>
        <v/>
      </c>
      <c r="AC16" s="163">
        <f>IFERROR(VLOOKUP(Z16,'Master List'!$A:$D,3,0),0)</f>
        <v/>
      </c>
      <c r="AD16" s="163">
        <f>IFERROR(VLOOKUP(Z16,'Master List'!$A:$D,4,0),0)</f>
        <v/>
      </c>
      <c r="AE16" s="163" t="n"/>
      <c r="AF16" s="163">
        <f>IFERROR(AC16/AD16,0)</f>
        <v/>
      </c>
      <c r="AG16" s="163">
        <f>IFERROR(IF(AE16&lt;((1/2*AD16*AF16^2)*2),1/2*AD16*SQRT((AE16/2)*2/AD16)^2,1/2*AD16*AF16^2),0)</f>
        <v/>
      </c>
      <c r="AH16" s="163">
        <f>IFERROR(IF(AE16-AG16-AI16&lt;=0,0,AE16-AG16-AI16),0)</f>
        <v/>
      </c>
      <c r="AI16" s="163">
        <f>AG16</f>
        <v/>
      </c>
      <c r="AJ16" s="163">
        <f>IFERROR(IF(AE16&lt;((1/2*AD16*AF16^2)*2),SQRT((AE16/2)*2/AD16),AF16),0)</f>
        <v/>
      </c>
      <c r="AK16" s="163">
        <f>IFERROR(AH16/AC16,0)</f>
        <v/>
      </c>
      <c r="AL16" s="163">
        <f>AJ16</f>
        <v/>
      </c>
      <c r="AM16" s="163">
        <f>IF(AB16&gt;0,AB16,SUM(AJ16:AL16))</f>
        <v/>
      </c>
      <c r="AN16" s="163" t="n">
        <v>1</v>
      </c>
      <c r="AO16" s="163">
        <f>AM16*AN16</f>
        <v/>
      </c>
      <c r="AQ16" s="160">
        <f>AQ15+1</f>
        <v/>
      </c>
      <c r="AR16" s="161" t="inlineStr">
        <is>
          <t>Zippy 10 90 degree Turn</t>
        </is>
      </c>
      <c r="AS16" s="162" t="n"/>
      <c r="AT16" s="163">
        <f>IFERROR(VLOOKUP(AR16,'Master List'!$A:$D,2,0),0)</f>
        <v/>
      </c>
      <c r="AU16" s="163">
        <f>IFERROR(VLOOKUP(AR16,'Master List'!$A:$D,3,0),0)</f>
        <v/>
      </c>
      <c r="AV16" s="163">
        <f>IFERROR(VLOOKUP(AR16,'Master List'!$A:$D,4,0),0)</f>
        <v/>
      </c>
      <c r="AW16" s="163" t="n"/>
      <c r="AX16" s="163">
        <f>IFERROR(AU16/AV16,0)</f>
        <v/>
      </c>
      <c r="AY16" s="163">
        <f>IFERROR(IF(AW16&lt;((1/2*AV16*AX16^2)*2),1/2*AV16*SQRT((AW16/2)*2/AV16)^2,1/2*AV16*AX16^2),0)</f>
        <v/>
      </c>
      <c r="AZ16" s="163">
        <f>IFERROR(IF(AW16-AY16-BA16&lt;=0,0,AW16-AY16-BA16),0)</f>
        <v/>
      </c>
      <c r="BA16" s="163">
        <f>AY16</f>
        <v/>
      </c>
      <c r="BB16" s="163">
        <f>IFERROR(IF(AW16&lt;((1/2*AV16*AX16^2)*2),SQRT((AW16/2)*2/AV16),AX16),0)</f>
        <v/>
      </c>
      <c r="BC16" s="163">
        <f>IFERROR(AZ16/AU16,0)</f>
        <v/>
      </c>
      <c r="BD16" s="163">
        <f>BB16</f>
        <v/>
      </c>
      <c r="BE16" s="163">
        <f>IF(AT16&gt;0,AT16,SUM(BB16:BD16))</f>
        <v/>
      </c>
      <c r="BF16" s="163" t="n">
        <v>1</v>
      </c>
      <c r="BG16" s="163">
        <f>BE16*BF16</f>
        <v/>
      </c>
      <c r="BI16" s="160">
        <f>BI15+1</f>
        <v/>
      </c>
      <c r="BJ16" s="161" t="inlineStr">
        <is>
          <t>Zippy 10 90 degree Turn</t>
        </is>
      </c>
      <c r="BK16" s="162" t="n"/>
      <c r="BL16" s="163">
        <f>IFERROR(VLOOKUP(BJ16,'Master List'!$A:$D,2,0),0)</f>
        <v/>
      </c>
      <c r="BM16" s="163">
        <f>IFERROR(VLOOKUP(BJ16,'Master List'!$A:$D,3,0),0)</f>
        <v/>
      </c>
      <c r="BN16" s="163">
        <f>IFERROR(VLOOKUP(BJ16,'Master List'!$A:$D,4,0),0)</f>
        <v/>
      </c>
      <c r="BO16" s="163" t="n"/>
      <c r="BP16" s="163">
        <f>IFERROR(BM16/BN16,0)</f>
        <v/>
      </c>
      <c r="BQ16" s="163">
        <f>IFERROR(IF(BO16&lt;((1/2*BN16*BP16^2)*2),1/2*BN16*SQRT((BO16/2)*2/BN16)^2,1/2*BN16*BP16^2),0)</f>
        <v/>
      </c>
      <c r="BR16" s="163">
        <f>IFERROR(IF(BO16-BQ16-BS16&lt;=0,0,BO16-BQ16-BS16),0)</f>
        <v/>
      </c>
      <c r="BS16" s="163">
        <f>BQ16</f>
        <v/>
      </c>
      <c r="BT16" s="163">
        <f>IFERROR(IF(BO16&lt;((1/2*BN16*BP16^2)*2),SQRT((BO16/2)*2/BN16),BP16),0)</f>
        <v/>
      </c>
      <c r="BU16" s="163">
        <f>IFERROR(BR16/BM16,0)</f>
        <v/>
      </c>
      <c r="BV16" s="163">
        <f>BT16</f>
        <v/>
      </c>
      <c r="BW16" s="163">
        <f>IF(BL16&gt;0,BL16,SUM(BT16:BV16))</f>
        <v/>
      </c>
      <c r="BX16" s="163" t="n">
        <v>1</v>
      </c>
      <c r="BY16" s="163">
        <f>BW16*BX16</f>
        <v/>
      </c>
    </row>
    <row r="17" ht="15" customHeight="1" s="516">
      <c r="A17" s="33" t="inlineStr">
        <is>
          <t>Charging factor</t>
        </is>
      </c>
      <c r="B17" s="36" t="n">
        <v>0.12</v>
      </c>
      <c r="C17" s="212" t="inlineStr">
        <is>
          <t>Variable</t>
        </is>
      </c>
      <c r="G17" s="160">
        <f>G16+1</f>
        <v/>
      </c>
      <c r="H17" s="161" t="inlineStr">
        <is>
          <t>Zippy 10 Sorting Conveyor Running</t>
        </is>
      </c>
      <c r="I17" s="162" t="inlineStr">
        <is>
          <t>Sorting</t>
        </is>
      </c>
      <c r="J17" s="163">
        <f>IFERROR(VLOOKUP(H17,'Master List'!$A:$D,2,0),0)</f>
        <v/>
      </c>
      <c r="K17" s="163">
        <f>IFERROR(VLOOKUP(H17,'Master List'!$A:$D,3,0),0)</f>
        <v/>
      </c>
      <c r="L17" s="163">
        <f>IFERROR(VLOOKUP(H17,'Master List'!$A:$D,4,0),0)</f>
        <v/>
      </c>
      <c r="M17" s="163">
        <f>$B$32*2</f>
        <v/>
      </c>
      <c r="N17" s="163">
        <f>IFERROR(K17/L17,0)</f>
        <v/>
      </c>
      <c r="O17" s="163">
        <f>IFERROR(IF(M17&lt;((1/2*L17*N17^2)*2),1/2*L17*SQRT((M17/2)*2/L17)^2,1/2*L17*N17^2),0)</f>
        <v/>
      </c>
      <c r="P17" s="163">
        <f>IFERROR(IF(M17-O17-Q17&lt;=0,0,M17-O17-Q17),0)</f>
        <v/>
      </c>
      <c r="Q17" s="163">
        <f>O17</f>
        <v/>
      </c>
      <c r="R17" s="163">
        <f>IFERROR(IF(M17&lt;((1/2*L17*N17^2)*2),SQRT((M17/2)*2/L17),N17),0)</f>
        <v/>
      </c>
      <c r="S17" s="163">
        <f>IFERROR(P17/K17,0)</f>
        <v/>
      </c>
      <c r="T17" s="163">
        <f>R17</f>
        <v/>
      </c>
      <c r="U17" s="163">
        <f>IF(J17&gt;0,J17,SUM(R17:T17))</f>
        <v/>
      </c>
      <c r="V17" s="163" t="n">
        <v>1</v>
      </c>
      <c r="W17" s="163">
        <f>U17*V17</f>
        <v/>
      </c>
      <c r="Y17" s="160">
        <f>Y16+1</f>
        <v/>
      </c>
      <c r="Z17" s="161" t="inlineStr">
        <is>
          <t>Zippy 10 Sorting Conveyor Running</t>
        </is>
      </c>
      <c r="AA17" s="162" t="n"/>
      <c r="AB17" s="163">
        <f>IFERROR(VLOOKUP(Z17,'Master List'!$A:$D,2,0),0)</f>
        <v/>
      </c>
      <c r="AC17" s="163">
        <f>IFERROR(VLOOKUP(Z17,'Master List'!$A:$D,3,0),0)</f>
        <v/>
      </c>
      <c r="AD17" s="163">
        <f>IFERROR(VLOOKUP(Z17,'Master List'!$A:$D,4,0),0)</f>
        <v/>
      </c>
      <c r="AE17" s="163">
        <f>$B$32*2</f>
        <v/>
      </c>
      <c r="AF17" s="163">
        <f>IFERROR(AC17/AD17,0)</f>
        <v/>
      </c>
      <c r="AG17" s="163">
        <f>IFERROR(IF(AE17&lt;((1/2*AD17*AF17^2)*2),1/2*AD17*SQRT((AE17/2)*2/AD17)^2,1/2*AD17*AF17^2),0)</f>
        <v/>
      </c>
      <c r="AH17" s="163">
        <f>IFERROR(IF(AE17-AG17-AI17&lt;=0,0,AE17-AG17-AI17),0)</f>
        <v/>
      </c>
      <c r="AI17" s="163">
        <f>AG17</f>
        <v/>
      </c>
      <c r="AJ17" s="163">
        <f>IFERROR(IF(AE17&lt;((1/2*AD17*AF17^2)*2),SQRT((AE17/2)*2/AD17),AF17),0)</f>
        <v/>
      </c>
      <c r="AK17" s="163">
        <f>IFERROR(AH17/AC17,0)</f>
        <v/>
      </c>
      <c r="AL17" s="163">
        <f>AJ17</f>
        <v/>
      </c>
      <c r="AM17" s="163">
        <f>IF(AB17&gt;0,AB17,SUM(AJ17:AL17))</f>
        <v/>
      </c>
      <c r="AN17" s="163" t="n">
        <v>1</v>
      </c>
      <c r="AO17" s="163">
        <f>AM17*AN17</f>
        <v/>
      </c>
      <c r="AQ17" s="160">
        <f>AQ16+1</f>
        <v/>
      </c>
      <c r="AR17" s="161" t="inlineStr">
        <is>
          <t>Zippy 10 Sorting Conveyor Running</t>
        </is>
      </c>
      <c r="AS17" s="162" t="n"/>
      <c r="AT17" s="163">
        <f>IFERROR(VLOOKUP(AR17,'Master List'!$A:$D,2,0),0)</f>
        <v/>
      </c>
      <c r="AU17" s="163">
        <f>IFERROR(VLOOKUP(AR17,'Master List'!$A:$D,3,0),0)</f>
        <v/>
      </c>
      <c r="AV17" s="163">
        <f>IFERROR(VLOOKUP(AR17,'Master List'!$A:$D,4,0),0)</f>
        <v/>
      </c>
      <c r="AW17" s="163">
        <f>$B$32*2</f>
        <v/>
      </c>
      <c r="AX17" s="163">
        <f>IFERROR(AU17/AV17,0)</f>
        <v/>
      </c>
      <c r="AY17" s="163">
        <f>IFERROR(IF(AW17&lt;((1/2*AV17*AX17^2)*2),1/2*AV17*SQRT((AW17/2)*2/AV17)^2,1/2*AV17*AX17^2),0)</f>
        <v/>
      </c>
      <c r="AZ17" s="163">
        <f>IFERROR(IF(AW17-AY17-BA17&lt;=0,0,AW17-AY17-BA17),0)</f>
        <v/>
      </c>
      <c r="BA17" s="163">
        <f>AY17</f>
        <v/>
      </c>
      <c r="BB17" s="163">
        <f>IFERROR(IF(AW17&lt;((1/2*AV17*AX17^2)*2),SQRT((AW17/2)*2/AV17),AX17),0)</f>
        <v/>
      </c>
      <c r="BC17" s="163">
        <f>IFERROR(AZ17/AU17,0)</f>
        <v/>
      </c>
      <c r="BD17" s="163">
        <f>BB17</f>
        <v/>
      </c>
      <c r="BE17" s="163">
        <f>IF(AT17&gt;0,AT17,SUM(BB17:BD17))</f>
        <v/>
      </c>
      <c r="BF17" s="163" t="n">
        <v>1</v>
      </c>
      <c r="BG17" s="163">
        <f>BE17*BF17</f>
        <v/>
      </c>
      <c r="BI17" s="160">
        <f>BI16+1</f>
        <v/>
      </c>
      <c r="BJ17" s="161" t="inlineStr">
        <is>
          <t>Zippy 10 Sorting Conveyor Running</t>
        </is>
      </c>
      <c r="BK17" s="162" t="n"/>
      <c r="BL17" s="163">
        <f>IFERROR(VLOOKUP(BJ17,'Master List'!$A:$D,2,0),0)</f>
        <v/>
      </c>
      <c r="BM17" s="163">
        <f>IFERROR(VLOOKUP(BJ17,'Master List'!$A:$D,3,0),0)</f>
        <v/>
      </c>
      <c r="BN17" s="163">
        <f>IFERROR(VLOOKUP(BJ17,'Master List'!$A:$D,4,0),0)</f>
        <v/>
      </c>
      <c r="BO17" s="163">
        <f>$B$32*2</f>
        <v/>
      </c>
      <c r="BP17" s="163">
        <f>IFERROR(BM17/BN17,0)</f>
        <v/>
      </c>
      <c r="BQ17" s="163">
        <f>IFERROR(IF(BO17&lt;((1/2*BN17*BP17^2)*2),1/2*BN17*SQRT((BO17/2)*2/BN17)^2,1/2*BN17*BP17^2),0)</f>
        <v/>
      </c>
      <c r="BR17" s="163">
        <f>IFERROR(IF(BO17-BQ17-BS17&lt;=0,0,BO17-BQ17-BS17),0)</f>
        <v/>
      </c>
      <c r="BS17" s="163">
        <f>BQ17</f>
        <v/>
      </c>
      <c r="BT17" s="163">
        <f>IFERROR(IF(BO17&lt;((1/2*BN17*BP17^2)*2),SQRT((BO17/2)*2/BN17),BP17),0)</f>
        <v/>
      </c>
      <c r="BU17" s="163">
        <f>IFERROR(BR17/BM17,0)</f>
        <v/>
      </c>
      <c r="BV17" s="163">
        <f>BT17</f>
        <v/>
      </c>
      <c r="BW17" s="163">
        <f>IF(BL17&gt;0,BL17,SUM(BT17:BV17))</f>
        <v/>
      </c>
      <c r="BX17" s="163" t="n">
        <v>1</v>
      </c>
      <c r="BY17" s="163">
        <f>BW17*BX17</f>
        <v/>
      </c>
    </row>
    <row r="18" ht="30" customHeight="1" s="516">
      <c r="A18" s="33" t="inlineStr">
        <is>
          <t>Total barcodes in layout</t>
        </is>
      </c>
      <c r="B18" s="48" t="n">
        <v>2000</v>
      </c>
      <c r="C18" s="212" t="inlineStr">
        <is>
          <t>Input total number of barcodes in layout</t>
        </is>
      </c>
      <c r="G18" s="160">
        <f>G17+1</f>
        <v/>
      </c>
      <c r="H18" s="161" t="inlineStr">
        <is>
          <t>Zippy 10 Running</t>
        </is>
      </c>
      <c r="I18" s="162" t="inlineStr">
        <is>
          <t>Move one barcode ahead to make way for zippy behind if any</t>
        </is>
      </c>
      <c r="J18" s="163">
        <f>IFERROR(VLOOKUP(H18,'Master List'!$A:$D,2,0),0)</f>
        <v/>
      </c>
      <c r="K18" s="163">
        <f>IFERROR(VLOOKUP(H18,'Master List'!$A:$D,3,0),0)</f>
        <v/>
      </c>
      <c r="L18" s="163">
        <f>IFERROR(VLOOKUP(H18,'Master List'!$A:$D,4,0),0)</f>
        <v/>
      </c>
      <c r="M18" s="163">
        <f>$B$32</f>
        <v/>
      </c>
      <c r="N18" s="163">
        <f>IFERROR(K18/L18,0)</f>
        <v/>
      </c>
      <c r="O18" s="163">
        <f>IFERROR(IF(M18&lt;((1/2*L18*N18^2)*2),1/2*L18*SQRT((M18/2)*2/L18)^2,1/2*L18*N18^2),0)</f>
        <v/>
      </c>
      <c r="P18" s="163">
        <f>IFERROR(IF(M18-O18-Q18&lt;=0,0,M18-O18-Q18),0)</f>
        <v/>
      </c>
      <c r="Q18" s="163">
        <f>O18</f>
        <v/>
      </c>
      <c r="R18" s="163">
        <f>IFERROR(IF(M18&lt;((1/2*L18*N18^2)*2),SQRT((M18/2)*2/L18),N18),0)</f>
        <v/>
      </c>
      <c r="S18" s="163">
        <f>IFERROR(P18/K18,0)</f>
        <v/>
      </c>
      <c r="T18" s="163">
        <f>R18</f>
        <v/>
      </c>
      <c r="U18" s="163">
        <f>IF(J18&gt;0,J18,SUM(R18:T18))</f>
        <v/>
      </c>
      <c r="V18" s="163" t="n">
        <v>1</v>
      </c>
      <c r="W18" s="163">
        <f>U18*V18</f>
        <v/>
      </c>
      <c r="Y18" s="160">
        <f>Y17+1</f>
        <v/>
      </c>
      <c r="Z18" s="161" t="inlineStr">
        <is>
          <t>Zippy 10 Running</t>
        </is>
      </c>
      <c r="AA18" s="162" t="n"/>
      <c r="AB18" s="163">
        <f>IFERROR(VLOOKUP(Z18,'Master List'!$A:$D,2,0),0)</f>
        <v/>
      </c>
      <c r="AC18" s="163">
        <f>IFERROR(VLOOKUP(Z18,'Master List'!$A:$D,3,0),0)</f>
        <v/>
      </c>
      <c r="AD18" s="163">
        <f>IFERROR(VLOOKUP(Z18,'Master List'!$A:$D,4,0),0)</f>
        <v/>
      </c>
      <c r="AE18" s="163">
        <f>$B$32</f>
        <v/>
      </c>
      <c r="AF18" s="163">
        <f>IFERROR(AC18/AD18,0)</f>
        <v/>
      </c>
      <c r="AG18" s="163">
        <f>IFERROR(IF(AE18&lt;((1/2*AD18*AF18^2)*2),1/2*AD18*SQRT((AE18/2)*2/AD18)^2,1/2*AD18*AF18^2),0)</f>
        <v/>
      </c>
      <c r="AH18" s="163">
        <f>IFERROR(IF(AE18-AG18-AI18&lt;=0,0,AE18-AG18-AI18),0)</f>
        <v/>
      </c>
      <c r="AI18" s="163">
        <f>AG18</f>
        <v/>
      </c>
      <c r="AJ18" s="163">
        <f>IFERROR(IF(AE18&lt;((1/2*AD18*AF18^2)*2),SQRT((AE18/2)*2/AD18),AF18),0)</f>
        <v/>
      </c>
      <c r="AK18" s="163">
        <f>IFERROR(AH18/AC18,0)</f>
        <v/>
      </c>
      <c r="AL18" s="163">
        <f>AJ18</f>
        <v/>
      </c>
      <c r="AM18" s="163">
        <f>IF(AB18&gt;0,AB18,SUM(AJ18:AL18))</f>
        <v/>
      </c>
      <c r="AN18" s="163" t="n">
        <v>1</v>
      </c>
      <c r="AO18" s="163">
        <f>AM18*AN18</f>
        <v/>
      </c>
      <c r="AQ18" s="160">
        <f>AQ17+1</f>
        <v/>
      </c>
      <c r="AR18" s="161" t="inlineStr">
        <is>
          <t>Zippy 10 Running</t>
        </is>
      </c>
      <c r="AS18" s="162" t="n"/>
      <c r="AT18" s="163">
        <f>IFERROR(VLOOKUP(AR18,'Master List'!$A:$D,2,0),0)</f>
        <v/>
      </c>
      <c r="AU18" s="163">
        <f>IFERROR(VLOOKUP(AR18,'Master List'!$A:$D,3,0),0)</f>
        <v/>
      </c>
      <c r="AV18" s="163">
        <f>IFERROR(VLOOKUP(AR18,'Master List'!$A:$D,4,0),0)</f>
        <v/>
      </c>
      <c r="AW18" s="163">
        <f>$B$32</f>
        <v/>
      </c>
      <c r="AX18" s="163">
        <f>IFERROR(AU18/AV18,0)</f>
        <v/>
      </c>
      <c r="AY18" s="163">
        <f>IFERROR(IF(AW18&lt;((1/2*AV18*AX18^2)*2),1/2*AV18*SQRT((AW18/2)*2/AV18)^2,1/2*AV18*AX18^2),0)</f>
        <v/>
      </c>
      <c r="AZ18" s="163">
        <f>IFERROR(IF(AW18-AY18-BA18&lt;=0,0,AW18-AY18-BA18),0)</f>
        <v/>
      </c>
      <c r="BA18" s="163">
        <f>AY18</f>
        <v/>
      </c>
      <c r="BB18" s="163">
        <f>IFERROR(IF(AW18&lt;((1/2*AV18*AX18^2)*2),SQRT((AW18/2)*2/AV18),AX18),0)</f>
        <v/>
      </c>
      <c r="BC18" s="163">
        <f>IFERROR(AZ18/AU18,0)</f>
        <v/>
      </c>
      <c r="BD18" s="163">
        <f>BB18</f>
        <v/>
      </c>
      <c r="BE18" s="163">
        <f>IF(AT18&gt;0,AT18,SUM(BB18:BD18))</f>
        <v/>
      </c>
      <c r="BF18" s="163" t="n">
        <v>1</v>
      </c>
      <c r="BG18" s="163">
        <f>BE18*BF18</f>
        <v/>
      </c>
      <c r="BI18" s="160">
        <f>BI17+1</f>
        <v/>
      </c>
      <c r="BJ18" s="161" t="inlineStr">
        <is>
          <t>Zippy 10 Running</t>
        </is>
      </c>
      <c r="BK18" s="162" t="n"/>
      <c r="BL18" s="163">
        <f>IFERROR(VLOOKUP(BJ18,'Master List'!$A:$D,2,0),0)</f>
        <v/>
      </c>
      <c r="BM18" s="163">
        <f>IFERROR(VLOOKUP(BJ18,'Master List'!$A:$D,3,0),0)</f>
        <v/>
      </c>
      <c r="BN18" s="163">
        <f>IFERROR(VLOOKUP(BJ18,'Master List'!$A:$D,4,0),0)</f>
        <v/>
      </c>
      <c r="BO18" s="163">
        <f>$B$32</f>
        <v/>
      </c>
      <c r="BP18" s="163">
        <f>IFERROR(BM18/BN18,0)</f>
        <v/>
      </c>
      <c r="BQ18" s="163">
        <f>IFERROR(IF(BO18&lt;((1/2*BN18*BP18^2)*2),1/2*BN18*SQRT((BO18/2)*2/BN18)^2,1/2*BN18*BP18^2),0)</f>
        <v/>
      </c>
      <c r="BR18" s="163">
        <f>IFERROR(IF(BO18-BQ18-BS18&lt;=0,0,BO18-BQ18-BS18),0)</f>
        <v/>
      </c>
      <c r="BS18" s="163">
        <f>BQ18</f>
        <v/>
      </c>
      <c r="BT18" s="163">
        <f>IFERROR(IF(BO18&lt;((1/2*BN18*BP18^2)*2),SQRT((BO18/2)*2/BN18),BP18),0)</f>
        <v/>
      </c>
      <c r="BU18" s="163">
        <f>IFERROR(BR18/BM18,0)</f>
        <v/>
      </c>
      <c r="BV18" s="163">
        <f>BT18</f>
        <v/>
      </c>
      <c r="BW18" s="163">
        <f>IF(BL18&gt;0,BL18,SUM(BT18:BV18))</f>
        <v/>
      </c>
      <c r="BX18" s="163" t="n">
        <v>1</v>
      </c>
      <c r="BY18" s="163">
        <f>BW18*BX18</f>
        <v/>
      </c>
    </row>
    <row r="19" ht="15" customHeight="1" s="516">
      <c r="G19" s="160">
        <f>G18+1</f>
        <v/>
      </c>
      <c r="H19" s="161" t="inlineStr">
        <is>
          <t>Zippy 10 90 degree Turn</t>
        </is>
      </c>
      <c r="I19" s="162" t="inlineStr">
        <is>
          <t>Turn to move on highway</t>
        </is>
      </c>
      <c r="J19" s="163">
        <f>IFERROR(VLOOKUP(H19,'Master List'!$A:$D,2,0),0)</f>
        <v/>
      </c>
      <c r="K19" s="163">
        <f>IFERROR(VLOOKUP(H19,'Master List'!$A:$D,3,0),0)</f>
        <v/>
      </c>
      <c r="L19" s="163">
        <f>IFERROR(VLOOKUP(H19,'Master List'!$A:$D,4,0),0)</f>
        <v/>
      </c>
      <c r="M19" s="163" t="n"/>
      <c r="N19" s="163">
        <f>IFERROR(K19/L19,0)</f>
        <v/>
      </c>
      <c r="O19" s="163">
        <f>IFERROR(IF(M19&lt;((1/2*L19*N19^2)*2),1/2*L19*SQRT((M19/2)*2/L19)^2,1/2*L19*N19^2),0)</f>
        <v/>
      </c>
      <c r="P19" s="163">
        <f>IFERROR(IF(M19-O19-Q19&lt;=0,0,M19-O19-Q19),0)</f>
        <v/>
      </c>
      <c r="Q19" s="163">
        <f>O19</f>
        <v/>
      </c>
      <c r="R19" s="163">
        <f>IFERROR(IF(M19&lt;((1/2*L19*N19^2)*2),SQRT((M19/2)*2/L19),N19),0)</f>
        <v/>
      </c>
      <c r="S19" s="163">
        <f>IFERROR(P19/K19,0)</f>
        <v/>
      </c>
      <c r="T19" s="163">
        <f>R19</f>
        <v/>
      </c>
      <c r="U19" s="163">
        <f>IF(J19&gt;0,J19,SUM(R19:T19))</f>
        <v/>
      </c>
      <c r="V19" s="163" t="n">
        <v>1</v>
      </c>
      <c r="W19" s="163">
        <f>U19*V19</f>
        <v/>
      </c>
      <c r="Y19" s="160">
        <f>Y18+1</f>
        <v/>
      </c>
      <c r="Z19" s="161" t="inlineStr">
        <is>
          <t>Zippy 10 90 degree Turn</t>
        </is>
      </c>
      <c r="AA19" s="162" t="n"/>
      <c r="AB19" s="163">
        <f>IFERROR(VLOOKUP(Z19,'Master List'!$A:$D,2,0),0)</f>
        <v/>
      </c>
      <c r="AC19" s="163">
        <f>IFERROR(VLOOKUP(Z19,'Master List'!$A:$D,3,0),0)</f>
        <v/>
      </c>
      <c r="AD19" s="163">
        <f>IFERROR(VLOOKUP(Z19,'Master List'!$A:$D,4,0),0)</f>
        <v/>
      </c>
      <c r="AE19" s="163" t="n"/>
      <c r="AF19" s="163">
        <f>IFERROR(AC19/AD19,0)</f>
        <v/>
      </c>
      <c r="AG19" s="163">
        <f>IFERROR(IF(AE19&lt;((1/2*AD19*AF19^2)*2),1/2*AD19*SQRT((AE19/2)*2/AD19)^2,1/2*AD19*AF19^2),0)</f>
        <v/>
      </c>
      <c r="AH19" s="163">
        <f>IFERROR(IF(AE19-AG19-AI19&lt;=0,0,AE19-AG19-AI19),0)</f>
        <v/>
      </c>
      <c r="AI19" s="163">
        <f>AG19</f>
        <v/>
      </c>
      <c r="AJ19" s="163">
        <f>IFERROR(IF(AE19&lt;((1/2*AD19*AF19^2)*2),SQRT((AE19/2)*2/AD19),AF19),0)</f>
        <v/>
      </c>
      <c r="AK19" s="163">
        <f>IFERROR(AH19/AC19,0)</f>
        <v/>
      </c>
      <c r="AL19" s="163">
        <f>AJ19</f>
        <v/>
      </c>
      <c r="AM19" s="163">
        <f>IF(AB19&gt;0,AB19,SUM(AJ19:AL19))</f>
        <v/>
      </c>
      <c r="AN19" s="163" t="n">
        <v>1</v>
      </c>
      <c r="AO19" s="163">
        <f>AM19*AN19</f>
        <v/>
      </c>
      <c r="AQ19" s="160">
        <f>AQ18+1</f>
        <v/>
      </c>
      <c r="AR19" s="161" t="inlineStr">
        <is>
          <t>Zippy 10 90 degree Turn</t>
        </is>
      </c>
      <c r="AS19" s="162" t="n"/>
      <c r="AT19" s="163">
        <f>IFERROR(VLOOKUP(AR19,'Master List'!$A:$D,2,0),0)</f>
        <v/>
      </c>
      <c r="AU19" s="163">
        <f>IFERROR(VLOOKUP(AR19,'Master List'!$A:$D,3,0),0)</f>
        <v/>
      </c>
      <c r="AV19" s="163">
        <f>IFERROR(VLOOKUP(AR19,'Master List'!$A:$D,4,0),0)</f>
        <v/>
      </c>
      <c r="AW19" s="163" t="n"/>
      <c r="AX19" s="163">
        <f>IFERROR(AU19/AV19,0)</f>
        <v/>
      </c>
      <c r="AY19" s="163">
        <f>IFERROR(IF(AW19&lt;((1/2*AV19*AX19^2)*2),1/2*AV19*SQRT((AW19/2)*2/AV19)^2,1/2*AV19*AX19^2),0)</f>
        <v/>
      </c>
      <c r="AZ19" s="163">
        <f>IFERROR(IF(AW19-AY19-BA19&lt;=0,0,AW19-AY19-BA19),0)</f>
        <v/>
      </c>
      <c r="BA19" s="163">
        <f>AY19</f>
        <v/>
      </c>
      <c r="BB19" s="163">
        <f>IFERROR(IF(AW19&lt;((1/2*AV19*AX19^2)*2),SQRT((AW19/2)*2/AV19),AX19),0)</f>
        <v/>
      </c>
      <c r="BC19" s="163">
        <f>IFERROR(AZ19/AU19,0)</f>
        <v/>
      </c>
      <c r="BD19" s="163">
        <f>BB19</f>
        <v/>
      </c>
      <c r="BE19" s="163">
        <f>IF(AT19&gt;0,AT19,SUM(BB19:BD19))</f>
        <v/>
      </c>
      <c r="BF19" s="163" t="n">
        <v>1</v>
      </c>
      <c r="BG19" s="163">
        <f>BE19*BF19</f>
        <v/>
      </c>
      <c r="BI19" s="160">
        <f>BI18+1</f>
        <v/>
      </c>
      <c r="BJ19" s="161" t="inlineStr">
        <is>
          <t>Zippy 10 90 degree Turn</t>
        </is>
      </c>
      <c r="BK19" s="162" t="n"/>
      <c r="BL19" s="163">
        <f>IFERROR(VLOOKUP(BJ19,'Master List'!$A:$D,2,0),0)</f>
        <v/>
      </c>
      <c r="BM19" s="163">
        <f>IFERROR(VLOOKUP(BJ19,'Master List'!$A:$D,3,0),0)</f>
        <v/>
      </c>
      <c r="BN19" s="163">
        <f>IFERROR(VLOOKUP(BJ19,'Master List'!$A:$D,4,0),0)</f>
        <v/>
      </c>
      <c r="BO19" s="163" t="n"/>
      <c r="BP19" s="163">
        <f>IFERROR(BM19/BN19,0)</f>
        <v/>
      </c>
      <c r="BQ19" s="163">
        <f>IFERROR(IF(BO19&lt;((1/2*BN19*BP19^2)*2),1/2*BN19*SQRT((BO19/2)*2/BN19)^2,1/2*BN19*BP19^2),0)</f>
        <v/>
      </c>
      <c r="BR19" s="163">
        <f>IFERROR(IF(BO19-BQ19-BS19&lt;=0,0,BO19-BQ19-BS19),0)</f>
        <v/>
      </c>
      <c r="BS19" s="163">
        <f>BQ19</f>
        <v/>
      </c>
      <c r="BT19" s="163">
        <f>IFERROR(IF(BO19&lt;((1/2*BN19*BP19^2)*2),SQRT((BO19/2)*2/BN19),BP19),0)</f>
        <v/>
      </c>
      <c r="BU19" s="163">
        <f>IFERROR(BR19/BM19,0)</f>
        <v/>
      </c>
      <c r="BV19" s="163">
        <f>BT19</f>
        <v/>
      </c>
      <c r="BW19" s="163">
        <f>IF(BL19&gt;0,BL19,SUM(BT19:BV19))</f>
        <v/>
      </c>
      <c r="BX19" s="163" t="n">
        <v>1</v>
      </c>
      <c r="BY19" s="163">
        <f>BW19*BX19</f>
        <v/>
      </c>
    </row>
    <row r="20">
      <c r="A20" s="33" t="n"/>
      <c r="B20" s="34" t="inlineStr">
        <is>
          <t>% of distance travelled in X direction</t>
        </is>
      </c>
      <c r="C20" s="34" t="inlineStr">
        <is>
          <t>Distance travelled m</t>
        </is>
      </c>
      <c r="D20" s="34" t="inlineStr">
        <is>
          <t>Cycles/ Hr</t>
        </is>
      </c>
      <c r="E20" s="34" t="inlineStr">
        <is>
          <t>Weightage</t>
        </is>
      </c>
      <c r="G20" s="160">
        <f>G19+1</f>
        <v/>
      </c>
      <c r="H20" s="161" t="inlineStr">
        <is>
          <t>Zippy 10 Running</t>
        </is>
      </c>
      <c r="I20" s="162" t="inlineStr">
        <is>
          <t>Distance travlled to come back to induction station in Y direction</t>
        </is>
      </c>
      <c r="J20" s="163">
        <f>IFERROR(VLOOKUP(H20,'Master List'!$A:$D,2,0),0)</f>
        <v/>
      </c>
      <c r="K20" s="163">
        <f>IFERROR(VLOOKUP(H20,'Master List'!$A:$D,3,0),0)</f>
        <v/>
      </c>
      <c r="L20" s="163">
        <f>IFERROR(VLOOKUP(H20,'Master List'!$A:$D,4,0),0)</f>
        <v/>
      </c>
      <c r="M20" s="163">
        <f>$M$15+M24</f>
        <v/>
      </c>
      <c r="N20" s="163">
        <f>IFERROR(K20/L20,0)</f>
        <v/>
      </c>
      <c r="O20" s="163">
        <f>IFERROR(IF(M20&lt;((1/2*L20*N20^2)*2),1/2*L20*SQRT((M20/2)*2/L20)^2,1/2*L20*N20^2),0)</f>
        <v/>
      </c>
      <c r="P20" s="163">
        <f>IFERROR(IF(M20-O20-Q20&lt;=0,0,M20-O20-Q20),0)</f>
        <v/>
      </c>
      <c r="Q20" s="163">
        <f>O20</f>
        <v/>
      </c>
      <c r="R20" s="163">
        <f>IFERROR(IF(M20&lt;((1/2*L20*N20^2)*2),SQRT((M20/2)*2/L20),N20),0)</f>
        <v/>
      </c>
      <c r="S20" s="163">
        <f>IFERROR(P20/K20,0)</f>
        <v/>
      </c>
      <c r="T20" s="163">
        <f>R20</f>
        <v/>
      </c>
      <c r="U20" s="163">
        <f>IF(J20&gt;0,J20,SUM(R20:T20))</f>
        <v/>
      </c>
      <c r="V20" s="163" t="n">
        <v>1</v>
      </c>
      <c r="W20" s="163">
        <f>U20*V20</f>
        <v/>
      </c>
      <c r="Y20" s="160">
        <f>Y19+1</f>
        <v/>
      </c>
      <c r="Z20" s="161" t="inlineStr">
        <is>
          <t>Zippy 10 Running</t>
        </is>
      </c>
      <c r="AA20" s="162" t="n"/>
      <c r="AB20" s="163">
        <f>IFERROR(VLOOKUP(Z20,'Master List'!$A:$D,2,0),0)</f>
        <v/>
      </c>
      <c r="AC20" s="163">
        <f>IFERROR(VLOOKUP(Z20,'Master List'!$A:$D,3,0),0)</f>
        <v/>
      </c>
      <c r="AD20" s="163">
        <f>IFERROR(VLOOKUP(Z20,'Master List'!$A:$D,4,0),0)</f>
        <v/>
      </c>
      <c r="AE20" s="163">
        <f>AE15+AE24</f>
        <v/>
      </c>
      <c r="AF20" s="163">
        <f>IFERROR(AC20/AD20,0)</f>
        <v/>
      </c>
      <c r="AG20" s="163">
        <f>IFERROR(IF(AE20&lt;((1/2*AD20*AF20^2)*2),1/2*AD20*SQRT((AE20/2)*2/AD20)^2,1/2*AD20*AF20^2),0)</f>
        <v/>
      </c>
      <c r="AH20" s="163">
        <f>IFERROR(IF(AE20-AG20-AI20&lt;=0,0,AE20-AG20-AI20),0)</f>
        <v/>
      </c>
      <c r="AI20" s="163">
        <f>AG20</f>
        <v/>
      </c>
      <c r="AJ20" s="163">
        <f>IFERROR(IF(AE20&lt;((1/2*AD20*AF20^2)*2),SQRT((AE20/2)*2/AD20),AF20),0)</f>
        <v/>
      </c>
      <c r="AK20" s="163">
        <f>IFERROR(AH20/AC20,0)</f>
        <v/>
      </c>
      <c r="AL20" s="163">
        <f>AJ20</f>
        <v/>
      </c>
      <c r="AM20" s="163">
        <f>IF(AB20&gt;0,AB20,SUM(AJ20:AL20))</f>
        <v/>
      </c>
      <c r="AN20" s="163" t="n">
        <v>1</v>
      </c>
      <c r="AO20" s="163">
        <f>AM20*AN20</f>
        <v/>
      </c>
      <c r="AQ20" s="160">
        <f>AQ19+1</f>
        <v/>
      </c>
      <c r="AR20" s="161" t="inlineStr">
        <is>
          <t>Zippy 10 Running</t>
        </is>
      </c>
      <c r="AS20" s="162" t="n"/>
      <c r="AT20" s="163">
        <f>IFERROR(VLOOKUP(AR20,'Master List'!$A:$D,2,0),0)</f>
        <v/>
      </c>
      <c r="AU20" s="163">
        <f>IFERROR(VLOOKUP(AR20,'Master List'!$A:$D,3,0),0)</f>
        <v/>
      </c>
      <c r="AV20" s="163">
        <f>IFERROR(VLOOKUP(AR20,'Master List'!$A:$D,4,0),0)</f>
        <v/>
      </c>
      <c r="AW20" s="163">
        <f>AW15+AW24</f>
        <v/>
      </c>
      <c r="AX20" s="163">
        <f>IFERROR(AU20/AV20,0)</f>
        <v/>
      </c>
      <c r="AY20" s="163">
        <f>IFERROR(IF(AW20&lt;((1/2*AV20*AX20^2)*2),1/2*AV20*SQRT((AW20/2)*2/AV20)^2,1/2*AV20*AX20^2),0)</f>
        <v/>
      </c>
      <c r="AZ20" s="163">
        <f>IFERROR(IF(AW20-AY20-BA20&lt;=0,0,AW20-AY20-BA20),0)</f>
        <v/>
      </c>
      <c r="BA20" s="163">
        <f>AY20</f>
        <v/>
      </c>
      <c r="BB20" s="163">
        <f>IFERROR(IF(AW20&lt;((1/2*AV20*AX20^2)*2),SQRT((AW20/2)*2/AV20),AX20),0)</f>
        <v/>
      </c>
      <c r="BC20" s="163">
        <f>IFERROR(AZ20/AU20,0)</f>
        <v/>
      </c>
      <c r="BD20" s="163">
        <f>BB20</f>
        <v/>
      </c>
      <c r="BE20" s="163">
        <f>IF(AT20&gt;0,AT20,SUM(BB20:BD20))</f>
        <v/>
      </c>
      <c r="BF20" s="163" t="n">
        <v>1</v>
      </c>
      <c r="BG20" s="163">
        <f>BE20*BF20</f>
        <v/>
      </c>
      <c r="BI20" s="160">
        <f>BI19+1</f>
        <v/>
      </c>
      <c r="BJ20" s="161" t="inlineStr">
        <is>
          <t>Zippy 10 Running</t>
        </is>
      </c>
      <c r="BK20" s="162" t="n"/>
      <c r="BL20" s="163">
        <f>IFERROR(VLOOKUP(BJ20,'Master List'!$A:$D,2,0),0)</f>
        <v/>
      </c>
      <c r="BM20" s="163">
        <f>IFERROR(VLOOKUP(BJ20,'Master List'!$A:$D,3,0),0)</f>
        <v/>
      </c>
      <c r="BN20" s="163">
        <f>IFERROR(VLOOKUP(BJ20,'Master List'!$A:$D,4,0),0)</f>
        <v/>
      </c>
      <c r="BO20" s="163">
        <f>BO15+BO24</f>
        <v/>
      </c>
      <c r="BP20" s="163">
        <f>IFERROR(BM20/BN20,0)</f>
        <v/>
      </c>
      <c r="BQ20" s="163">
        <f>IFERROR(IF(BO20&lt;((1/2*BN20*BP20^2)*2),1/2*BN20*SQRT((BO20/2)*2/BN20)^2,1/2*BN20*BP20^2),0)</f>
        <v/>
      </c>
      <c r="BR20" s="163">
        <f>IFERROR(IF(BO20-BQ20-BS20&lt;=0,0,BO20-BQ20-BS20),0)</f>
        <v/>
      </c>
      <c r="BS20" s="163">
        <f>BQ20</f>
        <v/>
      </c>
      <c r="BT20" s="163">
        <f>IFERROR(IF(BO20&lt;((1/2*BN20*BP20^2)*2),SQRT((BO20/2)*2/BN20),BP20),0)</f>
        <v/>
      </c>
      <c r="BU20" s="163">
        <f>IFERROR(BR20/BM20,0)</f>
        <v/>
      </c>
      <c r="BV20" s="163">
        <f>BT20</f>
        <v/>
      </c>
      <c r="BW20" s="163">
        <f>IF(BL20&gt;0,BL20,SUM(BT20:BV20))</f>
        <v/>
      </c>
      <c r="BX20" s="163" t="n">
        <v>1</v>
      </c>
      <c r="BY20" s="163">
        <f>BW20*BX20</f>
        <v/>
      </c>
    </row>
    <row r="21" ht="15" customHeight="1" s="516">
      <c r="A21" s="33">
        <f>"Single cycle - Near "&amp;C21&amp;" m"</f>
        <v/>
      </c>
      <c r="B21" s="56" t="n">
        <v>0.1</v>
      </c>
      <c r="C21" s="33">
        <f>B21*$D$12</f>
        <v/>
      </c>
      <c r="D21" s="25">
        <f>W6</f>
        <v/>
      </c>
      <c r="E21" s="36" t="n">
        <v>0.2</v>
      </c>
      <c r="G21" s="160">
        <f>G20+1</f>
        <v/>
      </c>
      <c r="H21" s="161" t="inlineStr">
        <is>
          <t>Zippy 10 90 degree Turn</t>
        </is>
      </c>
      <c r="I21" s="162" t="inlineStr">
        <is>
          <t>Turn towards X direction</t>
        </is>
      </c>
      <c r="J21" s="163">
        <f>IFERROR(VLOOKUP(H21,'Master List'!$A:$D,2,0),0)</f>
        <v/>
      </c>
      <c r="K21" s="163">
        <f>IFERROR(VLOOKUP(H21,'Master List'!$A:$D,3,0),0)</f>
        <v/>
      </c>
      <c r="L21" s="163">
        <f>IFERROR(VLOOKUP(H21,'Master List'!$A:$D,4,0),0)</f>
        <v/>
      </c>
      <c r="M21" s="163" t="n"/>
      <c r="N21" s="163">
        <f>IFERROR(K21/L21,0)</f>
        <v/>
      </c>
      <c r="O21" s="163">
        <f>IFERROR(IF(M21&lt;((1/2*L21*N21^2)*2),1/2*L21*SQRT((M21/2)*2/L21)^2,1/2*L21*N21^2),0)</f>
        <v/>
      </c>
      <c r="P21" s="163">
        <f>IFERROR(IF(M21-O21-Q21&lt;=0,0,M21-O21-Q21),0)</f>
        <v/>
      </c>
      <c r="Q21" s="163">
        <f>O21</f>
        <v/>
      </c>
      <c r="R21" s="163">
        <f>IFERROR(IF(M21&lt;((1/2*L21*N21^2)*2),SQRT((M21/2)*2/L21),N21),0)</f>
        <v/>
      </c>
      <c r="S21" s="163">
        <f>IFERROR(P21/K21,0)</f>
        <v/>
      </c>
      <c r="T21" s="163">
        <f>R21</f>
        <v/>
      </c>
      <c r="U21" s="163">
        <f>IF(J21&gt;0,J21,SUM(R21:T21))</f>
        <v/>
      </c>
      <c r="V21" s="163" t="n">
        <v>1</v>
      </c>
      <c r="W21" s="163">
        <f>U21*V21</f>
        <v/>
      </c>
      <c r="Y21" s="160">
        <f>Y20+1</f>
        <v/>
      </c>
      <c r="Z21" s="161" t="inlineStr">
        <is>
          <t>Zippy 10 90 degree Turn</t>
        </is>
      </c>
      <c r="AA21" s="162" t="n"/>
      <c r="AB21" s="163">
        <f>IFERROR(VLOOKUP(Z21,'Master List'!$A:$D,2,0),0)</f>
        <v/>
      </c>
      <c r="AC21" s="163">
        <f>IFERROR(VLOOKUP(Z21,'Master List'!$A:$D,3,0),0)</f>
        <v/>
      </c>
      <c r="AD21" s="163">
        <f>IFERROR(VLOOKUP(Z21,'Master List'!$A:$D,4,0),0)</f>
        <v/>
      </c>
      <c r="AE21" s="163" t="n"/>
      <c r="AF21" s="163">
        <f>IFERROR(AC21/AD21,0)</f>
        <v/>
      </c>
      <c r="AG21" s="163">
        <f>IFERROR(IF(AE21&lt;((1/2*AD21*AF21^2)*2),1/2*AD21*SQRT((AE21/2)*2/AD21)^2,1/2*AD21*AF21^2),0)</f>
        <v/>
      </c>
      <c r="AH21" s="163">
        <f>IFERROR(IF(AE21-AG21-AI21&lt;=0,0,AE21-AG21-AI21),0)</f>
        <v/>
      </c>
      <c r="AI21" s="163">
        <f>AG21</f>
        <v/>
      </c>
      <c r="AJ21" s="163">
        <f>IFERROR(IF(AE21&lt;((1/2*AD21*AF21^2)*2),SQRT((AE21/2)*2/AD21),AF21),0)</f>
        <v/>
      </c>
      <c r="AK21" s="163">
        <f>IFERROR(AH21/AC21,0)</f>
        <v/>
      </c>
      <c r="AL21" s="163">
        <f>AJ21</f>
        <v/>
      </c>
      <c r="AM21" s="163">
        <f>IF(AB21&gt;0,AB21,SUM(AJ21:AL21))</f>
        <v/>
      </c>
      <c r="AN21" s="163" t="n">
        <v>1</v>
      </c>
      <c r="AO21" s="163">
        <f>AM21*AN21</f>
        <v/>
      </c>
      <c r="AQ21" s="160">
        <f>AQ20+1</f>
        <v/>
      </c>
      <c r="AR21" s="161" t="inlineStr">
        <is>
          <t>Zippy 10 90 degree Turn</t>
        </is>
      </c>
      <c r="AS21" s="162" t="n"/>
      <c r="AT21" s="163">
        <f>IFERROR(VLOOKUP(AR21,'Master List'!$A:$D,2,0),0)</f>
        <v/>
      </c>
      <c r="AU21" s="163">
        <f>IFERROR(VLOOKUP(AR21,'Master List'!$A:$D,3,0),0)</f>
        <v/>
      </c>
      <c r="AV21" s="163">
        <f>IFERROR(VLOOKUP(AR21,'Master List'!$A:$D,4,0),0)</f>
        <v/>
      </c>
      <c r="AW21" s="163" t="n"/>
      <c r="AX21" s="163">
        <f>IFERROR(AU21/AV21,0)</f>
        <v/>
      </c>
      <c r="AY21" s="163">
        <f>IFERROR(IF(AW21&lt;((1/2*AV21*AX21^2)*2),1/2*AV21*SQRT((AW21/2)*2/AV21)^2,1/2*AV21*AX21^2),0)</f>
        <v/>
      </c>
      <c r="AZ21" s="163">
        <f>IFERROR(IF(AW21-AY21-BA21&lt;=0,0,AW21-AY21-BA21),0)</f>
        <v/>
      </c>
      <c r="BA21" s="163">
        <f>AY21</f>
        <v/>
      </c>
      <c r="BB21" s="163">
        <f>IFERROR(IF(AW21&lt;((1/2*AV21*AX21^2)*2),SQRT((AW21/2)*2/AV21),AX21),0)</f>
        <v/>
      </c>
      <c r="BC21" s="163">
        <f>IFERROR(AZ21/AU21,0)</f>
        <v/>
      </c>
      <c r="BD21" s="163">
        <f>BB21</f>
        <v/>
      </c>
      <c r="BE21" s="163">
        <f>IF(AT21&gt;0,AT21,SUM(BB21:BD21))</f>
        <v/>
      </c>
      <c r="BF21" s="163" t="n">
        <v>1</v>
      </c>
      <c r="BG21" s="163">
        <f>BE21*BF21</f>
        <v/>
      </c>
      <c r="BI21" s="160">
        <f>BI20+1</f>
        <v/>
      </c>
      <c r="BJ21" s="161" t="inlineStr">
        <is>
          <t>Zippy 10 90 degree Turn</t>
        </is>
      </c>
      <c r="BK21" s="162" t="n"/>
      <c r="BL21" s="163">
        <f>IFERROR(VLOOKUP(BJ21,'Master List'!$A:$D,2,0),0)</f>
        <v/>
      </c>
      <c r="BM21" s="163">
        <f>IFERROR(VLOOKUP(BJ21,'Master List'!$A:$D,3,0),0)</f>
        <v/>
      </c>
      <c r="BN21" s="163">
        <f>IFERROR(VLOOKUP(BJ21,'Master List'!$A:$D,4,0),0)</f>
        <v/>
      </c>
      <c r="BO21" s="163" t="n"/>
      <c r="BP21" s="163">
        <f>IFERROR(BM21/BN21,0)</f>
        <v/>
      </c>
      <c r="BQ21" s="163">
        <f>IFERROR(IF(BO21&lt;((1/2*BN21*BP21^2)*2),1/2*BN21*SQRT((BO21/2)*2/BN21)^2,1/2*BN21*BP21^2),0)</f>
        <v/>
      </c>
      <c r="BR21" s="163">
        <f>IFERROR(IF(BO21-BQ21-BS21&lt;=0,0,BO21-BQ21-BS21),0)</f>
        <v/>
      </c>
      <c r="BS21" s="163">
        <f>BQ21</f>
        <v/>
      </c>
      <c r="BT21" s="163">
        <f>IFERROR(IF(BO21&lt;((1/2*BN21*BP21^2)*2),SQRT((BO21/2)*2/BN21),BP21),0)</f>
        <v/>
      </c>
      <c r="BU21" s="163">
        <f>IFERROR(BR21/BM21,0)</f>
        <v/>
      </c>
      <c r="BV21" s="163">
        <f>BT21</f>
        <v/>
      </c>
      <c r="BW21" s="163">
        <f>IF(BL21&gt;0,BL21,SUM(BT21:BV21))</f>
        <v/>
      </c>
      <c r="BX21" s="163" t="n">
        <v>1</v>
      </c>
      <c r="BY21" s="163">
        <f>BW21*BX21</f>
        <v/>
      </c>
    </row>
    <row r="22" ht="15" customHeight="1" s="516">
      <c r="A22" s="33">
        <f>"Single cycle - Mid "&amp;C22&amp;" m"</f>
        <v/>
      </c>
      <c r="B22" s="56" t="n">
        <v>0.2</v>
      </c>
      <c r="C22" s="33">
        <f>B22*$D$12</f>
        <v/>
      </c>
      <c r="D22" s="25">
        <f>AO6</f>
        <v/>
      </c>
      <c r="E22" s="36" t="n">
        <v>0.35</v>
      </c>
      <c r="G22" s="160">
        <f>G21+1</f>
        <v/>
      </c>
      <c r="H22" s="161" t="inlineStr">
        <is>
          <t>Zippy 10 Running</t>
        </is>
      </c>
      <c r="I22" s="162" t="inlineStr">
        <is>
          <t>Distance travelled to move towards induction station</t>
        </is>
      </c>
      <c r="J22" s="163">
        <f>IFERROR(VLOOKUP(H22,'Master List'!$A:$D,2,0),0)</f>
        <v/>
      </c>
      <c r="K22" s="163">
        <f>IFERROR(VLOOKUP(H22,'Master List'!$A:$D,3,0),0)</f>
        <v/>
      </c>
      <c r="L22" s="163">
        <f>IFERROR(VLOOKUP(H22,'Master List'!$A:$D,4,0),0)</f>
        <v/>
      </c>
      <c r="M22" s="163">
        <f>$M$13</f>
        <v/>
      </c>
      <c r="N22" s="163">
        <f>IFERROR(K22/L22,0)</f>
        <v/>
      </c>
      <c r="O22" s="163">
        <f>IFERROR(IF(M22&lt;((1/2*L22*N22^2)*2),1/2*L22*SQRT((M22/2)*2/L22)^2,1/2*L22*N22^2),0)</f>
        <v/>
      </c>
      <c r="P22" s="163">
        <f>IFERROR(IF(M22-O22-Q22&lt;=0,0,M22-O22-Q22),0)</f>
        <v/>
      </c>
      <c r="Q22" s="163">
        <f>O22</f>
        <v/>
      </c>
      <c r="R22" s="163">
        <f>IFERROR(IF(M22&lt;((1/2*L22*N22^2)*2),SQRT((M22/2)*2/L22),N22),0)</f>
        <v/>
      </c>
      <c r="S22" s="163">
        <f>IFERROR(P22/K22,0)</f>
        <v/>
      </c>
      <c r="T22" s="163">
        <f>R22</f>
        <v/>
      </c>
      <c r="U22" s="163">
        <f>IF(J22&gt;0,J22,SUM(R22:T22))</f>
        <v/>
      </c>
      <c r="V22" s="163" t="n">
        <v>1</v>
      </c>
      <c r="W22" s="163">
        <f>U22*V22</f>
        <v/>
      </c>
      <c r="Y22" s="160">
        <f>Y21+1</f>
        <v/>
      </c>
      <c r="Z22" s="161" t="inlineStr">
        <is>
          <t>Zippy 10 Running</t>
        </is>
      </c>
      <c r="AA22" s="162" t="n"/>
      <c r="AB22" s="163">
        <f>IFERROR(VLOOKUP(Z22,'Master List'!$A:$D,2,0),0)</f>
        <v/>
      </c>
      <c r="AC22" s="163">
        <f>IFERROR(VLOOKUP(Z22,'Master List'!$A:$D,3,0),0)</f>
        <v/>
      </c>
      <c r="AD22" s="163">
        <f>IFERROR(VLOOKUP(Z22,'Master List'!$A:$D,4,0),0)</f>
        <v/>
      </c>
      <c r="AE22" s="163">
        <f>AE13</f>
        <v/>
      </c>
      <c r="AF22" s="163">
        <f>IFERROR(AC22/AD22,0)</f>
        <v/>
      </c>
      <c r="AG22" s="163">
        <f>IFERROR(IF(AE22&lt;((1/2*AD22*AF22^2)*2),1/2*AD22*SQRT((AE22/2)*2/AD22)^2,1/2*AD22*AF22^2),0)</f>
        <v/>
      </c>
      <c r="AH22" s="163">
        <f>IFERROR(IF(AE22-AG22-AI22&lt;=0,0,AE22-AG22-AI22),0)</f>
        <v/>
      </c>
      <c r="AI22" s="163">
        <f>AG22</f>
        <v/>
      </c>
      <c r="AJ22" s="163">
        <f>IFERROR(IF(AE22&lt;((1/2*AD22*AF22^2)*2),SQRT((AE22/2)*2/AD22),AF22),0)</f>
        <v/>
      </c>
      <c r="AK22" s="163">
        <f>IFERROR(AH22/AC22,0)</f>
        <v/>
      </c>
      <c r="AL22" s="163">
        <f>AJ22</f>
        <v/>
      </c>
      <c r="AM22" s="163">
        <f>IF(AB22&gt;0,AB22,SUM(AJ22:AL22))</f>
        <v/>
      </c>
      <c r="AN22" s="163" t="n">
        <v>1</v>
      </c>
      <c r="AO22" s="163">
        <f>AM22*AN22</f>
        <v/>
      </c>
      <c r="AQ22" s="160">
        <f>AQ21+1</f>
        <v/>
      </c>
      <c r="AR22" s="161" t="inlineStr">
        <is>
          <t>Zippy 10 Running</t>
        </is>
      </c>
      <c r="AS22" s="162" t="n"/>
      <c r="AT22" s="163">
        <f>IFERROR(VLOOKUP(AR22,'Master List'!$A:$D,2,0),0)</f>
        <v/>
      </c>
      <c r="AU22" s="163">
        <f>IFERROR(VLOOKUP(AR22,'Master List'!$A:$D,3,0),0)</f>
        <v/>
      </c>
      <c r="AV22" s="163">
        <f>IFERROR(VLOOKUP(AR22,'Master List'!$A:$D,4,0),0)</f>
        <v/>
      </c>
      <c r="AW22" s="163">
        <f>AW13</f>
        <v/>
      </c>
      <c r="AX22" s="163">
        <f>IFERROR(AU22/AV22,0)</f>
        <v/>
      </c>
      <c r="AY22" s="163">
        <f>IFERROR(IF(AW22&lt;((1/2*AV22*AX22^2)*2),1/2*AV22*SQRT((AW22/2)*2/AV22)^2,1/2*AV22*AX22^2),0)</f>
        <v/>
      </c>
      <c r="AZ22" s="163">
        <f>IFERROR(IF(AW22-AY22-BA22&lt;=0,0,AW22-AY22-BA22),0)</f>
        <v/>
      </c>
      <c r="BA22" s="163">
        <f>AY22</f>
        <v/>
      </c>
      <c r="BB22" s="163">
        <f>IFERROR(IF(AW22&lt;((1/2*AV22*AX22^2)*2),SQRT((AW22/2)*2/AV22),AX22),0)</f>
        <v/>
      </c>
      <c r="BC22" s="163">
        <f>IFERROR(AZ22/AU22,0)</f>
        <v/>
      </c>
      <c r="BD22" s="163">
        <f>BB22</f>
        <v/>
      </c>
      <c r="BE22" s="163">
        <f>IF(AT22&gt;0,AT22,SUM(BB22:BD22))</f>
        <v/>
      </c>
      <c r="BF22" s="163" t="n">
        <v>1</v>
      </c>
      <c r="BG22" s="163">
        <f>BE22*BF22</f>
        <v/>
      </c>
      <c r="BI22" s="160">
        <f>BI21+1</f>
        <v/>
      </c>
      <c r="BJ22" s="161" t="inlineStr">
        <is>
          <t>Zippy 10 Running</t>
        </is>
      </c>
      <c r="BK22" s="162" t="n"/>
      <c r="BL22" s="163">
        <f>IFERROR(VLOOKUP(BJ22,'Master List'!$A:$D,2,0),0)</f>
        <v/>
      </c>
      <c r="BM22" s="163">
        <f>IFERROR(VLOOKUP(BJ22,'Master List'!$A:$D,3,0),0)</f>
        <v/>
      </c>
      <c r="BN22" s="163">
        <f>IFERROR(VLOOKUP(BJ22,'Master List'!$A:$D,4,0),0)</f>
        <v/>
      </c>
      <c r="BO22" s="163">
        <f>BO13</f>
        <v/>
      </c>
      <c r="BP22" s="163">
        <f>IFERROR(BM22/BN22,0)</f>
        <v/>
      </c>
      <c r="BQ22" s="163">
        <f>IFERROR(IF(BO22&lt;((1/2*BN22*BP22^2)*2),1/2*BN22*SQRT((BO22/2)*2/BN22)^2,1/2*BN22*BP22^2),0)</f>
        <v/>
      </c>
      <c r="BR22" s="163">
        <f>IFERROR(IF(BO22-BQ22-BS22&lt;=0,0,BO22-BQ22-BS22),0)</f>
        <v/>
      </c>
      <c r="BS22" s="163">
        <f>BQ22</f>
        <v/>
      </c>
      <c r="BT22" s="163">
        <f>IFERROR(IF(BO22&lt;((1/2*BN22*BP22^2)*2),SQRT((BO22/2)*2/BN22),BP22),0)</f>
        <v/>
      </c>
      <c r="BU22" s="163">
        <f>IFERROR(BR22/BM22,0)</f>
        <v/>
      </c>
      <c r="BV22" s="163">
        <f>BT22</f>
        <v/>
      </c>
      <c r="BW22" s="163">
        <f>IF(BL22&gt;0,BL22,SUM(BT22:BV22))</f>
        <v/>
      </c>
      <c r="BX22" s="163" t="n">
        <v>1</v>
      </c>
      <c r="BY22" s="163">
        <f>BW22*BX22</f>
        <v/>
      </c>
    </row>
    <row r="23" ht="15" customHeight="1" s="516">
      <c r="A23" s="33">
        <f>"Single cycle - Far "&amp;C23&amp;" m"</f>
        <v/>
      </c>
      <c r="B23" s="56" t="n">
        <v>0.5</v>
      </c>
      <c r="C23" s="33">
        <f>B23*$D$12</f>
        <v/>
      </c>
      <c r="D23" s="25">
        <f>BG6</f>
        <v/>
      </c>
      <c r="E23" s="36" t="n">
        <v>0.35</v>
      </c>
      <c r="G23" s="160">
        <f>G22+1</f>
        <v/>
      </c>
      <c r="H23" s="161" t="inlineStr">
        <is>
          <t>Zippy 10 90 degree Turn</t>
        </is>
      </c>
      <c r="I23" s="162" t="inlineStr">
        <is>
          <t>Turn to get in queue of induction</t>
        </is>
      </c>
      <c r="J23" s="163">
        <f>IFERROR(VLOOKUP(H23,'Master List'!$A:$D,2,0),0)</f>
        <v/>
      </c>
      <c r="K23" s="163">
        <f>IFERROR(VLOOKUP(H23,'Master List'!$A:$D,3,0),0)</f>
        <v/>
      </c>
      <c r="L23" s="163">
        <f>IFERROR(VLOOKUP(H23,'Master List'!$A:$D,4,0),0)</f>
        <v/>
      </c>
      <c r="M23" s="163" t="n"/>
      <c r="N23" s="163">
        <f>IFERROR(K23/L23,0)</f>
        <v/>
      </c>
      <c r="O23" s="163">
        <f>IFERROR(IF(M23&lt;((1/2*L23*N23^2)*2),1/2*L23*SQRT((M23/2)*2/L23)^2,1/2*L23*N23^2),0)</f>
        <v/>
      </c>
      <c r="P23" s="163">
        <f>IFERROR(IF(M23-O23-Q23&lt;=0,0,M23-O23-Q23),0)</f>
        <v/>
      </c>
      <c r="Q23" s="163">
        <f>O23</f>
        <v/>
      </c>
      <c r="R23" s="163">
        <f>IFERROR(IF(M23&lt;((1/2*L23*N23^2)*2),SQRT((M23/2)*2/L23),N23),0)</f>
        <v/>
      </c>
      <c r="S23" s="163">
        <f>IFERROR(P23/K23,0)</f>
        <v/>
      </c>
      <c r="T23" s="163">
        <f>R23</f>
        <v/>
      </c>
      <c r="U23" s="163">
        <f>IF(J23&gt;0,J23,SUM(R23:T23))</f>
        <v/>
      </c>
      <c r="V23" s="163" t="n">
        <v>1</v>
      </c>
      <c r="W23" s="163">
        <f>U23*V23</f>
        <v/>
      </c>
      <c r="Y23" s="160">
        <f>Y22+1</f>
        <v/>
      </c>
      <c r="Z23" s="161" t="inlineStr">
        <is>
          <t>Zippy 10 90 degree Turn</t>
        </is>
      </c>
      <c r="AA23" s="162" t="n"/>
      <c r="AB23" s="163">
        <f>IFERROR(VLOOKUP(Z23,'Master List'!$A:$D,2,0),0)</f>
        <v/>
      </c>
      <c r="AC23" s="163">
        <f>IFERROR(VLOOKUP(Z23,'Master List'!$A:$D,3,0),0)</f>
        <v/>
      </c>
      <c r="AD23" s="163">
        <f>IFERROR(VLOOKUP(Z23,'Master List'!$A:$D,4,0),0)</f>
        <v/>
      </c>
      <c r="AE23" s="163" t="n"/>
      <c r="AF23" s="163">
        <f>IFERROR(AC23/AD23,0)</f>
        <v/>
      </c>
      <c r="AG23" s="163">
        <f>IFERROR(IF(AE23&lt;((1/2*AD23*AF23^2)*2),1/2*AD23*SQRT((AE23/2)*2/AD23)^2,1/2*AD23*AF23^2),0)</f>
        <v/>
      </c>
      <c r="AH23" s="163">
        <f>IFERROR(IF(AE23-AG23-AI23&lt;=0,0,AE23-AG23-AI23),0)</f>
        <v/>
      </c>
      <c r="AI23" s="163">
        <f>AG23</f>
        <v/>
      </c>
      <c r="AJ23" s="163">
        <f>IFERROR(IF(AE23&lt;((1/2*AD23*AF23^2)*2),SQRT((AE23/2)*2/AD23),AF23),0)</f>
        <v/>
      </c>
      <c r="AK23" s="163">
        <f>IFERROR(AH23/AC23,0)</f>
        <v/>
      </c>
      <c r="AL23" s="163">
        <f>AJ23</f>
        <v/>
      </c>
      <c r="AM23" s="163">
        <f>IF(AB23&gt;0,AB23,SUM(AJ23:AL23))</f>
        <v/>
      </c>
      <c r="AN23" s="163" t="n">
        <v>1</v>
      </c>
      <c r="AO23" s="163">
        <f>AM23*AN23</f>
        <v/>
      </c>
      <c r="AQ23" s="160">
        <f>AQ22+1</f>
        <v/>
      </c>
      <c r="AR23" s="161" t="inlineStr">
        <is>
          <t>Zippy 10 90 degree Turn</t>
        </is>
      </c>
      <c r="AS23" s="162" t="n"/>
      <c r="AT23" s="163">
        <f>IFERROR(VLOOKUP(AR23,'Master List'!$A:$D,2,0),0)</f>
        <v/>
      </c>
      <c r="AU23" s="163">
        <f>IFERROR(VLOOKUP(AR23,'Master List'!$A:$D,3,0),0)</f>
        <v/>
      </c>
      <c r="AV23" s="163">
        <f>IFERROR(VLOOKUP(AR23,'Master List'!$A:$D,4,0),0)</f>
        <v/>
      </c>
      <c r="AW23" s="163" t="n"/>
      <c r="AX23" s="163">
        <f>IFERROR(AU23/AV23,0)</f>
        <v/>
      </c>
      <c r="AY23" s="163">
        <f>IFERROR(IF(AW23&lt;((1/2*AV23*AX23^2)*2),1/2*AV23*SQRT((AW23/2)*2/AV23)^2,1/2*AV23*AX23^2),0)</f>
        <v/>
      </c>
      <c r="AZ23" s="163">
        <f>IFERROR(IF(AW23-AY23-BA23&lt;=0,0,AW23-AY23-BA23),0)</f>
        <v/>
      </c>
      <c r="BA23" s="163">
        <f>AY23</f>
        <v/>
      </c>
      <c r="BB23" s="163">
        <f>IFERROR(IF(AW23&lt;((1/2*AV23*AX23^2)*2),SQRT((AW23/2)*2/AV23),AX23),0)</f>
        <v/>
      </c>
      <c r="BC23" s="163">
        <f>IFERROR(AZ23/AU23,0)</f>
        <v/>
      </c>
      <c r="BD23" s="163">
        <f>BB23</f>
        <v/>
      </c>
      <c r="BE23" s="163">
        <f>IF(AT23&gt;0,AT23,SUM(BB23:BD23))</f>
        <v/>
      </c>
      <c r="BF23" s="163" t="n">
        <v>1</v>
      </c>
      <c r="BG23" s="163">
        <f>BE23*BF23</f>
        <v/>
      </c>
      <c r="BI23" s="160">
        <f>BI22+1</f>
        <v/>
      </c>
      <c r="BJ23" s="161" t="inlineStr">
        <is>
          <t>Zippy 10 90 degree Turn</t>
        </is>
      </c>
      <c r="BK23" s="162" t="n"/>
      <c r="BL23" s="163">
        <f>IFERROR(VLOOKUP(BJ23,'Master List'!$A:$D,2,0),0)</f>
        <v/>
      </c>
      <c r="BM23" s="163">
        <f>IFERROR(VLOOKUP(BJ23,'Master List'!$A:$D,3,0),0)</f>
        <v/>
      </c>
      <c r="BN23" s="163">
        <f>IFERROR(VLOOKUP(BJ23,'Master List'!$A:$D,4,0),0)</f>
        <v/>
      </c>
      <c r="BO23" s="163" t="n"/>
      <c r="BP23" s="163">
        <f>IFERROR(BM23/BN23,0)</f>
        <v/>
      </c>
      <c r="BQ23" s="163">
        <f>IFERROR(IF(BO23&lt;((1/2*BN23*BP23^2)*2),1/2*BN23*SQRT((BO23/2)*2/BN23)^2,1/2*BN23*BP23^2),0)</f>
        <v/>
      </c>
      <c r="BR23" s="163">
        <f>IFERROR(IF(BO23-BQ23-BS23&lt;=0,0,BO23-BQ23-BS23),0)</f>
        <v/>
      </c>
      <c r="BS23" s="163">
        <f>BQ23</f>
        <v/>
      </c>
      <c r="BT23" s="163">
        <f>IFERROR(IF(BO23&lt;((1/2*BN23*BP23^2)*2),SQRT((BO23/2)*2/BN23),BP23),0)</f>
        <v/>
      </c>
      <c r="BU23" s="163">
        <f>IFERROR(BR23/BM23,0)</f>
        <v/>
      </c>
      <c r="BV23" s="163">
        <f>BT23</f>
        <v/>
      </c>
      <c r="BW23" s="163">
        <f>IF(BL23&gt;0,BL23,SUM(BT23:BV23))</f>
        <v/>
      </c>
      <c r="BX23" s="163" t="n">
        <v>1</v>
      </c>
      <c r="BY23" s="163">
        <f>BW23*BX23</f>
        <v/>
      </c>
    </row>
    <row r="24" ht="15" customHeight="1" s="516">
      <c r="A24" s="33">
        <f>"Single cycle - Diagonally Farthest "&amp;C24&amp;" m"</f>
        <v/>
      </c>
      <c r="B24" s="56" t="n">
        <v>1</v>
      </c>
      <c r="C24" s="33">
        <f>B24*$D$12</f>
        <v/>
      </c>
      <c r="D24" s="25">
        <f>BY6</f>
        <v/>
      </c>
      <c r="E24" s="36" t="n">
        <v>0.1</v>
      </c>
      <c r="G24" s="160">
        <f>G23+1</f>
        <v/>
      </c>
      <c r="H24" s="161" t="inlineStr">
        <is>
          <t>Zippy 10 Running</t>
        </is>
      </c>
      <c r="I24" s="162" t="inlineStr">
        <is>
          <t>Distance travelled to move towards induction station</t>
        </is>
      </c>
      <c r="J24" s="163">
        <f>IFERROR(VLOOKUP(H24,'Master List'!$A:$D,2,0),0)</f>
        <v/>
      </c>
      <c r="K24" s="163">
        <f>IFERROR(VLOOKUP(H24,'Master List'!$A:$D,3,0),0)</f>
        <v/>
      </c>
      <c r="L24" s="163">
        <f>IFERROR(VLOOKUP(H24,'Master List'!$A:$D,4,0),0)</f>
        <v/>
      </c>
      <c r="M24" s="163">
        <f>2*$B$32</f>
        <v/>
      </c>
      <c r="N24" s="163">
        <f>IFERROR(K24/L24,0)</f>
        <v/>
      </c>
      <c r="O24" s="163">
        <f>IFERROR(IF(M24&lt;((1/2*L24*N24^2)*2),1/2*L24*SQRT((M24/2)*2/L24)^2,1/2*L24*N24^2),0)</f>
        <v/>
      </c>
      <c r="P24" s="163">
        <f>IFERROR(IF(M24-O24-Q24&lt;=0,0,M24-O24-Q24),0)</f>
        <v/>
      </c>
      <c r="Q24" s="163">
        <f>O24</f>
        <v/>
      </c>
      <c r="R24" s="163">
        <f>IFERROR(IF(M24&lt;((1/2*L24*N24^2)*2),SQRT((M24/2)*2/L24),N24),0)</f>
        <v/>
      </c>
      <c r="S24" s="163">
        <f>IFERROR(P24/K24,0)</f>
        <v/>
      </c>
      <c r="T24" s="163">
        <f>R24</f>
        <v/>
      </c>
      <c r="U24" s="163">
        <f>IF(J24&gt;0,J24,SUM(R24:T24))</f>
        <v/>
      </c>
      <c r="V24" s="163" t="n">
        <v>1</v>
      </c>
      <c r="W24" s="163">
        <f>U24*V24</f>
        <v/>
      </c>
      <c r="Y24" s="160">
        <f>Y23+1</f>
        <v/>
      </c>
      <c r="Z24" s="161" t="inlineStr">
        <is>
          <t>Zippy 10 Running</t>
        </is>
      </c>
      <c r="AA24" s="162" t="n"/>
      <c r="AB24" s="163">
        <f>IFERROR(VLOOKUP(Z24,'Master List'!$A:$D,2,0),0)</f>
        <v/>
      </c>
      <c r="AC24" s="163">
        <f>IFERROR(VLOOKUP(Z24,'Master List'!$A:$D,3,0),0)</f>
        <v/>
      </c>
      <c r="AD24" s="163">
        <f>IFERROR(VLOOKUP(Z24,'Master List'!$A:$D,4,0),0)</f>
        <v/>
      </c>
      <c r="AE24" s="163">
        <f>2*$B$32</f>
        <v/>
      </c>
      <c r="AF24" s="163">
        <f>IFERROR(AC24/AD24,0)</f>
        <v/>
      </c>
      <c r="AG24" s="163">
        <f>IFERROR(IF(AE24&lt;((1/2*AD24*AF24^2)*2),1/2*AD24*SQRT((AE24/2)*2/AD24)^2,1/2*AD24*AF24^2),0)</f>
        <v/>
      </c>
      <c r="AH24" s="163">
        <f>IFERROR(IF(AE24-AG24-AI24&lt;=0,0,AE24-AG24-AI24),0)</f>
        <v/>
      </c>
      <c r="AI24" s="163">
        <f>AG24</f>
        <v/>
      </c>
      <c r="AJ24" s="163">
        <f>IFERROR(IF(AE24&lt;((1/2*AD24*AF24^2)*2),SQRT((AE24/2)*2/AD24),AF24),0)</f>
        <v/>
      </c>
      <c r="AK24" s="163">
        <f>IFERROR(AH24/AC24,0)</f>
        <v/>
      </c>
      <c r="AL24" s="163">
        <f>AJ24</f>
        <v/>
      </c>
      <c r="AM24" s="163">
        <f>IF(AB24&gt;0,AB24,SUM(AJ24:AL24))</f>
        <v/>
      </c>
      <c r="AN24" s="163" t="n">
        <v>1</v>
      </c>
      <c r="AO24" s="163">
        <f>AM24*AN24</f>
        <v/>
      </c>
      <c r="AQ24" s="160">
        <f>AQ23+1</f>
        <v/>
      </c>
      <c r="AR24" s="161" t="inlineStr">
        <is>
          <t>Zippy 10 Running</t>
        </is>
      </c>
      <c r="AS24" s="162" t="n"/>
      <c r="AT24" s="163">
        <f>IFERROR(VLOOKUP(AR24,'Master List'!$A:$D,2,0),0)</f>
        <v/>
      </c>
      <c r="AU24" s="163">
        <f>IFERROR(VLOOKUP(AR24,'Master List'!$A:$D,3,0),0)</f>
        <v/>
      </c>
      <c r="AV24" s="163">
        <f>IFERROR(VLOOKUP(AR24,'Master List'!$A:$D,4,0),0)</f>
        <v/>
      </c>
      <c r="AW24" s="163">
        <f>2*$B$32</f>
        <v/>
      </c>
      <c r="AX24" s="163">
        <f>IFERROR(AU24/AV24,0)</f>
        <v/>
      </c>
      <c r="AY24" s="163">
        <f>IFERROR(IF(AW24&lt;((1/2*AV24*AX24^2)*2),1/2*AV24*SQRT((AW24/2)*2/AV24)^2,1/2*AV24*AX24^2),0)</f>
        <v/>
      </c>
      <c r="AZ24" s="163">
        <f>IFERROR(IF(AW24-AY24-BA24&lt;=0,0,AW24-AY24-BA24),0)</f>
        <v/>
      </c>
      <c r="BA24" s="163">
        <f>AY24</f>
        <v/>
      </c>
      <c r="BB24" s="163">
        <f>IFERROR(IF(AW24&lt;((1/2*AV24*AX24^2)*2),SQRT((AW24/2)*2/AV24),AX24),0)</f>
        <v/>
      </c>
      <c r="BC24" s="163">
        <f>IFERROR(AZ24/AU24,0)</f>
        <v/>
      </c>
      <c r="BD24" s="163">
        <f>BB24</f>
        <v/>
      </c>
      <c r="BE24" s="163">
        <f>IF(AT24&gt;0,AT24,SUM(BB24:BD24))</f>
        <v/>
      </c>
      <c r="BF24" s="163" t="n">
        <v>1</v>
      </c>
      <c r="BG24" s="163">
        <f>BE24*BF24</f>
        <v/>
      </c>
      <c r="BI24" s="160">
        <f>BI23+1</f>
        <v/>
      </c>
      <c r="BJ24" s="161" t="inlineStr">
        <is>
          <t>Zippy 10 Running</t>
        </is>
      </c>
      <c r="BK24" s="162" t="n"/>
      <c r="BL24" s="163">
        <f>IFERROR(VLOOKUP(BJ24,'Master List'!$A:$D,2,0),0)</f>
        <v/>
      </c>
      <c r="BM24" s="163">
        <f>IFERROR(VLOOKUP(BJ24,'Master List'!$A:$D,3,0),0)</f>
        <v/>
      </c>
      <c r="BN24" s="163">
        <f>IFERROR(VLOOKUP(BJ24,'Master List'!$A:$D,4,0),0)</f>
        <v/>
      </c>
      <c r="BO24" s="163">
        <f>2*$B$32</f>
        <v/>
      </c>
      <c r="BP24" s="163">
        <f>IFERROR(BM24/BN24,0)</f>
        <v/>
      </c>
      <c r="BQ24" s="163">
        <f>IFERROR(IF(BO24&lt;((1/2*BN24*BP24^2)*2),1/2*BN24*SQRT((BO24/2)*2/BN24)^2,1/2*BN24*BP24^2),0)</f>
        <v/>
      </c>
      <c r="BR24" s="163">
        <f>IFERROR(IF(BO24-BQ24-BS24&lt;=0,0,BO24-BQ24-BS24),0)</f>
        <v/>
      </c>
      <c r="BS24" s="163">
        <f>BQ24</f>
        <v/>
      </c>
      <c r="BT24" s="163">
        <f>IFERROR(IF(BO24&lt;((1/2*BN24*BP24^2)*2),SQRT((BO24/2)*2/BN24),BP24),0)</f>
        <v/>
      </c>
      <c r="BU24" s="163">
        <f>IFERROR(BR24/BM24,0)</f>
        <v/>
      </c>
      <c r="BV24" s="163">
        <f>BT24</f>
        <v/>
      </c>
      <c r="BW24" s="163">
        <f>IF(BL24&gt;0,BL24,SUM(BT24:BV24))</f>
        <v/>
      </c>
      <c r="BX24" s="163" t="n">
        <v>1</v>
      </c>
      <c r="BY24" s="163">
        <f>BW24*BX24</f>
        <v/>
      </c>
    </row>
    <row r="25">
      <c r="E25" s="44">
        <f>SUM(E21:E24)</f>
        <v/>
      </c>
      <c r="G25" s="160">
        <f>G24+1</f>
        <v/>
      </c>
      <c r="H25" s="165" t="n"/>
      <c r="I25" s="162" t="n"/>
      <c r="J25" s="163">
        <f>IFERROR(VLOOKUP(H25,'Master List'!$A:$D,2,0),0)</f>
        <v/>
      </c>
      <c r="K25" s="163">
        <f>IFERROR(VLOOKUP(H25,'Master List'!$A:$D,3,0),0)</f>
        <v/>
      </c>
      <c r="L25" s="163">
        <f>IFERROR(VLOOKUP(H25,'Master List'!$A:$D,4,0),0)</f>
        <v/>
      </c>
      <c r="M25" s="163" t="n"/>
      <c r="N25" s="163">
        <f>IFERROR(K25/L25,0)</f>
        <v/>
      </c>
      <c r="O25" s="163">
        <f>IFERROR(IF(M25&lt;((1/2*L25*N25^2)*2),1/2*L25*SQRT((M25/2)*2/L25)^2,1/2*L25*N25^2),0)</f>
        <v/>
      </c>
      <c r="P25" s="163">
        <f>IFERROR(IF(M25-O25-Q25&lt;=0,0,M25-O25-Q25),0)</f>
        <v/>
      </c>
      <c r="Q25" s="163">
        <f>O25</f>
        <v/>
      </c>
      <c r="R25" s="163">
        <f>IFERROR(IF(M25&lt;((1/2*L25*N25^2)*2),SQRT((M25/2)*2/L25),N25),0)</f>
        <v/>
      </c>
      <c r="S25" s="163">
        <f>IFERROR(P25/K25,0)</f>
        <v/>
      </c>
      <c r="T25" s="163">
        <f>R25</f>
        <v/>
      </c>
      <c r="U25" s="163">
        <f>IF(J25&gt;0,J25,SUM(R25:T25))</f>
        <v/>
      </c>
      <c r="V25" s="163" t="n"/>
      <c r="W25" s="163">
        <f>U25*V25</f>
        <v/>
      </c>
      <c r="Y25" s="160">
        <f>Y24+1</f>
        <v/>
      </c>
      <c r="Z25" s="165" t="n"/>
      <c r="AA25" s="162" t="n"/>
      <c r="AB25" s="163">
        <f>IFERROR(VLOOKUP(Z25,'Master List'!$A:$D,2,0),0)</f>
        <v/>
      </c>
      <c r="AC25" s="163">
        <f>IFERROR(VLOOKUP(Z25,'Master List'!$A:$D,3,0),0)</f>
        <v/>
      </c>
      <c r="AD25" s="163">
        <f>IFERROR(VLOOKUP(Z25,'Master List'!$A:$D,4,0),0)</f>
        <v/>
      </c>
      <c r="AE25" s="163" t="n"/>
      <c r="AF25" s="163">
        <f>IFERROR(AC25/AD25,0)</f>
        <v/>
      </c>
      <c r="AG25" s="163">
        <f>IFERROR(IF(AE25&lt;((1/2*AD25*AF25^2)*2),1/2*AD25*SQRT((AE25/2)*2/AD25)^2,1/2*AD25*AF25^2),0)</f>
        <v/>
      </c>
      <c r="AH25" s="163">
        <f>IFERROR(IF(AE25-AG25-AI25&lt;=0,0,AE25-AG25-AI25),0)</f>
        <v/>
      </c>
      <c r="AI25" s="163">
        <f>AG25</f>
        <v/>
      </c>
      <c r="AJ25" s="163">
        <f>IFERROR(IF(AE25&lt;((1/2*AD25*AF25^2)*2),SQRT((AE25/2)*2/AD25),AF25),0)</f>
        <v/>
      </c>
      <c r="AK25" s="163">
        <f>IFERROR(AH25/AC25,0)</f>
        <v/>
      </c>
      <c r="AL25" s="163">
        <f>AJ25</f>
        <v/>
      </c>
      <c r="AM25" s="163">
        <f>IF(AB25&gt;0,AB25,SUM(AJ25:AL25))</f>
        <v/>
      </c>
      <c r="AN25" s="163" t="n"/>
      <c r="AO25" s="163">
        <f>AM25*AN25</f>
        <v/>
      </c>
      <c r="AQ25" s="160">
        <f>AQ24+1</f>
        <v/>
      </c>
      <c r="AR25" s="165" t="n"/>
      <c r="AS25" s="162" t="n"/>
      <c r="AT25" s="163">
        <f>IFERROR(VLOOKUP(AR25,'Master List'!$A:$D,2,0),0)</f>
        <v/>
      </c>
      <c r="AU25" s="163">
        <f>IFERROR(VLOOKUP(AR25,'Master List'!$A:$D,3,0),0)</f>
        <v/>
      </c>
      <c r="AV25" s="163">
        <f>IFERROR(VLOOKUP(AR25,'Master List'!$A:$D,4,0),0)</f>
        <v/>
      </c>
      <c r="AW25" s="163" t="n"/>
      <c r="AX25" s="163">
        <f>IFERROR(AU25/AV25,0)</f>
        <v/>
      </c>
      <c r="AY25" s="163">
        <f>IFERROR(IF(AW25&lt;((1/2*AV25*AX25^2)*2),1/2*AV25*SQRT((AW25/2)*2/AV25)^2,1/2*AV25*AX25^2),0)</f>
        <v/>
      </c>
      <c r="AZ25" s="163">
        <f>IFERROR(IF(AW25-AY25-BA25&lt;=0,0,AW25-AY25-BA25),0)</f>
        <v/>
      </c>
      <c r="BA25" s="163">
        <f>AY25</f>
        <v/>
      </c>
      <c r="BB25" s="163">
        <f>IFERROR(IF(AW25&lt;((1/2*AV25*AX25^2)*2),SQRT((AW25/2)*2/AV25),AX25),0)</f>
        <v/>
      </c>
      <c r="BC25" s="163">
        <f>IFERROR(AZ25/AU25,0)</f>
        <v/>
      </c>
      <c r="BD25" s="163">
        <f>BB25</f>
        <v/>
      </c>
      <c r="BE25" s="163">
        <f>IF(AT25&gt;0,AT25,SUM(BB25:BD25))</f>
        <v/>
      </c>
      <c r="BF25" s="163" t="n"/>
      <c r="BG25" s="163">
        <f>BE25*BF25</f>
        <v/>
      </c>
      <c r="BI25" s="160">
        <f>BI24+1</f>
        <v/>
      </c>
      <c r="BJ25" s="165" t="n"/>
      <c r="BK25" s="162" t="n"/>
      <c r="BL25" s="163">
        <f>IFERROR(VLOOKUP(BJ25,'Master List'!$A:$D,2,0),0)</f>
        <v/>
      </c>
      <c r="BM25" s="163">
        <f>IFERROR(VLOOKUP(BJ25,'Master List'!$A:$D,3,0),0)</f>
        <v/>
      </c>
      <c r="BN25" s="163">
        <f>IFERROR(VLOOKUP(BJ25,'Master List'!$A:$D,4,0),0)</f>
        <v/>
      </c>
      <c r="BO25" s="163" t="n"/>
      <c r="BP25" s="163">
        <f>IFERROR(BM25/BN25,0)</f>
        <v/>
      </c>
      <c r="BQ25" s="163">
        <f>IFERROR(IF(BO25&lt;((1/2*BN25*BP25^2)*2),1/2*BN25*SQRT((BO25/2)*2/BN25)^2,1/2*BN25*BP25^2),0)</f>
        <v/>
      </c>
      <c r="BR25" s="163">
        <f>IFERROR(IF(BO25-BQ25-BS25&lt;=0,0,BO25-BQ25-BS25),0)</f>
        <v/>
      </c>
      <c r="BS25" s="163">
        <f>BQ25</f>
        <v/>
      </c>
      <c r="BT25" s="163">
        <f>IFERROR(IF(BO25&lt;((1/2*BN25*BP25^2)*2),SQRT((BO25/2)*2/BN25),BP25),0)</f>
        <v/>
      </c>
      <c r="BU25" s="163">
        <f>IFERROR(BR25/BM25,0)</f>
        <v/>
      </c>
      <c r="BV25" s="163">
        <f>BT25</f>
        <v/>
      </c>
      <c r="BW25" s="163">
        <f>IF(BL25&gt;0,BL25,SUM(BT25:BV25))</f>
        <v/>
      </c>
      <c r="BX25" s="163" t="n"/>
      <c r="BY25" s="163">
        <f>BW25*BX25</f>
        <v/>
      </c>
    </row>
    <row r="26">
      <c r="A26" s="33" t="n"/>
      <c r="B26" s="34" t="inlineStr">
        <is>
          <t>% of distance travelled in Y direction</t>
        </is>
      </c>
      <c r="C26" s="34" t="inlineStr">
        <is>
          <t>Distance travelled M</t>
        </is>
      </c>
      <c r="G26" s="160">
        <f>G25+1</f>
        <v/>
      </c>
      <c r="H26" s="165" t="n"/>
      <c r="I26" s="162" t="n"/>
      <c r="J26" s="163">
        <f>IFERROR(VLOOKUP(H26,'Master List'!$A:$D,2,0),0)</f>
        <v/>
      </c>
      <c r="K26" s="163">
        <f>IFERROR(VLOOKUP(H26,'Master List'!$A:$D,3,0),0)</f>
        <v/>
      </c>
      <c r="L26" s="163">
        <f>IFERROR(VLOOKUP(H26,'Master List'!$A:$D,4,0),0)</f>
        <v/>
      </c>
      <c r="M26" s="163" t="n"/>
      <c r="N26" s="163">
        <f>IFERROR(K26/L26,0)</f>
        <v/>
      </c>
      <c r="O26" s="163">
        <f>IFERROR(IF(M26&lt;((1/2*L26*N26^2)*2),1/2*L26*SQRT((M26/2)*2/L26)^2,1/2*L26*N26^2),0)</f>
        <v/>
      </c>
      <c r="P26" s="163">
        <f>IFERROR(IF(M26-O26-Q26&lt;=0,0,M26-O26-Q26),0)</f>
        <v/>
      </c>
      <c r="Q26" s="163">
        <f>O26</f>
        <v/>
      </c>
      <c r="R26" s="163">
        <f>IFERROR(IF(M26&lt;((1/2*L26*N26^2)*2),SQRT((M26/2)*2/L26),N26),0)</f>
        <v/>
      </c>
      <c r="S26" s="163">
        <f>IFERROR(P26/K26,0)</f>
        <v/>
      </c>
      <c r="T26" s="163">
        <f>R26</f>
        <v/>
      </c>
      <c r="U26" s="163">
        <f>IF(J26&gt;0,J26,SUM(R26:T26))</f>
        <v/>
      </c>
      <c r="V26" s="163" t="n"/>
      <c r="W26" s="163">
        <f>U26*V26</f>
        <v/>
      </c>
      <c r="Y26" s="160">
        <f>Y25+1</f>
        <v/>
      </c>
      <c r="Z26" s="165" t="n"/>
      <c r="AA26" s="162" t="n"/>
      <c r="AB26" s="163">
        <f>IFERROR(VLOOKUP(Z26,'Master List'!$A:$D,2,0),0)</f>
        <v/>
      </c>
      <c r="AC26" s="163">
        <f>IFERROR(VLOOKUP(Z26,'Master List'!$A:$D,3,0),0)</f>
        <v/>
      </c>
      <c r="AD26" s="163">
        <f>IFERROR(VLOOKUP(Z26,'Master List'!$A:$D,4,0),0)</f>
        <v/>
      </c>
      <c r="AE26" s="163" t="n"/>
      <c r="AF26" s="163">
        <f>IFERROR(AC26/AD26,0)</f>
        <v/>
      </c>
      <c r="AG26" s="163">
        <f>IFERROR(IF(AE26&lt;((1/2*AD26*AF26^2)*2),1/2*AD26*SQRT((AE26/2)*2/AD26)^2,1/2*AD26*AF26^2),0)</f>
        <v/>
      </c>
      <c r="AH26" s="163">
        <f>IFERROR(IF(AE26-AG26-AI26&lt;=0,0,AE26-AG26-AI26),0)</f>
        <v/>
      </c>
      <c r="AI26" s="163">
        <f>AG26</f>
        <v/>
      </c>
      <c r="AJ26" s="163">
        <f>IFERROR(IF(AE26&lt;((1/2*AD26*AF26^2)*2),SQRT((AE26/2)*2/AD26),AF26),0)</f>
        <v/>
      </c>
      <c r="AK26" s="163">
        <f>IFERROR(AH26/AC26,0)</f>
        <v/>
      </c>
      <c r="AL26" s="163">
        <f>AJ26</f>
        <v/>
      </c>
      <c r="AM26" s="163">
        <f>IF(AB26&gt;0,AB26,SUM(AJ26:AL26))</f>
        <v/>
      </c>
      <c r="AN26" s="163" t="n"/>
      <c r="AO26" s="163">
        <f>AM26*AN26</f>
        <v/>
      </c>
      <c r="AQ26" s="160">
        <f>AQ25+1</f>
        <v/>
      </c>
      <c r="AR26" s="165" t="n"/>
      <c r="AS26" s="162" t="n"/>
      <c r="AT26" s="163">
        <f>IFERROR(VLOOKUP(AR26,'Master List'!$A:$D,2,0),0)</f>
        <v/>
      </c>
      <c r="AU26" s="163">
        <f>IFERROR(VLOOKUP(AR26,'Master List'!$A:$D,3,0),0)</f>
        <v/>
      </c>
      <c r="AV26" s="163">
        <f>IFERROR(VLOOKUP(AR26,'Master List'!$A:$D,4,0),0)</f>
        <v/>
      </c>
      <c r="AW26" s="163" t="n"/>
      <c r="AX26" s="163">
        <f>IFERROR(AU26/AV26,0)</f>
        <v/>
      </c>
      <c r="AY26" s="163">
        <f>IFERROR(IF(AW26&lt;((1/2*AV26*AX26^2)*2),1/2*AV26*SQRT((AW26/2)*2/AV26)^2,1/2*AV26*AX26^2),0)</f>
        <v/>
      </c>
      <c r="AZ26" s="163">
        <f>IFERROR(IF(AW26-AY26-BA26&lt;=0,0,AW26-AY26-BA26),0)</f>
        <v/>
      </c>
      <c r="BA26" s="163">
        <f>AY26</f>
        <v/>
      </c>
      <c r="BB26" s="163">
        <f>IFERROR(IF(AW26&lt;((1/2*AV26*AX26^2)*2),SQRT((AW26/2)*2/AV26),AX26),0)</f>
        <v/>
      </c>
      <c r="BC26" s="163">
        <f>IFERROR(AZ26/AU26,0)</f>
        <v/>
      </c>
      <c r="BD26" s="163">
        <f>BB26</f>
        <v/>
      </c>
      <c r="BE26" s="163">
        <f>IF(AT26&gt;0,AT26,SUM(BB26:BD26))</f>
        <v/>
      </c>
      <c r="BF26" s="163" t="n"/>
      <c r="BG26" s="163">
        <f>BE26*BF26</f>
        <v/>
      </c>
      <c r="BI26" s="160">
        <f>BI25+1</f>
        <v/>
      </c>
      <c r="BJ26" s="165" t="n"/>
      <c r="BK26" s="162" t="n"/>
      <c r="BL26" s="163">
        <f>IFERROR(VLOOKUP(BJ26,'Master List'!$A:$D,2,0),0)</f>
        <v/>
      </c>
      <c r="BM26" s="163">
        <f>IFERROR(VLOOKUP(BJ26,'Master List'!$A:$D,3,0),0)</f>
        <v/>
      </c>
      <c r="BN26" s="163">
        <f>IFERROR(VLOOKUP(BJ26,'Master List'!$A:$D,4,0),0)</f>
        <v/>
      </c>
      <c r="BO26" s="163" t="n"/>
      <c r="BP26" s="163">
        <f>IFERROR(BM26/BN26,0)</f>
        <v/>
      </c>
      <c r="BQ26" s="163">
        <f>IFERROR(IF(BO26&lt;((1/2*BN26*BP26^2)*2),1/2*BN26*SQRT((BO26/2)*2/BN26)^2,1/2*BN26*BP26^2),0)</f>
        <v/>
      </c>
      <c r="BR26" s="163">
        <f>IFERROR(IF(BO26-BQ26-BS26&lt;=0,0,BO26-BQ26-BS26),0)</f>
        <v/>
      </c>
      <c r="BS26" s="163">
        <f>BQ26</f>
        <v/>
      </c>
      <c r="BT26" s="163">
        <f>IFERROR(IF(BO26&lt;((1/2*BN26*BP26^2)*2),SQRT((BO26/2)*2/BN26),BP26),0)</f>
        <v/>
      </c>
      <c r="BU26" s="163">
        <f>IFERROR(BR26/BM26,0)</f>
        <v/>
      </c>
      <c r="BV26" s="163">
        <f>BT26</f>
        <v/>
      </c>
      <c r="BW26" s="163">
        <f>IF(BL26&gt;0,BL26,SUM(BT26:BV26))</f>
        <v/>
      </c>
      <c r="BX26" s="163" t="n"/>
      <c r="BY26" s="163">
        <f>BW26*BX26</f>
        <v/>
      </c>
    </row>
    <row r="27">
      <c r="A27" s="33">
        <f>"Single cycle - Near "&amp;C27&amp;" m"</f>
        <v/>
      </c>
      <c r="B27" s="56" t="n">
        <v>0.1</v>
      </c>
      <c r="C27" s="33">
        <f>(B27*$D$13)+$B$14</f>
        <v/>
      </c>
      <c r="G27" s="160">
        <f>G26+1</f>
        <v/>
      </c>
      <c r="H27" s="165" t="n"/>
      <c r="I27" s="162" t="n"/>
      <c r="J27" s="163">
        <f>IFERROR(VLOOKUP(H27,'Master List'!$A:$D,2,0),0)</f>
        <v/>
      </c>
      <c r="K27" s="163">
        <f>IFERROR(VLOOKUP(H27,'Master List'!$A:$D,3,0),0)</f>
        <v/>
      </c>
      <c r="L27" s="163">
        <f>IFERROR(VLOOKUP(H27,'Master List'!$A:$D,4,0),0)</f>
        <v/>
      </c>
      <c r="M27" s="163" t="n">
        <v>0</v>
      </c>
      <c r="N27" s="163">
        <f>IFERROR(K27/L27,0)</f>
        <v/>
      </c>
      <c r="O27" s="163">
        <f>IFERROR(IF(M27&lt;((1/2*L27*N27^2)*2),1/2*L27*SQRT((M27/2)*2/L27)^2,1/2*L27*N27^2),0)</f>
        <v/>
      </c>
      <c r="P27" s="163">
        <f>IFERROR(IF(M27-O27-Q27&lt;=0,0,M27-O27-Q27),0)</f>
        <v/>
      </c>
      <c r="Q27" s="163">
        <f>O27</f>
        <v/>
      </c>
      <c r="R27" s="163">
        <f>IFERROR(IF(M27&lt;((1/2*L27*N27^2)*2),SQRT((M27/2)*2/L27),N27),0)</f>
        <v/>
      </c>
      <c r="S27" s="163">
        <f>IFERROR(P27/K27,0)</f>
        <v/>
      </c>
      <c r="T27" s="163">
        <f>R27</f>
        <v/>
      </c>
      <c r="U27" s="163">
        <f>IF(J27&gt;0,J27,SUM(R27:T27))</f>
        <v/>
      </c>
      <c r="V27" s="163" t="n"/>
      <c r="W27" s="163">
        <f>U27*V27</f>
        <v/>
      </c>
      <c r="Y27" s="160">
        <f>Y26+1</f>
        <v/>
      </c>
      <c r="Z27" s="165" t="n"/>
      <c r="AA27" s="162" t="n"/>
      <c r="AB27" s="163">
        <f>IFERROR(VLOOKUP(Z27,'Master List'!$A:$D,2,0),0)</f>
        <v/>
      </c>
      <c r="AC27" s="163">
        <f>IFERROR(VLOOKUP(Z27,'Master List'!$A:$D,3,0),0)</f>
        <v/>
      </c>
      <c r="AD27" s="163">
        <f>IFERROR(VLOOKUP(Z27,'Master List'!$A:$D,4,0),0)</f>
        <v/>
      </c>
      <c r="AE27" s="163" t="n"/>
      <c r="AF27" s="163">
        <f>IFERROR(AC27/AD27,0)</f>
        <v/>
      </c>
      <c r="AG27" s="163">
        <f>IFERROR(IF(AE27&lt;((1/2*AD27*AF27^2)*2),1/2*AD27*SQRT((AE27/2)*2/AD27)^2,1/2*AD27*AF27^2),0)</f>
        <v/>
      </c>
      <c r="AH27" s="163">
        <f>IFERROR(IF(AE27-AG27-AI27&lt;=0,0,AE27-AG27-AI27),0)</f>
        <v/>
      </c>
      <c r="AI27" s="163">
        <f>AG27</f>
        <v/>
      </c>
      <c r="AJ27" s="163">
        <f>IFERROR(IF(AE27&lt;((1/2*AD27*AF27^2)*2),SQRT((AE27/2)*2/AD27),AF27),0)</f>
        <v/>
      </c>
      <c r="AK27" s="163">
        <f>IFERROR(AH27/AC27,0)</f>
        <v/>
      </c>
      <c r="AL27" s="163">
        <f>AJ27</f>
        <v/>
      </c>
      <c r="AM27" s="163">
        <f>IF(AB27&gt;0,AB27,SUM(AJ27:AL27))</f>
        <v/>
      </c>
      <c r="AN27" s="163" t="n"/>
      <c r="AO27" s="163">
        <f>AM27*AN27</f>
        <v/>
      </c>
      <c r="AQ27" s="160">
        <f>AQ26+1</f>
        <v/>
      </c>
      <c r="AR27" s="165" t="n"/>
      <c r="AS27" s="162" t="n"/>
      <c r="AT27" s="163">
        <f>IFERROR(VLOOKUP(AR27,'Master List'!$A:$D,2,0),0)</f>
        <v/>
      </c>
      <c r="AU27" s="163">
        <f>IFERROR(VLOOKUP(AR27,'Master List'!$A:$D,3,0),0)</f>
        <v/>
      </c>
      <c r="AV27" s="163">
        <f>IFERROR(VLOOKUP(AR27,'Master List'!$A:$D,4,0),0)</f>
        <v/>
      </c>
      <c r="AW27" s="163" t="n"/>
      <c r="AX27" s="163">
        <f>IFERROR(AU27/AV27,0)</f>
        <v/>
      </c>
      <c r="AY27" s="163">
        <f>IFERROR(IF(AW27&lt;((1/2*AV27*AX27^2)*2),1/2*AV27*SQRT((AW27/2)*2/AV27)^2,1/2*AV27*AX27^2),0)</f>
        <v/>
      </c>
      <c r="AZ27" s="163">
        <f>IFERROR(IF(AW27-AY27-BA27&lt;=0,0,AW27-AY27-BA27),0)</f>
        <v/>
      </c>
      <c r="BA27" s="163">
        <f>AY27</f>
        <v/>
      </c>
      <c r="BB27" s="163">
        <f>IFERROR(IF(AW27&lt;((1/2*AV27*AX27^2)*2),SQRT((AW27/2)*2/AV27),AX27),0)</f>
        <v/>
      </c>
      <c r="BC27" s="163">
        <f>IFERROR(AZ27/AU27,0)</f>
        <v/>
      </c>
      <c r="BD27" s="163">
        <f>BB27</f>
        <v/>
      </c>
      <c r="BE27" s="163">
        <f>IF(AT27&gt;0,AT27,SUM(BB27:BD27))</f>
        <v/>
      </c>
      <c r="BF27" s="163" t="n"/>
      <c r="BG27" s="163">
        <f>BE27*BF27</f>
        <v/>
      </c>
      <c r="BI27" s="160">
        <f>BI26+1</f>
        <v/>
      </c>
      <c r="BJ27" s="165" t="n"/>
      <c r="BK27" s="162" t="n"/>
      <c r="BL27" s="163">
        <f>IFERROR(VLOOKUP(BJ27,'Master List'!$A:$D,2,0),0)</f>
        <v/>
      </c>
      <c r="BM27" s="163">
        <f>IFERROR(VLOOKUP(BJ27,'Master List'!$A:$D,3,0),0)</f>
        <v/>
      </c>
      <c r="BN27" s="163">
        <f>IFERROR(VLOOKUP(BJ27,'Master List'!$A:$D,4,0),0)</f>
        <v/>
      </c>
      <c r="BO27" s="163" t="n"/>
      <c r="BP27" s="163">
        <f>IFERROR(BM27/BN27,0)</f>
        <v/>
      </c>
      <c r="BQ27" s="163">
        <f>IFERROR(IF(BO27&lt;((1/2*BN27*BP27^2)*2),1/2*BN27*SQRT((BO27/2)*2/BN27)^2,1/2*BN27*BP27^2),0)</f>
        <v/>
      </c>
      <c r="BR27" s="163">
        <f>IFERROR(IF(BO27-BQ27-BS27&lt;=0,0,BO27-BQ27-BS27),0)</f>
        <v/>
      </c>
      <c r="BS27" s="163">
        <f>BQ27</f>
        <v/>
      </c>
      <c r="BT27" s="163">
        <f>IFERROR(IF(BO27&lt;((1/2*BN27*BP27^2)*2),SQRT((BO27/2)*2/BN27),BP27),0)</f>
        <v/>
      </c>
      <c r="BU27" s="163">
        <f>IFERROR(BR27/BM27,0)</f>
        <v/>
      </c>
      <c r="BV27" s="163">
        <f>BT27</f>
        <v/>
      </c>
      <c r="BW27" s="163">
        <f>IF(BL27&gt;0,BL27,SUM(BT27:BV27))</f>
        <v/>
      </c>
      <c r="BX27" s="163" t="n"/>
      <c r="BY27" s="163">
        <f>BW27*BX27</f>
        <v/>
      </c>
    </row>
    <row r="28">
      <c r="A28" s="33">
        <f>"Single cycle - Mid "&amp;C28&amp;" m"</f>
        <v/>
      </c>
      <c r="B28" s="56" t="n">
        <v>0.2</v>
      </c>
      <c r="C28" s="33">
        <f>(B28*$D$13)+$B$14</f>
        <v/>
      </c>
      <c r="G28" s="160">
        <f>G27+1</f>
        <v/>
      </c>
      <c r="H28" s="165" t="n"/>
      <c r="I28" s="162" t="n"/>
      <c r="J28" s="163">
        <f>IFERROR(VLOOKUP(H28,'Master List'!$A:$D,2,0),0)</f>
        <v/>
      </c>
      <c r="K28" s="163">
        <f>IFERROR(VLOOKUP(H28,'Master List'!$A:$D,3,0),0)</f>
        <v/>
      </c>
      <c r="L28" s="163">
        <f>IFERROR(VLOOKUP(H28,'Master List'!$A:$D,4,0),0)</f>
        <v/>
      </c>
      <c r="M28" s="163" t="n">
        <v>0</v>
      </c>
      <c r="N28" s="163">
        <f>IFERROR(K28/L28,0)</f>
        <v/>
      </c>
      <c r="O28" s="163">
        <f>IFERROR(IF(M28&lt;((1/2*L28*N28^2)*2),1/2*L28*SQRT((M28/2)*2/L28)^2,1/2*L28*N28^2),0)</f>
        <v/>
      </c>
      <c r="P28" s="163">
        <f>IFERROR(IF(M28-O28-Q28&lt;=0,0,M28-O28-Q28),0)</f>
        <v/>
      </c>
      <c r="Q28" s="163">
        <f>O28</f>
        <v/>
      </c>
      <c r="R28" s="163">
        <f>IFERROR(IF(M28&lt;((1/2*L28*N28^2)*2),SQRT((M28/2)*2/L28),N28),0)</f>
        <v/>
      </c>
      <c r="S28" s="163">
        <f>IFERROR(P28/K28,0)</f>
        <v/>
      </c>
      <c r="T28" s="163">
        <f>R28</f>
        <v/>
      </c>
      <c r="U28" s="163">
        <f>IF(J28&gt;0,J28,SUM(R28:T28))</f>
        <v/>
      </c>
      <c r="V28" s="163" t="n"/>
      <c r="W28" s="163">
        <f>U28*V28</f>
        <v/>
      </c>
      <c r="Y28" s="160">
        <f>Y27+1</f>
        <v/>
      </c>
      <c r="Z28" s="165" t="n"/>
      <c r="AA28" s="162" t="n"/>
      <c r="AB28" s="163">
        <f>IFERROR(VLOOKUP(Z28,'Master List'!$A:$D,2,0),0)</f>
        <v/>
      </c>
      <c r="AC28" s="163">
        <f>IFERROR(VLOOKUP(Z28,'Master List'!$A:$D,3,0),0)</f>
        <v/>
      </c>
      <c r="AD28" s="163">
        <f>IFERROR(VLOOKUP(Z28,'Master List'!$A:$D,4,0),0)</f>
        <v/>
      </c>
      <c r="AE28" s="163" t="n"/>
      <c r="AF28" s="163">
        <f>IFERROR(AC28/AD28,0)</f>
        <v/>
      </c>
      <c r="AG28" s="163">
        <f>IFERROR(IF(AE28&lt;((1/2*AD28*AF28^2)*2),1/2*AD28*SQRT((AE28/2)*2/AD28)^2,1/2*AD28*AF28^2),0)</f>
        <v/>
      </c>
      <c r="AH28" s="163">
        <f>IFERROR(IF(AE28-AG28-AI28&lt;=0,0,AE28-AG28-AI28),0)</f>
        <v/>
      </c>
      <c r="AI28" s="163">
        <f>AG28</f>
        <v/>
      </c>
      <c r="AJ28" s="163">
        <f>IFERROR(IF(AE28&lt;((1/2*AD28*AF28^2)*2),SQRT((AE28/2)*2/AD28),AF28),0)</f>
        <v/>
      </c>
      <c r="AK28" s="163">
        <f>IFERROR(AH28/AC28,0)</f>
        <v/>
      </c>
      <c r="AL28" s="163">
        <f>AJ28</f>
        <v/>
      </c>
      <c r="AM28" s="163">
        <f>IF(AB28&gt;0,AB28,SUM(AJ28:AL28))</f>
        <v/>
      </c>
      <c r="AN28" s="163" t="n"/>
      <c r="AO28" s="163">
        <f>AM28*AN28</f>
        <v/>
      </c>
      <c r="AQ28" s="160">
        <f>AQ27+1</f>
        <v/>
      </c>
      <c r="AR28" s="165" t="n"/>
      <c r="AS28" s="162" t="n"/>
      <c r="AT28" s="163">
        <f>IFERROR(VLOOKUP(AR28,'Master List'!$A:$D,2,0),0)</f>
        <v/>
      </c>
      <c r="AU28" s="163">
        <f>IFERROR(VLOOKUP(AR28,'Master List'!$A:$D,3,0),0)</f>
        <v/>
      </c>
      <c r="AV28" s="163">
        <f>IFERROR(VLOOKUP(AR28,'Master List'!$A:$D,4,0),0)</f>
        <v/>
      </c>
      <c r="AW28" s="163" t="n"/>
      <c r="AX28" s="163">
        <f>IFERROR(AU28/AV28,0)</f>
        <v/>
      </c>
      <c r="AY28" s="163">
        <f>IFERROR(IF(AW28&lt;((1/2*AV28*AX28^2)*2),1/2*AV28*SQRT((AW28/2)*2/AV28)^2,1/2*AV28*AX28^2),0)</f>
        <v/>
      </c>
      <c r="AZ28" s="163">
        <f>IFERROR(IF(AW28-AY28-BA28&lt;=0,0,AW28-AY28-BA28),0)</f>
        <v/>
      </c>
      <c r="BA28" s="163">
        <f>AY28</f>
        <v/>
      </c>
      <c r="BB28" s="163">
        <f>IFERROR(IF(AW28&lt;((1/2*AV28*AX28^2)*2),SQRT((AW28/2)*2/AV28),AX28),0)</f>
        <v/>
      </c>
      <c r="BC28" s="163">
        <f>IFERROR(AZ28/AU28,0)</f>
        <v/>
      </c>
      <c r="BD28" s="163">
        <f>BB28</f>
        <v/>
      </c>
      <c r="BE28" s="163">
        <f>IF(AT28&gt;0,AT28,SUM(BB28:BD28))</f>
        <v/>
      </c>
      <c r="BF28" s="163" t="n"/>
      <c r="BG28" s="163">
        <f>BE28*BF28</f>
        <v/>
      </c>
      <c r="BI28" s="160">
        <f>BI27+1</f>
        <v/>
      </c>
      <c r="BJ28" s="165" t="n"/>
      <c r="BK28" s="162" t="n"/>
      <c r="BL28" s="163">
        <f>IFERROR(VLOOKUP(BJ28,'Master List'!$A:$D,2,0),0)</f>
        <v/>
      </c>
      <c r="BM28" s="163">
        <f>IFERROR(VLOOKUP(BJ28,'Master List'!$A:$D,3,0),0)</f>
        <v/>
      </c>
      <c r="BN28" s="163">
        <f>IFERROR(VLOOKUP(BJ28,'Master List'!$A:$D,4,0),0)</f>
        <v/>
      </c>
      <c r="BO28" s="163" t="n"/>
      <c r="BP28" s="163">
        <f>IFERROR(BM28/BN28,0)</f>
        <v/>
      </c>
      <c r="BQ28" s="163">
        <f>IFERROR(IF(BO28&lt;((1/2*BN28*BP28^2)*2),1/2*BN28*SQRT((BO28/2)*2/BN28)^2,1/2*BN28*BP28^2),0)</f>
        <v/>
      </c>
      <c r="BR28" s="163">
        <f>IFERROR(IF(BO28-BQ28-BS28&lt;=0,0,BO28-BQ28-BS28),0)</f>
        <v/>
      </c>
      <c r="BS28" s="163">
        <f>BQ28</f>
        <v/>
      </c>
      <c r="BT28" s="163">
        <f>IFERROR(IF(BO28&lt;((1/2*BN28*BP28^2)*2),SQRT((BO28/2)*2/BN28),BP28),0)</f>
        <v/>
      </c>
      <c r="BU28" s="163">
        <f>IFERROR(BR28/BM28,0)</f>
        <v/>
      </c>
      <c r="BV28" s="163">
        <f>BT28</f>
        <v/>
      </c>
      <c r="BW28" s="163">
        <f>IF(BL28&gt;0,BL28,SUM(BT28:BV28))</f>
        <v/>
      </c>
      <c r="BX28" s="163" t="n"/>
      <c r="BY28" s="163">
        <f>BW28*BX28</f>
        <v/>
      </c>
    </row>
    <row r="29">
      <c r="A29" s="33">
        <f>"Single cycle - Far "&amp;C29&amp;" m"</f>
        <v/>
      </c>
      <c r="B29" s="56" t="n">
        <v>0.5</v>
      </c>
      <c r="C29" s="33">
        <f>(B29*$D$13)+$B$14</f>
        <v/>
      </c>
      <c r="G29" s="160">
        <f>G28+1</f>
        <v/>
      </c>
      <c r="H29" s="165" t="n"/>
      <c r="I29" s="162" t="n"/>
      <c r="J29" s="163">
        <f>IFERROR(VLOOKUP(H29,'Master List'!$A:$D,2,0),0)</f>
        <v/>
      </c>
      <c r="K29" s="163">
        <f>IFERROR(VLOOKUP(H29,'Master List'!$A:$D,3,0),0)</f>
        <v/>
      </c>
      <c r="L29" s="163">
        <f>IFERROR(VLOOKUP(H29,'Master List'!$A:$D,4,0),0)</f>
        <v/>
      </c>
      <c r="M29" s="163" t="n">
        <v>0</v>
      </c>
      <c r="N29" s="163">
        <f>IFERROR(K29/L29,0)</f>
        <v/>
      </c>
      <c r="O29" s="163">
        <f>IFERROR(IF(M29&lt;((1/2*L29*N29^2)*2),1/2*L29*SQRT((M29/2)*2/L29)^2,1/2*L29*N29^2),0)</f>
        <v/>
      </c>
      <c r="P29" s="163">
        <f>IFERROR(IF(M29-O29-Q29&lt;=0,0,M29-O29-Q29),0)</f>
        <v/>
      </c>
      <c r="Q29" s="163">
        <f>O29</f>
        <v/>
      </c>
      <c r="R29" s="163">
        <f>IFERROR(IF(M29&lt;((1/2*L29*N29^2)*2),SQRT((M29/2)*2/L29),N29),0)</f>
        <v/>
      </c>
      <c r="S29" s="163">
        <f>IFERROR(P29/K29,0)</f>
        <v/>
      </c>
      <c r="T29" s="163">
        <f>R29</f>
        <v/>
      </c>
      <c r="U29" s="163">
        <f>IF(J29&gt;0,J29,SUM(R29:T29))</f>
        <v/>
      </c>
      <c r="V29" s="163" t="n"/>
      <c r="W29" s="163">
        <f>U29*V29</f>
        <v/>
      </c>
      <c r="Y29" s="160">
        <f>Y28+1</f>
        <v/>
      </c>
      <c r="Z29" s="165" t="n"/>
      <c r="AA29" s="162" t="n"/>
      <c r="AB29" s="163">
        <f>IFERROR(VLOOKUP(Z29,'Master List'!$A:$D,2,0),0)</f>
        <v/>
      </c>
      <c r="AC29" s="163">
        <f>IFERROR(VLOOKUP(Z29,'Master List'!$A:$D,3,0),0)</f>
        <v/>
      </c>
      <c r="AD29" s="163">
        <f>IFERROR(VLOOKUP(Z29,'Master List'!$A:$D,4,0),0)</f>
        <v/>
      </c>
      <c r="AE29" s="163" t="n"/>
      <c r="AF29" s="163">
        <f>IFERROR(AC29/AD29,0)</f>
        <v/>
      </c>
      <c r="AG29" s="163">
        <f>IFERROR(IF(AE29&lt;((1/2*AD29*AF29^2)*2),1/2*AD29*SQRT((AE29/2)*2/AD29)^2,1/2*AD29*AF29^2),0)</f>
        <v/>
      </c>
      <c r="AH29" s="163">
        <f>IFERROR(IF(AE29-AG29-AI29&lt;=0,0,AE29-AG29-AI29),0)</f>
        <v/>
      </c>
      <c r="AI29" s="163">
        <f>AG29</f>
        <v/>
      </c>
      <c r="AJ29" s="163">
        <f>IFERROR(IF(AE29&lt;((1/2*AD29*AF29^2)*2),SQRT((AE29/2)*2/AD29),AF29),0)</f>
        <v/>
      </c>
      <c r="AK29" s="163">
        <f>IFERROR(AH29/AC29,0)</f>
        <v/>
      </c>
      <c r="AL29" s="163">
        <f>AJ29</f>
        <v/>
      </c>
      <c r="AM29" s="163">
        <f>IF(AB29&gt;0,AB29,SUM(AJ29:AL29))</f>
        <v/>
      </c>
      <c r="AN29" s="163" t="n"/>
      <c r="AO29" s="163">
        <f>AM29*AN29</f>
        <v/>
      </c>
      <c r="AQ29" s="160">
        <f>AQ28+1</f>
        <v/>
      </c>
      <c r="AR29" s="165" t="n"/>
      <c r="AS29" s="162" t="n"/>
      <c r="AT29" s="163">
        <f>IFERROR(VLOOKUP(AR29,'Master List'!$A:$D,2,0),0)</f>
        <v/>
      </c>
      <c r="AU29" s="163">
        <f>IFERROR(VLOOKUP(AR29,'Master List'!$A:$D,3,0),0)</f>
        <v/>
      </c>
      <c r="AV29" s="163">
        <f>IFERROR(VLOOKUP(AR29,'Master List'!$A:$D,4,0),0)</f>
        <v/>
      </c>
      <c r="AW29" s="163" t="n"/>
      <c r="AX29" s="163">
        <f>IFERROR(AU29/AV29,0)</f>
        <v/>
      </c>
      <c r="AY29" s="163">
        <f>IFERROR(IF(AW29&lt;((1/2*AV29*AX29^2)*2),1/2*AV29*SQRT((AW29/2)*2/AV29)^2,1/2*AV29*AX29^2),0)</f>
        <v/>
      </c>
      <c r="AZ29" s="163">
        <f>IFERROR(IF(AW29-AY29-BA29&lt;=0,0,AW29-AY29-BA29),0)</f>
        <v/>
      </c>
      <c r="BA29" s="163">
        <f>AY29</f>
        <v/>
      </c>
      <c r="BB29" s="163">
        <f>IFERROR(IF(AW29&lt;((1/2*AV29*AX29^2)*2),SQRT((AW29/2)*2/AV29),AX29),0)</f>
        <v/>
      </c>
      <c r="BC29" s="163">
        <f>IFERROR(AZ29/AU29,0)</f>
        <v/>
      </c>
      <c r="BD29" s="163">
        <f>BB29</f>
        <v/>
      </c>
      <c r="BE29" s="163">
        <f>IF(AT29&gt;0,AT29,SUM(BB29:BD29))</f>
        <v/>
      </c>
      <c r="BF29" s="163" t="n"/>
      <c r="BG29" s="163">
        <f>BE29*BF29</f>
        <v/>
      </c>
      <c r="BI29" s="160">
        <f>BI28+1</f>
        <v/>
      </c>
      <c r="BJ29" s="165" t="n"/>
      <c r="BK29" s="162" t="n"/>
      <c r="BL29" s="163">
        <f>IFERROR(VLOOKUP(BJ29,'Master List'!$A:$D,2,0),0)</f>
        <v/>
      </c>
      <c r="BM29" s="163">
        <f>IFERROR(VLOOKUP(BJ29,'Master List'!$A:$D,3,0),0)</f>
        <v/>
      </c>
      <c r="BN29" s="163">
        <f>IFERROR(VLOOKUP(BJ29,'Master List'!$A:$D,4,0),0)</f>
        <v/>
      </c>
      <c r="BO29" s="163" t="n"/>
      <c r="BP29" s="163">
        <f>IFERROR(BM29/BN29,0)</f>
        <v/>
      </c>
      <c r="BQ29" s="163">
        <f>IFERROR(IF(BO29&lt;((1/2*BN29*BP29^2)*2),1/2*BN29*SQRT((BO29/2)*2/BN29)^2,1/2*BN29*BP29^2),0)</f>
        <v/>
      </c>
      <c r="BR29" s="163">
        <f>IFERROR(IF(BO29-BQ29-BS29&lt;=0,0,BO29-BQ29-BS29),0)</f>
        <v/>
      </c>
      <c r="BS29" s="163">
        <f>BQ29</f>
        <v/>
      </c>
      <c r="BT29" s="163">
        <f>IFERROR(IF(BO29&lt;((1/2*BN29*BP29^2)*2),SQRT((BO29/2)*2/BN29),BP29),0)</f>
        <v/>
      </c>
      <c r="BU29" s="163">
        <f>IFERROR(BR29/BM29,0)</f>
        <v/>
      </c>
      <c r="BV29" s="163">
        <f>BT29</f>
        <v/>
      </c>
      <c r="BW29" s="163">
        <f>IF(BL29&gt;0,BL29,SUM(BT29:BV29))</f>
        <v/>
      </c>
      <c r="BX29" s="163" t="n"/>
      <c r="BY29" s="163">
        <f>BW29*BX29</f>
        <v/>
      </c>
    </row>
    <row r="30">
      <c r="A30" s="33">
        <f>"Single cycle - Diagonally Farthest "&amp;C30&amp;" m"</f>
        <v/>
      </c>
      <c r="B30" s="56" t="n">
        <v>1</v>
      </c>
      <c r="C30" s="33">
        <f>(B30*$D$13)+$B$14</f>
        <v/>
      </c>
      <c r="G30" s="160">
        <f>G29+1</f>
        <v/>
      </c>
      <c r="H30" s="165" t="n"/>
      <c r="I30" s="162" t="n"/>
      <c r="J30" s="163">
        <f>IFERROR(VLOOKUP(H30,'Master List'!$A:$D,2,0),0)</f>
        <v/>
      </c>
      <c r="K30" s="163">
        <f>IFERROR(VLOOKUP(H30,'Master List'!$A:$D,3,0),0)</f>
        <v/>
      </c>
      <c r="L30" s="163">
        <f>IFERROR(VLOOKUP(H30,'Master List'!$A:$D,4,0),0)</f>
        <v/>
      </c>
      <c r="M30" s="163" t="n">
        <v>0</v>
      </c>
      <c r="N30" s="163">
        <f>IFERROR(K30/L30,0)</f>
        <v/>
      </c>
      <c r="O30" s="163">
        <f>IFERROR(IF(M30&lt;((1/2*L30*N30^2)*2),1/2*L30*SQRT((M30/2)*2/L30)^2,1/2*L30*N30^2),0)</f>
        <v/>
      </c>
      <c r="P30" s="163">
        <f>IFERROR(IF(M30-O30-Q30&lt;=0,0,M30-O30-Q30),0)</f>
        <v/>
      </c>
      <c r="Q30" s="163">
        <f>O30</f>
        <v/>
      </c>
      <c r="R30" s="163">
        <f>IFERROR(IF(M30&lt;((1/2*L30*N30^2)*2),SQRT((M30/2)*2/L30),N30),0)</f>
        <v/>
      </c>
      <c r="S30" s="163">
        <f>IFERROR(P30/K30,0)</f>
        <v/>
      </c>
      <c r="T30" s="163">
        <f>R30</f>
        <v/>
      </c>
      <c r="U30" s="163">
        <f>IF(J30&gt;0,J30,SUM(R30:T30))</f>
        <v/>
      </c>
      <c r="V30" s="163" t="n"/>
      <c r="W30" s="163">
        <f>U30*V30</f>
        <v/>
      </c>
      <c r="Y30" s="160">
        <f>Y29+1</f>
        <v/>
      </c>
      <c r="Z30" s="165" t="n"/>
      <c r="AA30" s="162" t="n"/>
      <c r="AB30" s="163">
        <f>IFERROR(VLOOKUP(Z30,'Master List'!$A:$D,2,0),0)</f>
        <v/>
      </c>
      <c r="AC30" s="163">
        <f>IFERROR(VLOOKUP(Z30,'Master List'!$A:$D,3,0),0)</f>
        <v/>
      </c>
      <c r="AD30" s="163">
        <f>IFERROR(VLOOKUP(Z30,'Master List'!$A:$D,4,0),0)</f>
        <v/>
      </c>
      <c r="AE30" s="163" t="n"/>
      <c r="AF30" s="163">
        <f>IFERROR(AC30/AD30,0)</f>
        <v/>
      </c>
      <c r="AG30" s="163">
        <f>IFERROR(IF(AE30&lt;((1/2*AD30*AF30^2)*2),1/2*AD30*SQRT((AE30/2)*2/AD30)^2,1/2*AD30*AF30^2),0)</f>
        <v/>
      </c>
      <c r="AH30" s="163">
        <f>IFERROR(IF(AE30-AG30-AI30&lt;=0,0,AE30-AG30-AI30),0)</f>
        <v/>
      </c>
      <c r="AI30" s="163">
        <f>AG30</f>
        <v/>
      </c>
      <c r="AJ30" s="163">
        <f>IFERROR(IF(AE30&lt;((1/2*AD30*AF30^2)*2),SQRT((AE30/2)*2/AD30),AF30),0)</f>
        <v/>
      </c>
      <c r="AK30" s="163">
        <f>IFERROR(AH30/AC30,0)</f>
        <v/>
      </c>
      <c r="AL30" s="163">
        <f>AJ30</f>
        <v/>
      </c>
      <c r="AM30" s="163">
        <f>IF(AB30&gt;0,AB30,SUM(AJ30:AL30))</f>
        <v/>
      </c>
      <c r="AN30" s="163" t="n"/>
      <c r="AO30" s="163">
        <f>AM30*AN30</f>
        <v/>
      </c>
      <c r="AQ30" s="160">
        <f>AQ29+1</f>
        <v/>
      </c>
      <c r="AR30" s="165" t="n"/>
      <c r="AS30" s="162" t="n"/>
      <c r="AT30" s="163">
        <f>IFERROR(VLOOKUP(AR30,'Master List'!$A:$D,2,0),0)</f>
        <v/>
      </c>
      <c r="AU30" s="163">
        <f>IFERROR(VLOOKUP(AR30,'Master List'!$A:$D,3,0),0)</f>
        <v/>
      </c>
      <c r="AV30" s="163">
        <f>IFERROR(VLOOKUP(AR30,'Master List'!$A:$D,4,0),0)</f>
        <v/>
      </c>
      <c r="AW30" s="163" t="n"/>
      <c r="AX30" s="163">
        <f>IFERROR(AU30/AV30,0)</f>
        <v/>
      </c>
      <c r="AY30" s="163">
        <f>IFERROR(IF(AW30&lt;((1/2*AV30*AX30^2)*2),1/2*AV30*SQRT((AW30/2)*2/AV30)^2,1/2*AV30*AX30^2),0)</f>
        <v/>
      </c>
      <c r="AZ30" s="163">
        <f>IFERROR(IF(AW30-AY30-BA30&lt;=0,0,AW30-AY30-BA30),0)</f>
        <v/>
      </c>
      <c r="BA30" s="163">
        <f>AY30</f>
        <v/>
      </c>
      <c r="BB30" s="163">
        <f>IFERROR(IF(AW30&lt;((1/2*AV30*AX30^2)*2),SQRT((AW30/2)*2/AV30),AX30),0)</f>
        <v/>
      </c>
      <c r="BC30" s="163">
        <f>IFERROR(AZ30/AU30,0)</f>
        <v/>
      </c>
      <c r="BD30" s="163">
        <f>BB30</f>
        <v/>
      </c>
      <c r="BE30" s="163">
        <f>IF(AT30&gt;0,AT30,SUM(BB30:BD30))</f>
        <v/>
      </c>
      <c r="BF30" s="163" t="n"/>
      <c r="BG30" s="163">
        <f>BE30*BF30</f>
        <v/>
      </c>
      <c r="BI30" s="160">
        <f>BI29+1</f>
        <v/>
      </c>
      <c r="BJ30" s="165" t="n"/>
      <c r="BK30" s="162" t="n"/>
      <c r="BL30" s="163">
        <f>IFERROR(VLOOKUP(BJ30,'Master List'!$A:$D,2,0),0)</f>
        <v/>
      </c>
      <c r="BM30" s="163">
        <f>IFERROR(VLOOKUP(BJ30,'Master List'!$A:$D,3,0),0)</f>
        <v/>
      </c>
      <c r="BN30" s="163">
        <f>IFERROR(VLOOKUP(BJ30,'Master List'!$A:$D,4,0),0)</f>
        <v/>
      </c>
      <c r="BO30" s="163" t="n"/>
      <c r="BP30" s="163">
        <f>IFERROR(BM30/BN30,0)</f>
        <v/>
      </c>
      <c r="BQ30" s="163">
        <f>IFERROR(IF(BO30&lt;((1/2*BN30*BP30^2)*2),1/2*BN30*SQRT((BO30/2)*2/BN30)^2,1/2*BN30*BP30^2),0)</f>
        <v/>
      </c>
      <c r="BR30" s="163">
        <f>IFERROR(IF(BO30-BQ30-BS30&lt;=0,0,BO30-BQ30-BS30),0)</f>
        <v/>
      </c>
      <c r="BS30" s="163">
        <f>BQ30</f>
        <v/>
      </c>
      <c r="BT30" s="163">
        <f>IFERROR(IF(BO30&lt;((1/2*BN30*BP30^2)*2),SQRT((BO30/2)*2/BN30),BP30),0)</f>
        <v/>
      </c>
      <c r="BU30" s="163">
        <f>IFERROR(BR30/BM30,0)</f>
        <v/>
      </c>
      <c r="BV30" s="163">
        <f>BT30</f>
        <v/>
      </c>
      <c r="BW30" s="163">
        <f>IF(BL30&gt;0,BL30,SUM(BT30:BV30))</f>
        <v/>
      </c>
      <c r="BX30" s="163" t="n"/>
      <c r="BY30" s="163">
        <f>BW30*BX30</f>
        <v/>
      </c>
    </row>
    <row r="31">
      <c r="BO31" s="219" t="n"/>
    </row>
    <row r="32">
      <c r="A32" s="37" t="inlineStr">
        <is>
          <t>Barcode distance m (Grid size)</t>
        </is>
      </c>
      <c r="B32" s="403">
        <f>700/1000</f>
        <v/>
      </c>
    </row>
    <row r="33">
      <c r="A33" s="1" t="inlineStr">
        <is>
          <t>Barcodes per zippy</t>
        </is>
      </c>
      <c r="B33" s="1" t="n">
        <v>8</v>
      </c>
    </row>
    <row r="36" ht="15" customHeight="1" s="516">
      <c r="H36" s="216" t="n"/>
      <c r="I36" s="216" t="n"/>
    </row>
    <row r="37" ht="15" customHeight="1" s="516">
      <c r="H37" s="216" t="n"/>
      <c r="I37" s="216" t="n"/>
    </row>
    <row r="38" ht="15" customHeight="1" s="516">
      <c r="H38" s="216" t="n"/>
      <c r="I38" s="216" t="n"/>
    </row>
    <row r="39" ht="15" customHeight="1" s="516">
      <c r="H39" s="216" t="n"/>
      <c r="I39" s="216" t="n"/>
    </row>
  </sheetData>
  <sheetProtection selectLockedCells="0" selectUnlockedCells="0" algorithmName="SHA-512" sheet="1" objects="1" insertRows="1" insertHyperlinks="1" autoFilter="1" scenarios="1" formatColumns="1" deleteColumns="1" insertColumns="1" pivotTables="1" deleteRows="1" formatCells="1" saltValue="kBXogIkKh82vAn+XzMFMhw==" formatRows="1" sort="1" spinCount="100000" hashValue="qRmwBPDJX315Q61GfEPPG1Z8iVZPXXa9kP6xg3mDdka9EAQdXsWyYYA4QFLVEOGQarHKwnmWo0ZM0geZj0M7lA=="/>
  <mergeCells count="24">
    <mergeCell ref="AR8:BF8"/>
    <mergeCell ref="Y6:Y10"/>
    <mergeCell ref="BJ9:BX9"/>
    <mergeCell ref="Z7:AN7"/>
    <mergeCell ref="H6:V6"/>
    <mergeCell ref="BJ6:BX6"/>
    <mergeCell ref="Z8:AN8"/>
    <mergeCell ref="BJ8:BX8"/>
    <mergeCell ref="AQ6:AQ10"/>
    <mergeCell ref="H7:V7"/>
    <mergeCell ref="BJ7:BX7"/>
    <mergeCell ref="AR6:BF6"/>
    <mergeCell ref="Y5:AO5"/>
    <mergeCell ref="Z9:AN9"/>
    <mergeCell ref="H8:V8"/>
    <mergeCell ref="AQ5:BG5"/>
    <mergeCell ref="G5:W5"/>
    <mergeCell ref="Z6:AN6"/>
    <mergeCell ref="BI5:BY5"/>
    <mergeCell ref="AR7:BF7"/>
    <mergeCell ref="H9:V9"/>
    <mergeCell ref="G6:G10"/>
    <mergeCell ref="AR9:BF9"/>
    <mergeCell ref="BI6:BI10"/>
  </mergeCells>
  <conditionalFormatting sqref="B7:B8 B10">
    <cfRule type="cellIs" priority="23" operator="lessThan" dxfId="1">
      <formula>$B$33</formula>
    </cfRule>
  </conditionalFormatting>
  <conditionalFormatting sqref="E25">
    <cfRule type="cellIs" priority="3" operator="notEqual" dxfId="0">
      <formula>1</formula>
    </cfRule>
  </conditionalFormatting>
  <pageMargins left="0.7" right="0.7" top="0.75" bottom="0.75" header="0.3" footer="0.3"/>
  <pageSetup orientation="landscape" scale="79"/>
  <drawing r:id="rId1"/>
</worksheet>
</file>

<file path=xl/worksheets/sheet5.xml><?xml version="1.0" encoding="utf-8"?>
<worksheet xmlns:r="http://schemas.openxmlformats.org/officeDocument/2006/relationships" xmlns="http://schemas.openxmlformats.org/spreadsheetml/2006/main">
  <sheetPr codeName="Sheet5">
    <tabColor rgb="FFFFC000"/>
    <outlinePr summaryBelow="1" summaryRight="1"/>
    <pageSetUpPr fitToPage="1"/>
  </sheetPr>
  <dimension ref="A1:CA39"/>
  <sheetViews>
    <sheetView showGridLines="0" zoomScale="70" zoomScaleNormal="70" workbookViewId="0">
      <selection activeCell="G14" sqref="G14"/>
    </sheetView>
  </sheetViews>
  <sheetFormatPr baseColWidth="10" defaultColWidth="8.6640625" defaultRowHeight="14"/>
  <cols>
    <col width="37.83203125" customWidth="1" style="1" min="1" max="1"/>
    <col width="35" bestFit="1" customWidth="1" style="1" min="2" max="2"/>
    <col width="21.5" bestFit="1" customWidth="1" style="1" min="3" max="3"/>
    <col width="11.33203125" bestFit="1" customWidth="1" style="1" min="4" max="4"/>
    <col width="11.6640625" bestFit="1" customWidth="1" style="1" min="5" max="5"/>
    <col width="30.83203125" customWidth="1" style="147" min="6" max="6"/>
    <col width="8.5" customWidth="1" style="153" min="7" max="7"/>
    <col width="24.6640625" customWidth="1" style="218" min="8" max="8"/>
    <col width="61.5" customWidth="1" style="218" min="9" max="9"/>
    <col hidden="1" width="11.5" customWidth="1" style="153" min="10" max="10"/>
    <col hidden="1" width="6.5" customWidth="1" style="153" min="11" max="11"/>
    <col hidden="1" width="11.6640625" customWidth="1" style="153" min="12" max="12"/>
    <col hidden="1" width="9.33203125" customWidth="1" style="218" min="13" max="13"/>
    <col hidden="1" width="10.6640625" customWidth="1" style="153" min="14" max="14"/>
    <col width="12.5" customWidth="1" style="153" min="15" max="15"/>
    <col hidden="1" width="9.5" customWidth="1" style="153" min="16" max="16"/>
    <col hidden="1" width="11.6640625" customWidth="1" style="153" min="17" max="17"/>
    <col hidden="1" width="11.5" customWidth="1" style="153" min="18" max="18"/>
    <col hidden="1" width="8.6640625" customWidth="1" style="153" min="19" max="19"/>
    <col hidden="1" width="11.33203125" customWidth="1" style="153" min="20" max="20"/>
    <col width="8.6640625" customWidth="1" style="153" min="21" max="21"/>
    <col width="9.33203125" customWidth="1" style="218" min="22" max="22"/>
    <col width="14.33203125" customWidth="1" style="153" min="23" max="23"/>
    <col width="8.6640625" customWidth="1" style="153" min="24" max="25"/>
    <col width="24.6640625" customWidth="1" style="218" min="26" max="26"/>
    <col width="27.6640625" customWidth="1" style="218" min="27" max="27"/>
    <col hidden="1" width="8.6640625" customWidth="1" style="153" min="28" max="30"/>
    <col width="8.6640625" customWidth="1" style="218" min="31" max="31"/>
    <col hidden="1" width="8.6640625" customWidth="1" style="153" min="32" max="38"/>
    <col width="8.6640625" customWidth="1" style="153" min="39" max="39"/>
    <col width="8.6640625" customWidth="1" style="218" min="40" max="40"/>
    <col width="8.6640625" customWidth="1" style="153" min="41" max="43"/>
    <col width="24.6640625" customWidth="1" style="218" min="44" max="44"/>
    <col width="32.6640625" customWidth="1" style="218" min="45" max="45"/>
    <col hidden="1" width="8.6640625" customWidth="1" style="153" min="46" max="48"/>
    <col width="8.6640625" customWidth="1" style="218" min="49" max="49"/>
    <col hidden="1" width="8.6640625" customWidth="1" style="153" min="50" max="56"/>
    <col width="8.6640625" customWidth="1" style="153" min="57" max="57"/>
    <col width="8.6640625" customWidth="1" style="218" min="58" max="58"/>
    <col width="8.6640625" customWidth="1" style="153" min="59" max="61"/>
    <col width="24.6640625" customWidth="1" style="218" min="62" max="62"/>
    <col width="23.83203125" customWidth="1" style="218" min="63" max="63"/>
    <col hidden="1" width="8.6640625" customWidth="1" style="153" min="64" max="66"/>
    <col width="8.6640625" customWidth="1" style="218" min="67" max="67"/>
    <col hidden="1" width="8.6640625" customWidth="1" style="153" min="68" max="74"/>
    <col width="8.6640625" customWidth="1" style="153" min="75" max="75"/>
    <col width="8.6640625" customWidth="1" style="218" min="76" max="76"/>
    <col width="8.6640625" customWidth="1" style="153" min="77" max="77"/>
    <col width="8.6640625" customWidth="1" style="148" min="78" max="78"/>
    <col width="8.6640625" customWidth="1" style="147" min="79" max="79"/>
    <col width="8.6640625" customWidth="1" style="1" min="80" max="80"/>
    <col width="17.33203125" bestFit="1" customWidth="1" style="1" min="81" max="81"/>
    <col width="12.6640625" bestFit="1" customWidth="1" style="1" min="82" max="82"/>
    <col width="10.5" bestFit="1" customWidth="1" style="1" min="83" max="83"/>
    <col width="8.6640625" customWidth="1" style="1" min="84" max="84"/>
    <col width="8.6640625" customWidth="1" style="1" min="85" max="16384"/>
  </cols>
  <sheetData>
    <row r="1" ht="47" customFormat="1" customHeight="1" s="24">
      <c r="A1" s="1" t="n"/>
      <c r="B1" s="144">
        <f>'Master List'!$F$2</f>
        <v/>
      </c>
      <c r="C1" s="1" t="n"/>
      <c r="D1" s="1" t="n"/>
      <c r="E1" s="1" t="n"/>
      <c r="F1" s="147" t="n"/>
      <c r="G1" s="214" t="n"/>
      <c r="H1" s="215" t="n"/>
      <c r="I1" s="214" t="n"/>
      <c r="J1" s="214" t="n"/>
      <c r="K1" s="214" t="n"/>
      <c r="L1" s="214" t="n"/>
      <c r="M1" s="214" t="n"/>
      <c r="N1" s="214" t="n"/>
      <c r="O1" s="214" t="n"/>
      <c r="P1" s="214" t="n"/>
      <c r="Q1" s="214" t="n"/>
      <c r="R1" s="214" t="n"/>
      <c r="S1" s="214" t="n"/>
      <c r="T1" s="214" t="n"/>
      <c r="U1" s="214" t="n"/>
      <c r="V1" s="216" t="n"/>
      <c r="W1" s="216" t="n"/>
      <c r="X1" s="214" t="n"/>
      <c r="Y1" s="214" t="n"/>
      <c r="Z1" s="214" t="n"/>
      <c r="AA1" s="214" t="n"/>
      <c r="AB1" s="214" t="n"/>
      <c r="AC1" s="214" t="n"/>
      <c r="AD1" s="214" t="n"/>
      <c r="AE1" s="214" t="n"/>
      <c r="AF1" s="214" t="n"/>
      <c r="AG1" s="214" t="n"/>
      <c r="AH1" s="214" t="n"/>
      <c r="AI1" s="214" t="n"/>
      <c r="AJ1" s="214" t="n"/>
      <c r="AK1" s="214" t="n"/>
      <c r="AL1" s="214" t="n"/>
      <c r="AM1" s="214" t="n"/>
      <c r="AN1" s="214" t="n"/>
      <c r="AO1" s="214" t="n"/>
      <c r="AP1" s="214" t="n"/>
      <c r="AQ1" s="214" t="n"/>
      <c r="AR1" s="214" t="n"/>
      <c r="AS1" s="214" t="n"/>
      <c r="AT1" s="214" t="n"/>
      <c r="AU1" s="214" t="n"/>
      <c r="AV1" s="214" t="n"/>
      <c r="AW1" s="214" t="n"/>
      <c r="AX1" s="214" t="n"/>
      <c r="AY1" s="214" t="n"/>
      <c r="AZ1" s="214" t="n"/>
      <c r="BA1" s="214" t="n"/>
      <c r="BB1" s="214" t="n"/>
      <c r="BC1" s="214" t="n"/>
      <c r="BD1" s="214" t="n"/>
      <c r="BE1" s="214" t="n"/>
      <c r="BF1" s="214" t="n"/>
      <c r="BG1" s="214" t="n"/>
      <c r="BH1" s="214" t="n"/>
      <c r="BI1" s="214" t="n"/>
      <c r="BJ1" s="214" t="n"/>
      <c r="BK1" s="214" t="n"/>
      <c r="BL1" s="214" t="n"/>
      <c r="BM1" s="214" t="n"/>
      <c r="BN1" s="214" t="n"/>
      <c r="BO1" s="214" t="n"/>
      <c r="BP1" s="214" t="n"/>
      <c r="BQ1" s="214" t="n"/>
      <c r="BR1" s="214" t="n"/>
      <c r="BS1" s="214" t="n"/>
      <c r="BT1" s="214" t="n"/>
      <c r="BU1" s="214" t="n"/>
      <c r="BV1" s="214" t="n"/>
      <c r="BW1" s="214" t="n"/>
      <c r="BX1" s="214" t="n"/>
      <c r="BY1" s="214" t="n"/>
      <c r="BZ1" s="149" t="n"/>
      <c r="CA1" s="150" t="n"/>
    </row>
    <row r="2" ht="18.5" customFormat="1" customHeight="1" s="24">
      <c r="A2" s="34" t="inlineStr">
        <is>
          <t>Equipment</t>
        </is>
      </c>
      <c r="B2" s="33" t="inlineStr">
        <is>
          <t>Zippy 30</t>
        </is>
      </c>
      <c r="C2" s="1" t="n"/>
      <c r="D2" s="1" t="n"/>
      <c r="E2" s="1" t="n"/>
      <c r="F2" s="147" t="n"/>
      <c r="G2" s="214" t="n"/>
      <c r="H2" s="215" t="n"/>
      <c r="I2" s="214" t="n"/>
      <c r="J2" s="214" t="n"/>
      <c r="K2" s="214" t="n"/>
      <c r="L2" s="214" t="n"/>
      <c r="M2" s="214" t="n"/>
      <c r="N2" s="214" t="n"/>
      <c r="O2" s="214" t="n"/>
      <c r="P2" s="214" t="n"/>
      <c r="Q2" s="214" t="n"/>
      <c r="R2" s="214" t="n"/>
      <c r="S2" s="214" t="n"/>
      <c r="T2" s="214" t="n"/>
      <c r="U2" s="214" t="n"/>
      <c r="V2" s="216" t="n"/>
      <c r="W2" s="216" t="n"/>
      <c r="X2" s="214" t="n"/>
      <c r="Y2" s="214" t="n"/>
      <c r="Z2" s="214" t="n"/>
      <c r="AA2" s="214" t="n"/>
      <c r="AB2" s="214" t="n"/>
      <c r="AC2" s="214" t="n"/>
      <c r="AD2" s="214" t="n"/>
      <c r="AE2" s="214" t="n"/>
      <c r="AF2" s="214" t="n"/>
      <c r="AG2" s="214" t="n"/>
      <c r="AH2" s="214" t="n"/>
      <c r="AI2" s="214" t="n"/>
      <c r="AJ2" s="214" t="n"/>
      <c r="AK2" s="214" t="n"/>
      <c r="AL2" s="214" t="n"/>
      <c r="AM2" s="214" t="n"/>
      <c r="AN2" s="214" t="n"/>
      <c r="AO2" s="214" t="n"/>
      <c r="AP2" s="214" t="n"/>
      <c r="AQ2" s="214" t="n"/>
      <c r="AR2" s="214" t="n"/>
      <c r="AS2" s="214" t="n"/>
      <c r="AT2" s="214" t="n"/>
      <c r="AU2" s="214" t="n"/>
      <c r="AV2" s="214" t="n"/>
      <c r="AW2" s="214" t="n"/>
      <c r="AX2" s="214" t="n"/>
      <c r="AY2" s="214" t="n"/>
      <c r="AZ2" s="214" t="n"/>
      <c r="BA2" s="214" t="n"/>
      <c r="BB2" s="214" t="n"/>
      <c r="BC2" s="214" t="n"/>
      <c r="BD2" s="214" t="n"/>
      <c r="BE2" s="214" t="n"/>
      <c r="BF2" s="214" t="n"/>
      <c r="BG2" s="214" t="n"/>
      <c r="BH2" s="214" t="n"/>
      <c r="BI2" s="214" t="n"/>
      <c r="BJ2" s="214" t="n"/>
      <c r="BK2" s="214" t="n"/>
      <c r="BL2" s="214" t="n"/>
      <c r="BM2" s="214" t="n"/>
      <c r="BN2" s="214" t="n"/>
      <c r="BO2" s="214" t="n"/>
      <c r="BP2" s="214" t="n"/>
      <c r="BQ2" s="214" t="n"/>
      <c r="BR2" s="214" t="n"/>
      <c r="BS2" s="214" t="n"/>
      <c r="BT2" s="214" t="n"/>
      <c r="BU2" s="214" t="n"/>
      <c r="BV2" s="214" t="n"/>
      <c r="BW2" s="214" t="n"/>
      <c r="BX2" s="214" t="n"/>
      <c r="BY2" s="214" t="n"/>
      <c r="BZ2" s="149" t="n"/>
      <c r="CA2" s="150" t="n"/>
    </row>
    <row r="3" ht="18.5" customFormat="1" customHeight="1" s="24">
      <c r="A3" s="34" t="inlineStr">
        <is>
          <t>Utilization</t>
        </is>
      </c>
      <c r="B3" s="402">
        <f>W8</f>
        <v/>
      </c>
      <c r="C3" s="1" t="n"/>
      <c r="D3" s="1" t="n"/>
      <c r="E3" s="1" t="n"/>
      <c r="F3" s="147" t="n"/>
      <c r="G3" s="214" t="n"/>
      <c r="H3" s="215" t="n"/>
      <c r="I3" s="214" t="n"/>
      <c r="J3" s="214" t="n"/>
      <c r="K3" s="214" t="n"/>
      <c r="L3" s="214" t="n"/>
      <c r="M3" s="214" t="n"/>
      <c r="N3" s="214" t="n"/>
      <c r="O3" s="214" t="n"/>
      <c r="P3" s="214" t="n"/>
      <c r="Q3" s="214" t="n"/>
      <c r="R3" s="214" t="n"/>
      <c r="S3" s="214" t="n"/>
      <c r="T3" s="214" t="n"/>
      <c r="U3" s="214" t="n"/>
      <c r="V3" s="216" t="n"/>
      <c r="W3" s="216" t="n"/>
      <c r="X3" s="214" t="n"/>
      <c r="Y3" s="214" t="n"/>
      <c r="Z3" s="214" t="n"/>
      <c r="AA3" s="214" t="n"/>
      <c r="AB3" s="214" t="n"/>
      <c r="AC3" s="214" t="n"/>
      <c r="AD3" s="214" t="n"/>
      <c r="AE3" s="214" t="n"/>
      <c r="AF3" s="214" t="n"/>
      <c r="AG3" s="214" t="n"/>
      <c r="AH3" s="214" t="n"/>
      <c r="AI3" s="214" t="n"/>
      <c r="AJ3" s="214" t="n"/>
      <c r="AK3" s="214" t="n"/>
      <c r="AL3" s="214" t="n"/>
      <c r="AM3" s="214" t="n"/>
      <c r="AN3" s="214" t="n"/>
      <c r="AO3" s="214" t="n"/>
      <c r="AP3" s="214" t="n"/>
      <c r="AQ3" s="214" t="n"/>
      <c r="AR3" s="214" t="n"/>
      <c r="AS3" s="214" t="n"/>
      <c r="AT3" s="214" t="n"/>
      <c r="AU3" s="214" t="n"/>
      <c r="AV3" s="214" t="n"/>
      <c r="AW3" s="214" t="n"/>
      <c r="AX3" s="214" t="n"/>
      <c r="AY3" s="214" t="n"/>
      <c r="AZ3" s="214" t="n"/>
      <c r="BA3" s="214" t="n"/>
      <c r="BB3" s="214" t="n"/>
      <c r="BC3" s="214" t="n"/>
      <c r="BD3" s="214" t="n"/>
      <c r="BE3" s="214" t="n"/>
      <c r="BF3" s="214" t="n"/>
      <c r="BG3" s="214" t="n"/>
      <c r="BH3" s="214" t="n"/>
      <c r="BI3" s="214" t="n"/>
      <c r="BJ3" s="214" t="n"/>
      <c r="BK3" s="214" t="n"/>
      <c r="BL3" s="214" t="n"/>
      <c r="BM3" s="214" t="n"/>
      <c r="BN3" s="214" t="n"/>
      <c r="BO3" s="214" t="n"/>
      <c r="BP3" s="214" t="n"/>
      <c r="BQ3" s="214" t="n"/>
      <c r="BR3" s="214" t="n"/>
      <c r="BS3" s="214" t="n"/>
      <c r="BT3" s="214" t="n"/>
      <c r="BU3" s="214" t="n"/>
      <c r="BV3" s="214" t="n"/>
      <c r="BW3" s="214" t="n"/>
      <c r="BX3" s="214" t="n"/>
      <c r="BY3" s="214" t="n"/>
      <c r="BZ3" s="149" t="n"/>
      <c r="CA3" s="150" t="n"/>
    </row>
    <row r="4" ht="18.5" customHeight="1" s="516">
      <c r="A4" s="180" t="inlineStr">
        <is>
          <t>Project name</t>
        </is>
      </c>
      <c r="B4" s="181" t="n"/>
      <c r="G4" s="217" t="n"/>
      <c r="H4" s="217" t="n"/>
      <c r="I4" s="217" t="n"/>
      <c r="J4" s="217" t="n"/>
      <c r="K4" s="217" t="n"/>
      <c r="L4" s="217" t="n"/>
      <c r="M4" s="217" t="n"/>
      <c r="N4" s="217" t="n"/>
      <c r="O4" s="217" t="n"/>
      <c r="P4" s="217" t="n"/>
      <c r="Q4" s="217" t="n"/>
      <c r="R4" s="217" t="n"/>
      <c r="S4" s="217" t="n"/>
      <c r="T4" s="217" t="n"/>
      <c r="U4" s="217" t="n"/>
      <c r="V4" s="217" t="n"/>
      <c r="W4" s="217" t="n"/>
      <c r="Z4" s="153" t="n"/>
      <c r="AA4" s="153" t="n"/>
      <c r="AE4" s="153" t="n"/>
      <c r="AN4" s="153" t="n"/>
      <c r="AR4" s="153" t="n"/>
      <c r="AS4" s="153" t="n"/>
      <c r="AW4" s="153" t="n"/>
      <c r="BF4" s="153" t="n"/>
      <c r="BJ4" s="153" t="n"/>
      <c r="BK4" s="153" t="n"/>
      <c r="BO4" s="153" t="n"/>
      <c r="BX4" s="153" t="n"/>
    </row>
    <row r="5" ht="18.5" customHeight="1" s="516">
      <c r="A5" s="180" t="inlineStr">
        <is>
          <t>Revision</t>
        </is>
      </c>
      <c r="B5" s="181" t="n"/>
      <c r="G5" s="532">
        <f>A21</f>
        <v/>
      </c>
      <c r="H5" s="525" t="n"/>
      <c r="I5" s="525" t="n"/>
      <c r="J5" s="525" t="n"/>
      <c r="K5" s="525" t="n"/>
      <c r="L5" s="525" t="n"/>
      <c r="M5" s="525" t="n"/>
      <c r="N5" s="525" t="n"/>
      <c r="O5" s="525" t="n"/>
      <c r="P5" s="525" t="n"/>
      <c r="Q5" s="525" t="n"/>
      <c r="R5" s="525" t="n"/>
      <c r="S5" s="525" t="n"/>
      <c r="T5" s="525" t="n"/>
      <c r="U5" s="525" t="n"/>
      <c r="V5" s="525" t="n"/>
      <c r="W5" s="526" t="n"/>
      <c r="Y5" s="532">
        <f>A22</f>
        <v/>
      </c>
      <c r="Z5" s="525" t="n"/>
      <c r="AA5" s="525" t="n"/>
      <c r="AB5" s="525" t="n"/>
      <c r="AC5" s="525" t="n"/>
      <c r="AD5" s="525" t="n"/>
      <c r="AE5" s="525" t="n"/>
      <c r="AF5" s="525" t="n"/>
      <c r="AG5" s="525" t="n"/>
      <c r="AH5" s="525" t="n"/>
      <c r="AI5" s="525" t="n"/>
      <c r="AJ5" s="525" t="n"/>
      <c r="AK5" s="525" t="n"/>
      <c r="AL5" s="525" t="n"/>
      <c r="AM5" s="525" t="n"/>
      <c r="AN5" s="525" t="n"/>
      <c r="AO5" s="526" t="n"/>
      <c r="AQ5" s="532">
        <f>A23</f>
        <v/>
      </c>
      <c r="AR5" s="525" t="n"/>
      <c r="AS5" s="525" t="n"/>
      <c r="AT5" s="525" t="n"/>
      <c r="AU5" s="525" t="n"/>
      <c r="AV5" s="525" t="n"/>
      <c r="AW5" s="525" t="n"/>
      <c r="AX5" s="525" t="n"/>
      <c r="AY5" s="525" t="n"/>
      <c r="AZ5" s="525" t="n"/>
      <c r="BA5" s="525" t="n"/>
      <c r="BB5" s="525" t="n"/>
      <c r="BC5" s="525" t="n"/>
      <c r="BD5" s="525" t="n"/>
      <c r="BE5" s="525" t="n"/>
      <c r="BF5" s="525" t="n"/>
      <c r="BG5" s="526" t="n"/>
      <c r="BI5" s="532">
        <f>A24</f>
        <v/>
      </c>
      <c r="BJ5" s="525" t="n"/>
      <c r="BK5" s="525" t="n"/>
      <c r="BL5" s="525" t="n"/>
      <c r="BM5" s="525" t="n"/>
      <c r="BN5" s="525" t="n"/>
      <c r="BO5" s="525" t="n"/>
      <c r="BP5" s="525" t="n"/>
      <c r="BQ5" s="525" t="n"/>
      <c r="BR5" s="525" t="n"/>
      <c r="BS5" s="525" t="n"/>
      <c r="BT5" s="525" t="n"/>
      <c r="BU5" s="525" t="n"/>
      <c r="BV5" s="525" t="n"/>
      <c r="BW5" s="525" t="n"/>
      <c r="BX5" s="525" t="n"/>
      <c r="BY5" s="526" t="n"/>
    </row>
    <row r="6" ht="18" customHeight="1" s="516">
      <c r="G6" s="531" t="inlineStr">
        <is>
          <t>S.No</t>
        </is>
      </c>
      <c r="H6" s="530" t="inlineStr">
        <is>
          <t>Cycles / Hour</t>
        </is>
      </c>
      <c r="I6" s="522" t="n"/>
      <c r="J6" s="522" t="n"/>
      <c r="K6" s="522" t="n"/>
      <c r="L6" s="522" t="n"/>
      <c r="M6" s="522" t="n"/>
      <c r="N6" s="522" t="n"/>
      <c r="O6" s="522" t="n"/>
      <c r="P6" s="522" t="n"/>
      <c r="Q6" s="522" t="n"/>
      <c r="R6" s="522" t="n"/>
      <c r="S6" s="522" t="n"/>
      <c r="T6" s="522" t="n"/>
      <c r="U6" s="522" t="n"/>
      <c r="V6" s="523" t="n"/>
      <c r="W6" s="168">
        <f>3600/W7</f>
        <v/>
      </c>
      <c r="Y6" s="531" t="inlineStr">
        <is>
          <t>S.No</t>
        </is>
      </c>
      <c r="Z6" s="530" t="inlineStr">
        <is>
          <t>Cycles / Hour</t>
        </is>
      </c>
      <c r="AA6" s="522" t="n"/>
      <c r="AB6" s="522" t="n"/>
      <c r="AC6" s="522" t="n"/>
      <c r="AD6" s="522" t="n"/>
      <c r="AE6" s="522" t="n"/>
      <c r="AF6" s="522" t="n"/>
      <c r="AG6" s="522" t="n"/>
      <c r="AH6" s="522" t="n"/>
      <c r="AI6" s="522" t="n"/>
      <c r="AJ6" s="522" t="n"/>
      <c r="AK6" s="522" t="n"/>
      <c r="AL6" s="522" t="n"/>
      <c r="AM6" s="522" t="n"/>
      <c r="AN6" s="523" t="n"/>
      <c r="AO6" s="168">
        <f>3600/AO7</f>
        <v/>
      </c>
      <c r="AQ6" s="531" t="inlineStr">
        <is>
          <t>S.No</t>
        </is>
      </c>
      <c r="AR6" s="530" t="inlineStr">
        <is>
          <t>Cycles / Hour</t>
        </is>
      </c>
      <c r="AS6" s="522" t="n"/>
      <c r="AT6" s="522" t="n"/>
      <c r="AU6" s="522" t="n"/>
      <c r="AV6" s="522" t="n"/>
      <c r="AW6" s="522" t="n"/>
      <c r="AX6" s="522" t="n"/>
      <c r="AY6" s="522" t="n"/>
      <c r="AZ6" s="522" t="n"/>
      <c r="BA6" s="522" t="n"/>
      <c r="BB6" s="522" t="n"/>
      <c r="BC6" s="522" t="n"/>
      <c r="BD6" s="522" t="n"/>
      <c r="BE6" s="522" t="n"/>
      <c r="BF6" s="523" t="n"/>
      <c r="BG6" s="168">
        <f>3600/BG7</f>
        <v/>
      </c>
      <c r="BI6" s="531" t="inlineStr">
        <is>
          <t>S.No</t>
        </is>
      </c>
      <c r="BJ6" s="530" t="inlineStr">
        <is>
          <t>Cycles / Hour</t>
        </is>
      </c>
      <c r="BK6" s="522" t="n"/>
      <c r="BL6" s="522" t="n"/>
      <c r="BM6" s="522" t="n"/>
      <c r="BN6" s="522" t="n"/>
      <c r="BO6" s="522" t="n"/>
      <c r="BP6" s="522" t="n"/>
      <c r="BQ6" s="522" t="n"/>
      <c r="BR6" s="522" t="n"/>
      <c r="BS6" s="522" t="n"/>
      <c r="BT6" s="522" t="n"/>
      <c r="BU6" s="522" t="n"/>
      <c r="BV6" s="522" t="n"/>
      <c r="BW6" s="522" t="n"/>
      <c r="BX6" s="523" t="n"/>
      <c r="BY6" s="168">
        <f>3600/BY7</f>
        <v/>
      </c>
    </row>
    <row r="7" ht="28.25" customHeight="1" s="516">
      <c r="A7" s="35" t="inlineStr">
        <is>
          <t>Cycles/ Hr</t>
        </is>
      </c>
      <c r="B7" s="53">
        <f>SUMPRODUCT(D21:D24,E21:E24)</f>
        <v/>
      </c>
      <c r="C7" s="6" t="n"/>
      <c r="D7" s="6" t="n"/>
      <c r="E7" s="6" t="n"/>
      <c r="F7" s="151" t="n"/>
      <c r="G7" s="528" t="n"/>
      <c r="H7" s="530" t="inlineStr">
        <is>
          <t>Effective Cycle Time</t>
        </is>
      </c>
      <c r="I7" s="522" t="n"/>
      <c r="J7" s="522" t="n"/>
      <c r="K7" s="522" t="n"/>
      <c r="L7" s="522" t="n"/>
      <c r="M7" s="522" t="n"/>
      <c r="N7" s="522" t="n"/>
      <c r="O7" s="522" t="n"/>
      <c r="P7" s="522" t="n"/>
      <c r="Q7" s="522" t="n"/>
      <c r="R7" s="522" t="n"/>
      <c r="S7" s="522" t="n"/>
      <c r="T7" s="522" t="n"/>
      <c r="U7" s="522" t="n"/>
      <c r="V7" s="523" t="n"/>
      <c r="W7" s="156">
        <f>W9/W8</f>
        <v/>
      </c>
      <c r="Y7" s="528" t="n"/>
      <c r="Z7" s="530" t="inlineStr">
        <is>
          <t>Effective Cycle Time</t>
        </is>
      </c>
      <c r="AA7" s="522" t="n"/>
      <c r="AB7" s="522" t="n"/>
      <c r="AC7" s="522" t="n"/>
      <c r="AD7" s="522" t="n"/>
      <c r="AE7" s="522" t="n"/>
      <c r="AF7" s="522" t="n"/>
      <c r="AG7" s="522" t="n"/>
      <c r="AH7" s="522" t="n"/>
      <c r="AI7" s="522" t="n"/>
      <c r="AJ7" s="522" t="n"/>
      <c r="AK7" s="522" t="n"/>
      <c r="AL7" s="522" t="n"/>
      <c r="AM7" s="522" t="n"/>
      <c r="AN7" s="523" t="n"/>
      <c r="AO7" s="156">
        <f>AO9/AO8</f>
        <v/>
      </c>
      <c r="AQ7" s="528" t="n"/>
      <c r="AR7" s="530" t="inlineStr">
        <is>
          <t>Effective Cycle Time</t>
        </is>
      </c>
      <c r="AS7" s="522" t="n"/>
      <c r="AT7" s="522" t="n"/>
      <c r="AU7" s="522" t="n"/>
      <c r="AV7" s="522" t="n"/>
      <c r="AW7" s="522" t="n"/>
      <c r="AX7" s="522" t="n"/>
      <c r="AY7" s="522" t="n"/>
      <c r="AZ7" s="522" t="n"/>
      <c r="BA7" s="522" t="n"/>
      <c r="BB7" s="522" t="n"/>
      <c r="BC7" s="522" t="n"/>
      <c r="BD7" s="522" t="n"/>
      <c r="BE7" s="522" t="n"/>
      <c r="BF7" s="523" t="n"/>
      <c r="BG7" s="156">
        <f>BG9/BG8</f>
        <v/>
      </c>
      <c r="BI7" s="528" t="n"/>
      <c r="BJ7" s="530" t="inlineStr">
        <is>
          <t>Effective Cycle Time</t>
        </is>
      </c>
      <c r="BK7" s="522" t="n"/>
      <c r="BL7" s="522" t="n"/>
      <c r="BM7" s="522" t="n"/>
      <c r="BN7" s="522" t="n"/>
      <c r="BO7" s="522" t="n"/>
      <c r="BP7" s="522" t="n"/>
      <c r="BQ7" s="522" t="n"/>
      <c r="BR7" s="522" t="n"/>
      <c r="BS7" s="522" t="n"/>
      <c r="BT7" s="522" t="n"/>
      <c r="BU7" s="522" t="n"/>
      <c r="BV7" s="522" t="n"/>
      <c r="BW7" s="522" t="n"/>
      <c r="BX7" s="523" t="n"/>
      <c r="BY7" s="156">
        <f>BY9/BY8</f>
        <v/>
      </c>
    </row>
    <row r="8" ht="27.5" customHeight="1" s="516">
      <c r="A8" s="35" t="inlineStr">
        <is>
          <t>Zippy required</t>
        </is>
      </c>
      <c r="B8" s="53">
        <f>ROUNDUP(((B15/B7)*(1+B16))*(1+B17),)</f>
        <v/>
      </c>
      <c r="G8" s="528" t="n"/>
      <c r="H8" s="530" t="inlineStr">
        <is>
          <t>Equipment Utilization</t>
        </is>
      </c>
      <c r="I8" s="522" t="n"/>
      <c r="J8" s="522" t="n"/>
      <c r="K8" s="522" t="n"/>
      <c r="L8" s="522" t="n"/>
      <c r="M8" s="522" t="n"/>
      <c r="N8" s="522" t="n"/>
      <c r="O8" s="522" t="n"/>
      <c r="P8" s="522" t="n"/>
      <c r="Q8" s="522" t="n"/>
      <c r="R8" s="522" t="n"/>
      <c r="S8" s="522" t="n"/>
      <c r="T8" s="522" t="n"/>
      <c r="U8" s="522" t="n"/>
      <c r="V8" s="523" t="n"/>
      <c r="W8" s="157">
        <f>'Master List'!$G$1</f>
        <v/>
      </c>
      <c r="Y8" s="528" t="n"/>
      <c r="Z8" s="530" t="inlineStr">
        <is>
          <t>Equipment Utilization</t>
        </is>
      </c>
      <c r="AA8" s="522" t="n"/>
      <c r="AB8" s="522" t="n"/>
      <c r="AC8" s="522" t="n"/>
      <c r="AD8" s="522" t="n"/>
      <c r="AE8" s="522" t="n"/>
      <c r="AF8" s="522" t="n"/>
      <c r="AG8" s="522" t="n"/>
      <c r="AH8" s="522" t="n"/>
      <c r="AI8" s="522" t="n"/>
      <c r="AJ8" s="522" t="n"/>
      <c r="AK8" s="522" t="n"/>
      <c r="AL8" s="522" t="n"/>
      <c r="AM8" s="522" t="n"/>
      <c r="AN8" s="523" t="n"/>
      <c r="AO8" s="157">
        <f>'Master List'!$G$1</f>
        <v/>
      </c>
      <c r="AQ8" s="528" t="n"/>
      <c r="AR8" s="530" t="inlineStr">
        <is>
          <t>Equipment Utilization</t>
        </is>
      </c>
      <c r="AS8" s="522" t="n"/>
      <c r="AT8" s="522" t="n"/>
      <c r="AU8" s="522" t="n"/>
      <c r="AV8" s="522" t="n"/>
      <c r="AW8" s="522" t="n"/>
      <c r="AX8" s="522" t="n"/>
      <c r="AY8" s="522" t="n"/>
      <c r="AZ8" s="522" t="n"/>
      <c r="BA8" s="522" t="n"/>
      <c r="BB8" s="522" t="n"/>
      <c r="BC8" s="522" t="n"/>
      <c r="BD8" s="522" t="n"/>
      <c r="BE8" s="522" t="n"/>
      <c r="BF8" s="523" t="n"/>
      <c r="BG8" s="157">
        <f>'Master List'!$G$1</f>
        <v/>
      </c>
      <c r="BI8" s="528" t="n"/>
      <c r="BJ8" s="530" t="inlineStr">
        <is>
          <t>Equipment Utilization</t>
        </is>
      </c>
      <c r="BK8" s="522" t="n"/>
      <c r="BL8" s="522" t="n"/>
      <c r="BM8" s="522" t="n"/>
      <c r="BN8" s="522" t="n"/>
      <c r="BO8" s="522" t="n"/>
      <c r="BP8" s="522" t="n"/>
      <c r="BQ8" s="522" t="n"/>
      <c r="BR8" s="522" t="n"/>
      <c r="BS8" s="522" t="n"/>
      <c r="BT8" s="522" t="n"/>
      <c r="BU8" s="522" t="n"/>
      <c r="BV8" s="522" t="n"/>
      <c r="BW8" s="522" t="n"/>
      <c r="BX8" s="523" t="n"/>
      <c r="BY8" s="157">
        <f>'Master List'!$G$1</f>
        <v/>
      </c>
    </row>
    <row r="9" ht="18" customHeight="1" s="516">
      <c r="G9" s="528" t="n"/>
      <c r="H9" s="530" t="inlineStr">
        <is>
          <t>Cycle Time</t>
        </is>
      </c>
      <c r="I9" s="522" t="n"/>
      <c r="J9" s="522" t="n"/>
      <c r="K9" s="522" t="n"/>
      <c r="L9" s="522" t="n"/>
      <c r="M9" s="522" t="n"/>
      <c r="N9" s="522" t="n"/>
      <c r="O9" s="522" t="n"/>
      <c r="P9" s="522" t="n"/>
      <c r="Q9" s="522" t="n"/>
      <c r="R9" s="522" t="n"/>
      <c r="S9" s="522" t="n"/>
      <c r="T9" s="522" t="n"/>
      <c r="U9" s="522" t="n"/>
      <c r="V9" s="523" t="n"/>
      <c r="W9" s="158">
        <f>SUM(W11:W96)</f>
        <v/>
      </c>
      <c r="Y9" s="528" t="n"/>
      <c r="Z9" s="530" t="inlineStr">
        <is>
          <t>Cycle Time</t>
        </is>
      </c>
      <c r="AA9" s="522" t="n"/>
      <c r="AB9" s="522" t="n"/>
      <c r="AC9" s="522" t="n"/>
      <c r="AD9" s="522" t="n"/>
      <c r="AE9" s="522" t="n"/>
      <c r="AF9" s="522" t="n"/>
      <c r="AG9" s="522" t="n"/>
      <c r="AH9" s="522" t="n"/>
      <c r="AI9" s="522" t="n"/>
      <c r="AJ9" s="522" t="n"/>
      <c r="AK9" s="522" t="n"/>
      <c r="AL9" s="522" t="n"/>
      <c r="AM9" s="522" t="n"/>
      <c r="AN9" s="523" t="n"/>
      <c r="AO9" s="158">
        <f>SUM(AO11:AO96)</f>
        <v/>
      </c>
      <c r="AQ9" s="528" t="n"/>
      <c r="AR9" s="530" t="inlineStr">
        <is>
          <t>Cycle Time</t>
        </is>
      </c>
      <c r="AS9" s="522" t="n"/>
      <c r="AT9" s="522" t="n"/>
      <c r="AU9" s="522" t="n"/>
      <c r="AV9" s="522" t="n"/>
      <c r="AW9" s="522" t="n"/>
      <c r="AX9" s="522" t="n"/>
      <c r="AY9" s="522" t="n"/>
      <c r="AZ9" s="522" t="n"/>
      <c r="BA9" s="522" t="n"/>
      <c r="BB9" s="522" t="n"/>
      <c r="BC9" s="522" t="n"/>
      <c r="BD9" s="522" t="n"/>
      <c r="BE9" s="522" t="n"/>
      <c r="BF9" s="523" t="n"/>
      <c r="BG9" s="158">
        <f>SUM(BG11:BG96)</f>
        <v/>
      </c>
      <c r="BI9" s="528" t="n"/>
      <c r="BJ9" s="530" t="inlineStr">
        <is>
          <t>Cycle Time</t>
        </is>
      </c>
      <c r="BK9" s="522" t="n"/>
      <c r="BL9" s="522" t="n"/>
      <c r="BM9" s="522" t="n"/>
      <c r="BN9" s="522" t="n"/>
      <c r="BO9" s="522" t="n"/>
      <c r="BP9" s="522" t="n"/>
      <c r="BQ9" s="522" t="n"/>
      <c r="BR9" s="522" t="n"/>
      <c r="BS9" s="522" t="n"/>
      <c r="BT9" s="522" t="n"/>
      <c r="BU9" s="522" t="n"/>
      <c r="BV9" s="522" t="n"/>
      <c r="BW9" s="522" t="n"/>
      <c r="BX9" s="523" t="n"/>
      <c r="BY9" s="158">
        <f>SUM(BY11:BY96)</f>
        <v/>
      </c>
    </row>
    <row r="10" ht="17.75" customFormat="1" customHeight="1" s="6">
      <c r="A10" s="33" t="inlineStr">
        <is>
          <t>Zippy to barcode ratio</t>
        </is>
      </c>
      <c r="B10" s="49">
        <f>B18/B8</f>
        <v/>
      </c>
      <c r="C10" s="1" t="inlineStr">
        <is>
          <t>&lt;&lt;-If this cell becomes red then increase the number of barcodes on the layout</t>
        </is>
      </c>
      <c r="D10" s="1" t="n"/>
      <c r="E10" s="1" t="n"/>
      <c r="F10" s="147" t="n"/>
      <c r="G10" s="529" t="n"/>
      <c r="H10" s="531" t="inlineStr">
        <is>
          <t>Activity Type</t>
        </is>
      </c>
      <c r="I10" s="159" t="inlineStr">
        <is>
          <t>Steps</t>
        </is>
      </c>
      <c r="J10" s="159" t="inlineStr">
        <is>
          <t>Time to consider in absence of data (sec)</t>
        </is>
      </c>
      <c r="K10" s="159" t="inlineStr">
        <is>
          <t>Speed (m / sec)</t>
        </is>
      </c>
      <c r="L10" s="159" t="inlineStr">
        <is>
          <t>Acceleration (m / sec^2)</t>
        </is>
      </c>
      <c r="M10" s="159" t="inlineStr">
        <is>
          <t>Total Distance (m)</t>
        </is>
      </c>
      <c r="N10" s="159" t="inlineStr">
        <is>
          <t>Time to Reach Max Speed (sec)</t>
        </is>
      </c>
      <c r="O10" s="159" t="inlineStr">
        <is>
          <t>Distance in accerlaration (m)</t>
        </is>
      </c>
      <c r="P10" s="159" t="inlineStr">
        <is>
          <t>Distance in Max speed (m)</t>
        </is>
      </c>
      <c r="Q10" s="159" t="inlineStr">
        <is>
          <t>Distance in de-acceleration (m)</t>
        </is>
      </c>
      <c r="R10" s="159" t="inlineStr">
        <is>
          <t>Time in acceleration (sec)</t>
        </is>
      </c>
      <c r="S10" s="159" t="inlineStr">
        <is>
          <t>Time in full speed (sec)</t>
        </is>
      </c>
      <c r="T10" s="159" t="inlineStr">
        <is>
          <t>Time in de-acceleration (sec)</t>
        </is>
      </c>
      <c r="U10" s="159" t="inlineStr">
        <is>
          <t>Time (sec)</t>
        </is>
      </c>
      <c r="V10" s="159" t="inlineStr">
        <is>
          <t>Units</t>
        </is>
      </c>
      <c r="W10" s="159" t="inlineStr">
        <is>
          <t>Total Time</t>
        </is>
      </c>
      <c r="X10" s="154" t="n"/>
      <c r="Y10" s="529" t="n"/>
      <c r="Z10" s="531" t="inlineStr">
        <is>
          <t>Activity Type</t>
        </is>
      </c>
      <c r="AA10" s="159" t="inlineStr">
        <is>
          <t>Steps</t>
        </is>
      </c>
      <c r="AB10" s="159" t="inlineStr">
        <is>
          <t>Time to consider in absence of data (sec)</t>
        </is>
      </c>
      <c r="AC10" s="159" t="inlineStr">
        <is>
          <t>Speed (m / sec)</t>
        </is>
      </c>
      <c r="AD10" s="159" t="inlineStr">
        <is>
          <t>Acceleration (m / sec^2)</t>
        </is>
      </c>
      <c r="AE10" s="159" t="inlineStr">
        <is>
          <t>Total Distance (m)</t>
        </is>
      </c>
      <c r="AF10" s="159" t="inlineStr">
        <is>
          <t>Time to Reach Max Speed (sec)</t>
        </is>
      </c>
      <c r="AG10" s="159" t="inlineStr">
        <is>
          <t>Distance in accerlaration (m)</t>
        </is>
      </c>
      <c r="AH10" s="159" t="inlineStr">
        <is>
          <t>Distance in Max speed (m)</t>
        </is>
      </c>
      <c r="AI10" s="159" t="inlineStr">
        <is>
          <t>Distance in de-acceleration (m)</t>
        </is>
      </c>
      <c r="AJ10" s="159" t="inlineStr">
        <is>
          <t>Time in acceleration (sec)</t>
        </is>
      </c>
      <c r="AK10" s="159" t="inlineStr">
        <is>
          <t>Time in full speed (sec)</t>
        </is>
      </c>
      <c r="AL10" s="159" t="inlineStr">
        <is>
          <t>Time in de-acceleration (sec)</t>
        </is>
      </c>
      <c r="AM10" s="159" t="inlineStr">
        <is>
          <t>Time (sec)</t>
        </is>
      </c>
      <c r="AN10" s="159" t="inlineStr">
        <is>
          <t>Units</t>
        </is>
      </c>
      <c r="AO10" s="159" t="inlineStr">
        <is>
          <t>Total Time</t>
        </is>
      </c>
      <c r="AP10" s="154" t="n"/>
      <c r="AQ10" s="529" t="n"/>
      <c r="AR10" s="531" t="inlineStr">
        <is>
          <t>Activity Type</t>
        </is>
      </c>
      <c r="AS10" s="159" t="inlineStr">
        <is>
          <t>Steps</t>
        </is>
      </c>
      <c r="AT10" s="159" t="inlineStr">
        <is>
          <t>Time to consider in absence of data (sec)</t>
        </is>
      </c>
      <c r="AU10" s="159" t="inlineStr">
        <is>
          <t>Speed (m / sec)</t>
        </is>
      </c>
      <c r="AV10" s="159" t="inlineStr">
        <is>
          <t>Acceleration (m / sec^2)</t>
        </is>
      </c>
      <c r="AW10" s="159" t="inlineStr">
        <is>
          <t>Total Distance (m)</t>
        </is>
      </c>
      <c r="AX10" s="159" t="inlineStr">
        <is>
          <t>Time to Reach Max Speed (sec)</t>
        </is>
      </c>
      <c r="AY10" s="159" t="inlineStr">
        <is>
          <t>Distance in accerlaration (m)</t>
        </is>
      </c>
      <c r="AZ10" s="159" t="inlineStr">
        <is>
          <t>Distance in Max speed (m)</t>
        </is>
      </c>
      <c r="BA10" s="159" t="inlineStr">
        <is>
          <t>Distance in de-acceleration (m)</t>
        </is>
      </c>
      <c r="BB10" s="159" t="inlineStr">
        <is>
          <t>Time in acceleration (sec)</t>
        </is>
      </c>
      <c r="BC10" s="159" t="inlineStr">
        <is>
          <t>Time in full speed (sec)</t>
        </is>
      </c>
      <c r="BD10" s="159" t="inlineStr">
        <is>
          <t>Time in de-acceleration (sec)</t>
        </is>
      </c>
      <c r="BE10" s="159" t="inlineStr">
        <is>
          <t>Time (sec)</t>
        </is>
      </c>
      <c r="BF10" s="159" t="inlineStr">
        <is>
          <t>Units</t>
        </is>
      </c>
      <c r="BG10" s="159" t="inlineStr">
        <is>
          <t>Total Time</t>
        </is>
      </c>
      <c r="BH10" s="154" t="n"/>
      <c r="BI10" s="529" t="n"/>
      <c r="BJ10" s="531" t="inlineStr">
        <is>
          <t>Activity Type</t>
        </is>
      </c>
      <c r="BK10" s="159" t="inlineStr">
        <is>
          <t>Steps</t>
        </is>
      </c>
      <c r="BL10" s="159" t="inlineStr">
        <is>
          <t>Time to consider in absence of data (sec)</t>
        </is>
      </c>
      <c r="BM10" s="159" t="inlineStr">
        <is>
          <t>Speed (m / sec)</t>
        </is>
      </c>
      <c r="BN10" s="159" t="inlineStr">
        <is>
          <t>Acceleration (m / sec^2)</t>
        </is>
      </c>
      <c r="BO10" s="159" t="inlineStr">
        <is>
          <t>Total Distance (m)</t>
        </is>
      </c>
      <c r="BP10" s="159" t="inlineStr">
        <is>
          <t>Time to Reach Max Speed (sec)</t>
        </is>
      </c>
      <c r="BQ10" s="159" t="inlineStr">
        <is>
          <t>Distance in accerlaration (m)</t>
        </is>
      </c>
      <c r="BR10" s="159" t="inlineStr">
        <is>
          <t>Distance in Max speed (m)</t>
        </is>
      </c>
      <c r="BS10" s="159" t="inlineStr">
        <is>
          <t>Distance in de-acceleration (m)</t>
        </is>
      </c>
      <c r="BT10" s="159" t="inlineStr">
        <is>
          <t>Time in acceleration (sec)</t>
        </is>
      </c>
      <c r="BU10" s="159" t="inlineStr">
        <is>
          <t>Time in full speed (sec)</t>
        </is>
      </c>
      <c r="BV10" s="159" t="inlineStr">
        <is>
          <t>Time in de-acceleration (sec)</t>
        </is>
      </c>
      <c r="BW10" s="159" t="inlineStr">
        <is>
          <t>Time (sec)</t>
        </is>
      </c>
      <c r="BX10" s="159" t="inlineStr">
        <is>
          <t>Units</t>
        </is>
      </c>
      <c r="BY10" s="159" t="inlineStr">
        <is>
          <t>Total Time</t>
        </is>
      </c>
      <c r="BZ10" s="152" t="n"/>
      <c r="CA10" s="151" t="n"/>
    </row>
    <row r="11" ht="15" customHeight="1" s="516">
      <c r="G11" s="160" t="n">
        <v>1</v>
      </c>
      <c r="H11" s="161" t="inlineStr">
        <is>
          <t>Zippy 30 Running</t>
        </is>
      </c>
      <c r="I11" s="162" t="inlineStr">
        <is>
          <t>Reach induction station</t>
        </is>
      </c>
      <c r="J11" s="163">
        <f>IFERROR(VLOOKUP(H11,'Master List'!$A:$D,2,0),0)</f>
        <v/>
      </c>
      <c r="K11" s="163">
        <f>IFERROR(VLOOKUP(H11,'Master List'!$A:$D,3,0),0)</f>
        <v/>
      </c>
      <c r="L11" s="163">
        <f>IFERROR(VLOOKUP(H11,'Master List'!$A:$D,4,0),0)</f>
        <v/>
      </c>
      <c r="M11" s="163">
        <f>$B$32</f>
        <v/>
      </c>
      <c r="N11" s="163">
        <f>IFERROR(K11/L11,0)</f>
        <v/>
      </c>
      <c r="O11" s="163">
        <f>IFERROR(IF(M11&lt;((1/2*L11*N11^2)*2),1/2*L11*SQRT((M11/2)*2/L11)^2,1/2*L11*N11^2),0)</f>
        <v/>
      </c>
      <c r="P11" s="163">
        <f>IFERROR(IF(M11-O11-Q11&lt;=0,0,M11-O11-Q11),0)</f>
        <v/>
      </c>
      <c r="Q11" s="163">
        <f>O11</f>
        <v/>
      </c>
      <c r="R11" s="163">
        <f>IFERROR(IF(M11&lt;((1/2*L11*N11^2)*2),SQRT((M11/2)*2/L11),N11),0)</f>
        <v/>
      </c>
      <c r="S11" s="163">
        <f>IFERROR(P11/K11,0)</f>
        <v/>
      </c>
      <c r="T11" s="163">
        <f>R11</f>
        <v/>
      </c>
      <c r="U11" s="163">
        <f>IF(J11&gt;0,J11,SUM(R11:T11))</f>
        <v/>
      </c>
      <c r="V11" s="163" t="n">
        <v>1</v>
      </c>
      <c r="W11" s="163">
        <f>U11*V11</f>
        <v/>
      </c>
      <c r="Y11" s="160" t="n">
        <v>1</v>
      </c>
      <c r="Z11" s="161" t="inlineStr">
        <is>
          <t>Zippy 30 Running</t>
        </is>
      </c>
      <c r="AA11" s="162" t="n"/>
      <c r="AB11" s="163">
        <f>IFERROR(VLOOKUP(Z11,'Master List'!$A:$D,2,0),0)</f>
        <v/>
      </c>
      <c r="AC11" s="163">
        <f>IFERROR(VLOOKUP(Z11,'Master List'!$A:$D,3,0),0)</f>
        <v/>
      </c>
      <c r="AD11" s="163">
        <f>IFERROR(VLOOKUP(Z11,'Master List'!$A:$D,4,0),0)</f>
        <v/>
      </c>
      <c r="AE11" s="163">
        <f>$B$32</f>
        <v/>
      </c>
      <c r="AF11" s="163">
        <f>IFERROR(AC11/AD11,0)</f>
        <v/>
      </c>
      <c r="AG11" s="163">
        <f>IFERROR(IF(AE11&lt;((1/2*AD11*AF11^2)*2),1/2*AD11*SQRT((AE11/2)*2/AD11)^2,1/2*AD11*AF11^2),0)</f>
        <v/>
      </c>
      <c r="AH11" s="163">
        <f>IFERROR(IF(AE11-AG11-AI11&lt;=0,0,AE11-AG11-AI11),0)</f>
        <v/>
      </c>
      <c r="AI11" s="163">
        <f>AG11</f>
        <v/>
      </c>
      <c r="AJ11" s="163">
        <f>IFERROR(IF(AE11&lt;((1/2*AD11*AF11^2)*2),SQRT((AE11/2)*2/AD11),AF11),0)</f>
        <v/>
      </c>
      <c r="AK11" s="163">
        <f>IFERROR(AH11/AC11,0)</f>
        <v/>
      </c>
      <c r="AL11" s="163">
        <f>AJ11</f>
        <v/>
      </c>
      <c r="AM11" s="163">
        <f>IF(AB11&gt;0,AB11,SUM(AJ11:AL11))</f>
        <v/>
      </c>
      <c r="AN11" s="163" t="n">
        <v>1</v>
      </c>
      <c r="AO11" s="163">
        <f>AM11*AN11</f>
        <v/>
      </c>
      <c r="AQ11" s="160" t="n">
        <v>1</v>
      </c>
      <c r="AR11" s="161" t="inlineStr">
        <is>
          <t>Zippy 30 Running</t>
        </is>
      </c>
      <c r="AS11" s="162" t="n"/>
      <c r="AT11" s="163">
        <f>IFERROR(VLOOKUP(AR11,'Master List'!$A:$D,2,0),0)</f>
        <v/>
      </c>
      <c r="AU11" s="163">
        <f>IFERROR(VLOOKUP(AR11,'Master List'!$A:$D,3,0),0)</f>
        <v/>
      </c>
      <c r="AV11" s="163">
        <f>IFERROR(VLOOKUP(AR11,'Master List'!$A:$D,4,0),0)</f>
        <v/>
      </c>
      <c r="AW11" s="163">
        <f>$B$32</f>
        <v/>
      </c>
      <c r="AX11" s="163">
        <f>IFERROR(AU11/AV11,0)</f>
        <v/>
      </c>
      <c r="AY11" s="163">
        <f>IFERROR(IF(AW11&lt;((1/2*AV11*AX11^2)*2),1/2*AV11*SQRT((AW11/2)*2/AV11)^2,1/2*AV11*AX11^2),0)</f>
        <v/>
      </c>
      <c r="AZ11" s="163">
        <f>IFERROR(IF(AW11-AY11-BA11&lt;=0,0,AW11-AY11-BA11),0)</f>
        <v/>
      </c>
      <c r="BA11" s="163">
        <f>AY11</f>
        <v/>
      </c>
      <c r="BB11" s="163">
        <f>IFERROR(IF(AW11&lt;((1/2*AV11*AX11^2)*2),SQRT((AW11/2)*2/AV11),AX11),0)</f>
        <v/>
      </c>
      <c r="BC11" s="163">
        <f>IFERROR(AZ11/AU11,0)</f>
        <v/>
      </c>
      <c r="BD11" s="163">
        <f>BB11</f>
        <v/>
      </c>
      <c r="BE11" s="163">
        <f>IF(AT11&gt;0,AT11,SUM(BB11:BD11))</f>
        <v/>
      </c>
      <c r="BF11" s="163" t="n">
        <v>1</v>
      </c>
      <c r="BG11" s="163">
        <f>BE11*BF11</f>
        <v/>
      </c>
      <c r="BI11" s="160" t="n">
        <v>1</v>
      </c>
      <c r="BJ11" s="161" t="inlineStr">
        <is>
          <t>Zippy 30 Running</t>
        </is>
      </c>
      <c r="BK11" s="162" t="n"/>
      <c r="BL11" s="163">
        <f>IFERROR(VLOOKUP(BJ11,'Master List'!$A:$D,2,0),0)</f>
        <v/>
      </c>
      <c r="BM11" s="163">
        <f>IFERROR(VLOOKUP(BJ11,'Master List'!$A:$D,3,0),0)</f>
        <v/>
      </c>
      <c r="BN11" s="163">
        <f>IFERROR(VLOOKUP(BJ11,'Master List'!$A:$D,4,0),0)</f>
        <v/>
      </c>
      <c r="BO11" s="163">
        <f>$B$32</f>
        <v/>
      </c>
      <c r="BP11" s="163">
        <f>IFERROR(BM11/BN11,0)</f>
        <v/>
      </c>
      <c r="BQ11" s="163">
        <f>IFERROR(IF(BO11&lt;((1/2*BN11*BP11^2)*2),1/2*BN11*SQRT((BO11/2)*2/BN11)^2,1/2*BN11*BP11^2),0)</f>
        <v/>
      </c>
      <c r="BR11" s="163">
        <f>IFERROR(IF(BO11-BQ11-BS11&lt;=0,0,BO11-BQ11-BS11),0)</f>
        <v/>
      </c>
      <c r="BS11" s="163">
        <f>BQ11</f>
        <v/>
      </c>
      <c r="BT11" s="163">
        <f>IFERROR(IF(BO11&lt;((1/2*BN11*BP11^2)*2),SQRT((BO11/2)*2/BN11),BP11),0)</f>
        <v/>
      </c>
      <c r="BU11" s="163">
        <f>IFERROR(BR11/BM11,0)</f>
        <v/>
      </c>
      <c r="BV11" s="163">
        <f>BT11</f>
        <v/>
      </c>
      <c r="BW11" s="163">
        <f>IF(BL11&gt;0,BL11,SUM(BT11:BV11))</f>
        <v/>
      </c>
      <c r="BX11" s="163" t="n">
        <v>1</v>
      </c>
      <c r="BY11" s="163">
        <f>BW11*BX11</f>
        <v/>
      </c>
    </row>
    <row r="12" ht="45" customHeight="1" s="516">
      <c r="A12" s="33" t="inlineStr">
        <is>
          <t>Count of Max Barcodes in L in sorting area</t>
        </is>
      </c>
      <c r="B12" s="26" t="n">
        <v>120</v>
      </c>
      <c r="C12" s="212" t="inlineStr">
        <is>
          <t>Number of barcodes along the side of induction stations</t>
        </is>
      </c>
      <c r="D12" s="1">
        <f>B12*$B$32</f>
        <v/>
      </c>
      <c r="E12" s="1" t="inlineStr">
        <is>
          <t>Meters</t>
        </is>
      </c>
      <c r="G12" s="160">
        <f>G11+1</f>
        <v/>
      </c>
      <c r="H12" s="161" t="inlineStr">
        <is>
          <t>Zippy 30 90 degree Turn</t>
        </is>
      </c>
      <c r="I12" s="162" t="inlineStr">
        <is>
          <t>Turn and align to get inducted</t>
        </is>
      </c>
      <c r="J12" s="163">
        <f>IFERROR(VLOOKUP(H12,'Master List'!$A:$D,2,0),0)</f>
        <v/>
      </c>
      <c r="K12" s="163">
        <f>IFERROR(VLOOKUP(H12,'Master List'!$A:$D,3,0),0)</f>
        <v/>
      </c>
      <c r="L12" s="163">
        <f>IFERROR(VLOOKUP(H12,'Master List'!$A:$D,4,0),0)</f>
        <v/>
      </c>
      <c r="M12" s="163" t="n"/>
      <c r="N12" s="163">
        <f>IFERROR(K12/L12,0)</f>
        <v/>
      </c>
      <c r="O12" s="163">
        <f>IFERROR(IF(M12&lt;((1/2*L12*N12^2)*2),1/2*L12*SQRT((M12/2)*2/L12)^2,1/2*L12*N12^2),0)</f>
        <v/>
      </c>
      <c r="P12" s="163">
        <f>IFERROR(IF(M12-O12-Q12&lt;=0,0,M12-O12-Q12),0)</f>
        <v/>
      </c>
      <c r="Q12" s="163">
        <f>O12</f>
        <v/>
      </c>
      <c r="R12" s="163">
        <f>IFERROR(IF(M12&lt;((1/2*L12*N12^2)*2),SQRT((M12/2)*2/L12),N12),0)</f>
        <v/>
      </c>
      <c r="S12" s="163">
        <f>IFERROR(P12/K12,0)</f>
        <v/>
      </c>
      <c r="T12" s="163">
        <f>R12</f>
        <v/>
      </c>
      <c r="U12" s="163">
        <f>IF(J12&gt;0,J12,SUM(R12:T12))</f>
        <v/>
      </c>
      <c r="V12" s="163" t="n">
        <v>1</v>
      </c>
      <c r="W12" s="163">
        <f>U12*V12</f>
        <v/>
      </c>
      <c r="Y12" s="160">
        <f>Y11+1</f>
        <v/>
      </c>
      <c r="Z12" s="161" t="inlineStr">
        <is>
          <t>Zippy 30 90 degree Turn</t>
        </is>
      </c>
      <c r="AA12" s="162" t="n"/>
      <c r="AB12" s="163">
        <f>IFERROR(VLOOKUP(Z12,'Master List'!$A:$D,2,0),0)</f>
        <v/>
      </c>
      <c r="AC12" s="163">
        <f>IFERROR(VLOOKUP(Z12,'Master List'!$A:$D,3,0),0)</f>
        <v/>
      </c>
      <c r="AD12" s="163">
        <f>IFERROR(VLOOKUP(Z12,'Master List'!$A:$D,4,0),0)</f>
        <v/>
      </c>
      <c r="AE12" s="163" t="n"/>
      <c r="AF12" s="163">
        <f>IFERROR(AC12/AD12,0)</f>
        <v/>
      </c>
      <c r="AG12" s="163">
        <f>IFERROR(IF(AE12&lt;((1/2*AD12*AF12^2)*2),1/2*AD12*SQRT((AE12/2)*2/AD12)^2,1/2*AD12*AF12^2),0)</f>
        <v/>
      </c>
      <c r="AH12" s="163">
        <f>IFERROR(IF(AE12-AG12-AI12&lt;=0,0,AE12-AG12-AI12),0)</f>
        <v/>
      </c>
      <c r="AI12" s="163">
        <f>AG12</f>
        <v/>
      </c>
      <c r="AJ12" s="163">
        <f>IFERROR(IF(AE12&lt;((1/2*AD12*AF12^2)*2),SQRT((AE12/2)*2/AD12),AF12),0)</f>
        <v/>
      </c>
      <c r="AK12" s="163">
        <f>IFERROR(AH12/AC12,0)</f>
        <v/>
      </c>
      <c r="AL12" s="163">
        <f>AJ12</f>
        <v/>
      </c>
      <c r="AM12" s="163">
        <f>IF(AB12&gt;0,AB12,SUM(AJ12:AL12))</f>
        <v/>
      </c>
      <c r="AN12" s="163" t="n">
        <v>1</v>
      </c>
      <c r="AO12" s="163">
        <f>AM12*AN12</f>
        <v/>
      </c>
      <c r="AQ12" s="160">
        <f>AQ11+1</f>
        <v/>
      </c>
      <c r="AR12" s="161" t="inlineStr">
        <is>
          <t>Zippy 30 90 degree Turn</t>
        </is>
      </c>
      <c r="AS12" s="162" t="n"/>
      <c r="AT12" s="163">
        <f>IFERROR(VLOOKUP(AR12,'Master List'!$A:$D,2,0),0)</f>
        <v/>
      </c>
      <c r="AU12" s="163">
        <f>IFERROR(VLOOKUP(AR12,'Master List'!$A:$D,3,0),0)</f>
        <v/>
      </c>
      <c r="AV12" s="163">
        <f>IFERROR(VLOOKUP(AR12,'Master List'!$A:$D,4,0),0)</f>
        <v/>
      </c>
      <c r="AW12" s="163" t="n"/>
      <c r="AX12" s="163">
        <f>IFERROR(AU12/AV12,0)</f>
        <v/>
      </c>
      <c r="AY12" s="163">
        <f>IFERROR(IF(AW12&lt;((1/2*AV12*AX12^2)*2),1/2*AV12*SQRT((AW12/2)*2/AV12)^2,1/2*AV12*AX12^2),0)</f>
        <v/>
      </c>
      <c r="AZ12" s="163">
        <f>IFERROR(IF(AW12-AY12-BA12&lt;=0,0,AW12-AY12-BA12),0)</f>
        <v/>
      </c>
      <c r="BA12" s="163">
        <f>AY12</f>
        <v/>
      </c>
      <c r="BB12" s="163">
        <f>IFERROR(IF(AW12&lt;((1/2*AV12*AX12^2)*2),SQRT((AW12/2)*2/AV12),AX12),0)</f>
        <v/>
      </c>
      <c r="BC12" s="163">
        <f>IFERROR(AZ12/AU12,0)</f>
        <v/>
      </c>
      <c r="BD12" s="163">
        <f>BB12</f>
        <v/>
      </c>
      <c r="BE12" s="163">
        <f>IF(AT12&gt;0,AT12,SUM(BB12:BD12))</f>
        <v/>
      </c>
      <c r="BF12" s="163" t="n">
        <v>1</v>
      </c>
      <c r="BG12" s="163">
        <f>BE12*BF12</f>
        <v/>
      </c>
      <c r="BI12" s="160">
        <f>BI11+1</f>
        <v/>
      </c>
      <c r="BJ12" s="161" t="inlineStr">
        <is>
          <t>Zippy 30 90 degree Turn</t>
        </is>
      </c>
      <c r="BK12" s="162" t="n"/>
      <c r="BL12" s="163">
        <f>IFERROR(VLOOKUP(BJ12,'Master List'!$A:$D,2,0),0)</f>
        <v/>
      </c>
      <c r="BM12" s="163">
        <f>IFERROR(VLOOKUP(BJ12,'Master List'!$A:$D,3,0),0)</f>
        <v/>
      </c>
      <c r="BN12" s="163">
        <f>IFERROR(VLOOKUP(BJ12,'Master List'!$A:$D,4,0),0)</f>
        <v/>
      </c>
      <c r="BO12" s="163" t="n"/>
      <c r="BP12" s="163">
        <f>IFERROR(BM12/BN12,0)</f>
        <v/>
      </c>
      <c r="BQ12" s="163">
        <f>IFERROR(IF(BO12&lt;((1/2*BN12*BP12^2)*2),1/2*BN12*SQRT((BO12/2)*2/BN12)^2,1/2*BN12*BP12^2),0)</f>
        <v/>
      </c>
      <c r="BR12" s="163">
        <f>IFERROR(IF(BO12-BQ12-BS12&lt;=0,0,BO12-BQ12-BS12),0)</f>
        <v/>
      </c>
      <c r="BS12" s="163">
        <f>BQ12</f>
        <v/>
      </c>
      <c r="BT12" s="163">
        <f>IFERROR(IF(BO12&lt;((1/2*BN12*BP12^2)*2),SQRT((BO12/2)*2/BN12),BP12),0)</f>
        <v/>
      </c>
      <c r="BU12" s="163">
        <f>IFERROR(BR12/BM12,0)</f>
        <v/>
      </c>
      <c r="BV12" s="163">
        <f>BT12</f>
        <v/>
      </c>
      <c r="BW12" s="163">
        <f>IF(BL12&gt;0,BL12,SUM(BT12:BV12))</f>
        <v/>
      </c>
      <c r="BX12" s="163" t="n">
        <v>1</v>
      </c>
      <c r="BY12" s="163">
        <f>BW12*BX12</f>
        <v/>
      </c>
    </row>
    <row r="13" ht="45" customHeight="1" s="516">
      <c r="A13" s="33" t="inlineStr">
        <is>
          <t>Count of Max Barcodes in W in sorting area</t>
        </is>
      </c>
      <c r="B13" s="26" t="n">
        <v>120</v>
      </c>
      <c r="C13" s="212" t="inlineStr">
        <is>
          <t>Number of barcodes perpendicular to of induction stations</t>
        </is>
      </c>
      <c r="D13" s="1">
        <f>B13*$B$32</f>
        <v/>
      </c>
      <c r="E13" s="1" t="inlineStr">
        <is>
          <t>Meters</t>
        </is>
      </c>
      <c r="G13" s="160">
        <f>G12+1</f>
        <v/>
      </c>
      <c r="H13" s="161" t="inlineStr">
        <is>
          <t>Zippy 30 Running</t>
        </is>
      </c>
      <c r="I13" s="162" t="inlineStr">
        <is>
          <t>Distance travelled in X direction</t>
        </is>
      </c>
      <c r="J13" s="163">
        <f>IFERROR(VLOOKUP(H13,'Master List'!$A:$D,2,0),0)</f>
        <v/>
      </c>
      <c r="K13" s="163">
        <f>IFERROR(VLOOKUP(H13,'Master List'!$A:$D,3,0),0)</f>
        <v/>
      </c>
      <c r="L13" s="163">
        <f>IFERROR(VLOOKUP(H13,'Master List'!$A:$D,4,0),0)</f>
        <v/>
      </c>
      <c r="M13" s="163">
        <f>$C$21</f>
        <v/>
      </c>
      <c r="N13" s="163">
        <f>IFERROR(K13/L13,0)</f>
        <v/>
      </c>
      <c r="O13" s="163">
        <f>IFERROR(IF(M13&lt;((1/2*L13*N13^2)*2),1/2*L13*SQRT((M13/2)*2/L13)^2,1/2*L13*N13^2),0)</f>
        <v/>
      </c>
      <c r="P13" s="163">
        <f>IFERROR(IF(M13-O13-Q13&lt;=0,0,M13-O13-Q13),0)</f>
        <v/>
      </c>
      <c r="Q13" s="163">
        <f>O13</f>
        <v/>
      </c>
      <c r="R13" s="163">
        <f>IFERROR(IF(M13&lt;((1/2*L13*N13^2)*2),SQRT((M13/2)*2/L13),N13),0)</f>
        <v/>
      </c>
      <c r="S13" s="163">
        <f>IFERROR(P13/K13,0)</f>
        <v/>
      </c>
      <c r="T13" s="163">
        <f>R13</f>
        <v/>
      </c>
      <c r="U13" s="163">
        <f>IF(J13&gt;0,J13,SUM(R13:T13))</f>
        <v/>
      </c>
      <c r="V13" s="163" t="n">
        <v>1</v>
      </c>
      <c r="W13" s="163">
        <f>U13*V13</f>
        <v/>
      </c>
      <c r="Y13" s="160">
        <f>Y12+1</f>
        <v/>
      </c>
      <c r="Z13" s="161" t="inlineStr">
        <is>
          <t>Zippy 30 Running</t>
        </is>
      </c>
      <c r="AA13" s="162" t="n"/>
      <c r="AB13" s="163">
        <f>IFERROR(VLOOKUP(Z13,'Master List'!$A:$D,2,0),0)</f>
        <v/>
      </c>
      <c r="AC13" s="163">
        <f>IFERROR(VLOOKUP(Z13,'Master List'!$A:$D,3,0),0)</f>
        <v/>
      </c>
      <c r="AD13" s="163">
        <f>IFERROR(VLOOKUP(Z13,'Master List'!$A:$D,4,0),0)</f>
        <v/>
      </c>
      <c r="AE13" s="163">
        <f>$C$22</f>
        <v/>
      </c>
      <c r="AF13" s="163">
        <f>IFERROR(AC13/AD13,0)</f>
        <v/>
      </c>
      <c r="AG13" s="163">
        <f>IFERROR(IF(AE13&lt;((1/2*AD13*AF13^2)*2),1/2*AD13*SQRT((AE13/2)*2/AD13)^2,1/2*AD13*AF13^2),0)</f>
        <v/>
      </c>
      <c r="AH13" s="163">
        <f>IFERROR(IF(AE13-AG13-AI13&lt;=0,0,AE13-AG13-AI13),0)</f>
        <v/>
      </c>
      <c r="AI13" s="163">
        <f>AG13</f>
        <v/>
      </c>
      <c r="AJ13" s="163">
        <f>IFERROR(IF(AE13&lt;((1/2*AD13*AF13^2)*2),SQRT((AE13/2)*2/AD13),AF13),0)</f>
        <v/>
      </c>
      <c r="AK13" s="163">
        <f>IFERROR(AH13/AC13,0)</f>
        <v/>
      </c>
      <c r="AL13" s="163">
        <f>AJ13</f>
        <v/>
      </c>
      <c r="AM13" s="163">
        <f>IF(AB13&gt;0,AB13,SUM(AJ13:AL13))</f>
        <v/>
      </c>
      <c r="AN13" s="163" t="n">
        <v>1</v>
      </c>
      <c r="AO13" s="163">
        <f>AM13*AN13</f>
        <v/>
      </c>
      <c r="AQ13" s="160">
        <f>AQ12+1</f>
        <v/>
      </c>
      <c r="AR13" s="161" t="inlineStr">
        <is>
          <t>Zippy 30 Running</t>
        </is>
      </c>
      <c r="AS13" s="162" t="n"/>
      <c r="AT13" s="163">
        <f>IFERROR(VLOOKUP(AR13,'Master List'!$A:$D,2,0),0)</f>
        <v/>
      </c>
      <c r="AU13" s="163">
        <f>IFERROR(VLOOKUP(AR13,'Master List'!$A:$D,3,0),0)</f>
        <v/>
      </c>
      <c r="AV13" s="163">
        <f>IFERROR(VLOOKUP(AR13,'Master List'!$A:$D,4,0),0)</f>
        <v/>
      </c>
      <c r="AW13" s="163">
        <f>$C$23</f>
        <v/>
      </c>
      <c r="AX13" s="163">
        <f>IFERROR(AU13/AV13,0)</f>
        <v/>
      </c>
      <c r="AY13" s="163">
        <f>IFERROR(IF(AW13&lt;((1/2*AV13*AX13^2)*2),1/2*AV13*SQRT((AW13/2)*2/AV13)^2,1/2*AV13*AX13^2),0)</f>
        <v/>
      </c>
      <c r="AZ13" s="163">
        <f>IFERROR(IF(AW13-AY13-BA13&lt;=0,0,AW13-AY13-BA13),0)</f>
        <v/>
      </c>
      <c r="BA13" s="163">
        <f>AY13</f>
        <v/>
      </c>
      <c r="BB13" s="163">
        <f>IFERROR(IF(AW13&lt;((1/2*AV13*AX13^2)*2),SQRT((AW13/2)*2/AV13),AX13),0)</f>
        <v/>
      </c>
      <c r="BC13" s="163">
        <f>IFERROR(AZ13/AU13,0)</f>
        <v/>
      </c>
      <c r="BD13" s="163">
        <f>BB13</f>
        <v/>
      </c>
      <c r="BE13" s="163">
        <f>IF(AT13&gt;0,AT13,SUM(BB13:BD13))</f>
        <v/>
      </c>
      <c r="BF13" s="163" t="n">
        <v>1</v>
      </c>
      <c r="BG13" s="163">
        <f>BE13*BF13</f>
        <v/>
      </c>
      <c r="BI13" s="160">
        <f>BI12+1</f>
        <v/>
      </c>
      <c r="BJ13" s="161" t="inlineStr">
        <is>
          <t>Zippy 30 Running</t>
        </is>
      </c>
      <c r="BK13" s="162" t="n"/>
      <c r="BL13" s="163">
        <f>IFERROR(VLOOKUP(BJ13,'Master List'!$A:$D,2,0),0)</f>
        <v/>
      </c>
      <c r="BM13" s="163">
        <f>IFERROR(VLOOKUP(BJ13,'Master List'!$A:$D,3,0),0)</f>
        <v/>
      </c>
      <c r="BN13" s="163">
        <f>IFERROR(VLOOKUP(BJ13,'Master List'!$A:$D,4,0),0)</f>
        <v/>
      </c>
      <c r="BO13" s="163">
        <f>$C$24</f>
        <v/>
      </c>
      <c r="BP13" s="163">
        <f>IFERROR(BM13/BN13,0)</f>
        <v/>
      </c>
      <c r="BQ13" s="163">
        <f>IFERROR(IF(BO13&lt;((1/2*BN13*BP13^2)*2),1/2*BN13*SQRT((BO13/2)*2/BN13)^2,1/2*BN13*BP13^2),0)</f>
        <v/>
      </c>
      <c r="BR13" s="163">
        <f>IFERROR(IF(BO13-BQ13-BS13&lt;=0,0,BO13-BQ13-BS13),0)</f>
        <v/>
      </c>
      <c r="BS13" s="163">
        <f>BQ13</f>
        <v/>
      </c>
      <c r="BT13" s="163">
        <f>IFERROR(IF(BO13&lt;((1/2*BN13*BP13^2)*2),SQRT((BO13/2)*2/BN13),BP13),0)</f>
        <v/>
      </c>
      <c r="BU13" s="163">
        <f>IFERROR(BR13/BM13,0)</f>
        <v/>
      </c>
      <c r="BV13" s="163">
        <f>BT13</f>
        <v/>
      </c>
      <c r="BW13" s="163">
        <f>IF(BL13&gt;0,BL13,SUM(BT13:BV13))</f>
        <v/>
      </c>
      <c r="BX13" s="163" t="n">
        <v>1</v>
      </c>
      <c r="BY13" s="163">
        <f>BW13*BX13</f>
        <v/>
      </c>
    </row>
    <row r="14" ht="30" customHeight="1" s="516">
      <c r="A14" s="178" t="inlineStr">
        <is>
          <t>Distance between induction station and first sort point in M</t>
        </is>
      </c>
      <c r="B14" s="48" t="n">
        <v>7</v>
      </c>
      <c r="C14" s="33" t="n"/>
      <c r="G14" s="160">
        <f>G13+1</f>
        <v/>
      </c>
      <c r="H14" s="161" t="inlineStr">
        <is>
          <t>Zippy 30 90 degree Turn</t>
        </is>
      </c>
      <c r="I14" s="162" t="inlineStr">
        <is>
          <t>Turn to start travelling in Y direction</t>
        </is>
      </c>
      <c r="J14" s="163">
        <f>IFERROR(VLOOKUP(H14,'Master List'!$A:$D,2,0),0)</f>
        <v/>
      </c>
      <c r="K14" s="163">
        <f>IFERROR(VLOOKUP(H14,'Master List'!$A:$D,3,0),0)</f>
        <v/>
      </c>
      <c r="L14" s="163">
        <f>IFERROR(VLOOKUP(H14,'Master List'!$A:$D,4,0),0)</f>
        <v/>
      </c>
      <c r="M14" s="163" t="n"/>
      <c r="N14" s="163">
        <f>IFERROR(K14/L14,0)</f>
        <v/>
      </c>
      <c r="O14" s="163">
        <f>IFERROR(IF(M14&lt;((1/2*L14*N14^2)*2),1/2*L14*SQRT((M14/2)*2/L14)^2,1/2*L14*N14^2),0)</f>
        <v/>
      </c>
      <c r="P14" s="163">
        <f>IFERROR(IF(M14-O14-Q14&lt;=0,0,M14-O14-Q14),0)</f>
        <v/>
      </c>
      <c r="Q14" s="163">
        <f>O14</f>
        <v/>
      </c>
      <c r="R14" s="163">
        <f>IFERROR(IF(M14&lt;((1/2*L14*N14^2)*2),SQRT((M14/2)*2/L14),N14),0)</f>
        <v/>
      </c>
      <c r="S14" s="163">
        <f>IFERROR(P14/K14,0)</f>
        <v/>
      </c>
      <c r="T14" s="163">
        <f>R14</f>
        <v/>
      </c>
      <c r="U14" s="163">
        <f>IF(J14&gt;0,J14,SUM(R14:T14))</f>
        <v/>
      </c>
      <c r="V14" s="163" t="n">
        <v>1</v>
      </c>
      <c r="W14" s="163">
        <f>U14*V14</f>
        <v/>
      </c>
      <c r="Y14" s="160">
        <f>Y13+1</f>
        <v/>
      </c>
      <c r="Z14" s="161" t="inlineStr">
        <is>
          <t>Zippy 30 90 degree Turn</t>
        </is>
      </c>
      <c r="AA14" s="162" t="n"/>
      <c r="AB14" s="163">
        <f>IFERROR(VLOOKUP(Z14,'Master List'!$A:$D,2,0),0)</f>
        <v/>
      </c>
      <c r="AC14" s="163">
        <f>IFERROR(VLOOKUP(Z14,'Master List'!$A:$D,3,0),0)</f>
        <v/>
      </c>
      <c r="AD14" s="163">
        <f>IFERROR(VLOOKUP(Z14,'Master List'!$A:$D,4,0),0)</f>
        <v/>
      </c>
      <c r="AE14" s="163" t="n"/>
      <c r="AF14" s="163">
        <f>IFERROR(AC14/AD14,0)</f>
        <v/>
      </c>
      <c r="AG14" s="163">
        <f>IFERROR(IF(AE14&lt;((1/2*AD14*AF14^2)*2),1/2*AD14*SQRT((AE14/2)*2/AD14)^2,1/2*AD14*AF14^2),0)</f>
        <v/>
      </c>
      <c r="AH14" s="163">
        <f>IFERROR(IF(AE14-AG14-AI14&lt;=0,0,AE14-AG14-AI14),0)</f>
        <v/>
      </c>
      <c r="AI14" s="163">
        <f>AG14</f>
        <v/>
      </c>
      <c r="AJ14" s="163">
        <f>IFERROR(IF(AE14&lt;((1/2*AD14*AF14^2)*2),SQRT((AE14/2)*2/AD14),AF14),0)</f>
        <v/>
      </c>
      <c r="AK14" s="163">
        <f>IFERROR(AH14/AC14,0)</f>
        <v/>
      </c>
      <c r="AL14" s="163">
        <f>AJ14</f>
        <v/>
      </c>
      <c r="AM14" s="163">
        <f>IF(AB14&gt;0,AB14,SUM(AJ14:AL14))</f>
        <v/>
      </c>
      <c r="AN14" s="163" t="n">
        <v>1</v>
      </c>
      <c r="AO14" s="163">
        <f>AM14*AN14</f>
        <v/>
      </c>
      <c r="AQ14" s="160">
        <f>AQ13+1</f>
        <v/>
      </c>
      <c r="AR14" s="161" t="inlineStr">
        <is>
          <t>Zippy 30 90 degree Turn</t>
        </is>
      </c>
      <c r="AS14" s="162" t="n"/>
      <c r="AT14" s="163">
        <f>IFERROR(VLOOKUP(AR14,'Master List'!$A:$D,2,0),0)</f>
        <v/>
      </c>
      <c r="AU14" s="163">
        <f>IFERROR(VLOOKUP(AR14,'Master List'!$A:$D,3,0),0)</f>
        <v/>
      </c>
      <c r="AV14" s="163">
        <f>IFERROR(VLOOKUP(AR14,'Master List'!$A:$D,4,0),0)</f>
        <v/>
      </c>
      <c r="AW14" s="163" t="n"/>
      <c r="AX14" s="163">
        <f>IFERROR(AU14/AV14,0)</f>
        <v/>
      </c>
      <c r="AY14" s="163">
        <f>IFERROR(IF(AW14&lt;((1/2*AV14*AX14^2)*2),1/2*AV14*SQRT((AW14/2)*2/AV14)^2,1/2*AV14*AX14^2),0)</f>
        <v/>
      </c>
      <c r="AZ14" s="163">
        <f>IFERROR(IF(AW14-AY14-BA14&lt;=0,0,AW14-AY14-BA14),0)</f>
        <v/>
      </c>
      <c r="BA14" s="163">
        <f>AY14</f>
        <v/>
      </c>
      <c r="BB14" s="163">
        <f>IFERROR(IF(AW14&lt;((1/2*AV14*AX14^2)*2),SQRT((AW14/2)*2/AV14),AX14),0)</f>
        <v/>
      </c>
      <c r="BC14" s="163">
        <f>IFERROR(AZ14/AU14,0)</f>
        <v/>
      </c>
      <c r="BD14" s="163">
        <f>BB14</f>
        <v/>
      </c>
      <c r="BE14" s="163">
        <f>IF(AT14&gt;0,AT14,SUM(BB14:BD14))</f>
        <v/>
      </c>
      <c r="BF14" s="163" t="n">
        <v>1</v>
      </c>
      <c r="BG14" s="163">
        <f>BE14*BF14</f>
        <v/>
      </c>
      <c r="BI14" s="160">
        <f>BI13+1</f>
        <v/>
      </c>
      <c r="BJ14" s="161" t="inlineStr">
        <is>
          <t>Zippy 30 90 degree Turn</t>
        </is>
      </c>
      <c r="BK14" s="162" t="n"/>
      <c r="BL14" s="163">
        <f>IFERROR(VLOOKUP(BJ14,'Master List'!$A:$D,2,0),0)</f>
        <v/>
      </c>
      <c r="BM14" s="163">
        <f>IFERROR(VLOOKUP(BJ14,'Master List'!$A:$D,3,0),0)</f>
        <v/>
      </c>
      <c r="BN14" s="163">
        <f>IFERROR(VLOOKUP(BJ14,'Master List'!$A:$D,4,0),0)</f>
        <v/>
      </c>
      <c r="BO14" s="163" t="n"/>
      <c r="BP14" s="163">
        <f>IFERROR(BM14/BN14,0)</f>
        <v/>
      </c>
      <c r="BQ14" s="163">
        <f>IFERROR(IF(BO14&lt;((1/2*BN14*BP14^2)*2),1/2*BN14*SQRT((BO14/2)*2/BN14)^2,1/2*BN14*BP14^2),0)</f>
        <v/>
      </c>
      <c r="BR14" s="163">
        <f>IFERROR(IF(BO14-BQ14-BS14&lt;=0,0,BO14-BQ14-BS14),0)</f>
        <v/>
      </c>
      <c r="BS14" s="163">
        <f>BQ14</f>
        <v/>
      </c>
      <c r="BT14" s="163">
        <f>IFERROR(IF(BO14&lt;((1/2*BN14*BP14^2)*2),SQRT((BO14/2)*2/BN14),BP14),0)</f>
        <v/>
      </c>
      <c r="BU14" s="163">
        <f>IFERROR(BR14/BM14,0)</f>
        <v/>
      </c>
      <c r="BV14" s="163">
        <f>BT14</f>
        <v/>
      </c>
      <c r="BW14" s="163">
        <f>IF(BL14&gt;0,BL14,SUM(BT14:BV14))</f>
        <v/>
      </c>
      <c r="BX14" s="163" t="n">
        <v>1</v>
      </c>
      <c r="BY14" s="163">
        <f>BW14*BX14</f>
        <v/>
      </c>
    </row>
    <row r="15" ht="15" customHeight="1" s="516">
      <c r="A15" s="33" t="inlineStr">
        <is>
          <t>Throughput (Sorts per hour)</t>
        </is>
      </c>
      <c r="B15" s="48" t="n">
        <v>1000</v>
      </c>
      <c r="C15" s="212" t="inlineStr">
        <is>
          <t>Sorts per Hr</t>
        </is>
      </c>
      <c r="G15" s="160">
        <f>G14+1</f>
        <v/>
      </c>
      <c r="H15" s="161" t="inlineStr">
        <is>
          <t>Zippy 30 Running</t>
        </is>
      </c>
      <c r="I15" s="162" t="inlineStr">
        <is>
          <t>Distance travelled in Y direction</t>
        </is>
      </c>
      <c r="J15" s="163">
        <f>IFERROR(VLOOKUP(H15,'Master List'!$A:$D,2,0),0)</f>
        <v/>
      </c>
      <c r="K15" s="163">
        <f>IFERROR(VLOOKUP(H15,'Master List'!$A:$D,3,0),0)</f>
        <v/>
      </c>
      <c r="L15" s="163">
        <f>IFERROR(VLOOKUP(H15,'Master List'!$A:$D,4,0),0)</f>
        <v/>
      </c>
      <c r="M15" s="163">
        <f>$C$27</f>
        <v/>
      </c>
      <c r="N15" s="163">
        <f>IFERROR(K15/L15,0)</f>
        <v/>
      </c>
      <c r="O15" s="163">
        <f>IFERROR(IF(M15&lt;((1/2*L15*N15^2)*2),1/2*L15*SQRT((M15/2)*2/L15)^2,1/2*L15*N15^2),0)</f>
        <v/>
      </c>
      <c r="P15" s="163">
        <f>IFERROR(IF(M15-O15-Q15&lt;=0,0,M15-O15-Q15),0)</f>
        <v/>
      </c>
      <c r="Q15" s="163">
        <f>O15</f>
        <v/>
      </c>
      <c r="R15" s="163">
        <f>IFERROR(IF(M15&lt;((1/2*L15*N15^2)*2),SQRT((M15/2)*2/L15),N15),0)</f>
        <v/>
      </c>
      <c r="S15" s="163">
        <f>IFERROR(P15/K15,0)</f>
        <v/>
      </c>
      <c r="T15" s="163">
        <f>R15</f>
        <v/>
      </c>
      <c r="U15" s="163">
        <f>IF(J15&gt;0,J15,SUM(R15:T15))</f>
        <v/>
      </c>
      <c r="V15" s="163" t="n">
        <v>1</v>
      </c>
      <c r="W15" s="163">
        <f>U15*V15</f>
        <v/>
      </c>
      <c r="Y15" s="160">
        <f>Y14+1</f>
        <v/>
      </c>
      <c r="Z15" s="161" t="inlineStr">
        <is>
          <t>Zippy 30 Running</t>
        </is>
      </c>
      <c r="AA15" s="162" t="n"/>
      <c r="AB15" s="163">
        <f>IFERROR(VLOOKUP(Z15,'Master List'!$A:$D,2,0),0)</f>
        <v/>
      </c>
      <c r="AC15" s="163">
        <f>IFERROR(VLOOKUP(Z15,'Master List'!$A:$D,3,0),0)</f>
        <v/>
      </c>
      <c r="AD15" s="163">
        <f>IFERROR(VLOOKUP(Z15,'Master List'!$A:$D,4,0),0)</f>
        <v/>
      </c>
      <c r="AE15" s="163">
        <f>$C$28</f>
        <v/>
      </c>
      <c r="AF15" s="163">
        <f>IFERROR(AC15/AD15,0)</f>
        <v/>
      </c>
      <c r="AG15" s="163">
        <f>IFERROR(IF(AE15&lt;((1/2*AD15*AF15^2)*2),1/2*AD15*SQRT((AE15/2)*2/AD15)^2,1/2*AD15*AF15^2),0)</f>
        <v/>
      </c>
      <c r="AH15" s="163">
        <f>IFERROR(IF(AE15-AG15-AI15&lt;=0,0,AE15-AG15-AI15),0)</f>
        <v/>
      </c>
      <c r="AI15" s="163">
        <f>AG15</f>
        <v/>
      </c>
      <c r="AJ15" s="163">
        <f>IFERROR(IF(AE15&lt;((1/2*AD15*AF15^2)*2),SQRT((AE15/2)*2/AD15),AF15),0)</f>
        <v/>
      </c>
      <c r="AK15" s="163">
        <f>IFERROR(AH15/AC15,0)</f>
        <v/>
      </c>
      <c r="AL15" s="163">
        <f>AJ15</f>
        <v/>
      </c>
      <c r="AM15" s="163">
        <f>IF(AB15&gt;0,AB15,SUM(AJ15:AL15))</f>
        <v/>
      </c>
      <c r="AN15" s="163" t="n">
        <v>1</v>
      </c>
      <c r="AO15" s="163">
        <f>AM15*AN15</f>
        <v/>
      </c>
      <c r="AQ15" s="160">
        <f>AQ14+1</f>
        <v/>
      </c>
      <c r="AR15" s="161" t="inlineStr">
        <is>
          <t>Zippy 30 Running</t>
        </is>
      </c>
      <c r="AS15" s="162" t="n"/>
      <c r="AT15" s="163">
        <f>IFERROR(VLOOKUP(AR15,'Master List'!$A:$D,2,0),0)</f>
        <v/>
      </c>
      <c r="AU15" s="163">
        <f>IFERROR(VLOOKUP(AR15,'Master List'!$A:$D,3,0),0)</f>
        <v/>
      </c>
      <c r="AV15" s="163">
        <f>IFERROR(VLOOKUP(AR15,'Master List'!$A:$D,4,0),0)</f>
        <v/>
      </c>
      <c r="AW15" s="163">
        <f>$C$29</f>
        <v/>
      </c>
      <c r="AX15" s="163">
        <f>IFERROR(AU15/AV15,0)</f>
        <v/>
      </c>
      <c r="AY15" s="163">
        <f>IFERROR(IF(AW15&lt;((1/2*AV15*AX15^2)*2),1/2*AV15*SQRT((AW15/2)*2/AV15)^2,1/2*AV15*AX15^2),0)</f>
        <v/>
      </c>
      <c r="AZ15" s="163">
        <f>IFERROR(IF(AW15-AY15-BA15&lt;=0,0,AW15-AY15-BA15),0)</f>
        <v/>
      </c>
      <c r="BA15" s="163">
        <f>AY15</f>
        <v/>
      </c>
      <c r="BB15" s="163">
        <f>IFERROR(IF(AW15&lt;((1/2*AV15*AX15^2)*2),SQRT((AW15/2)*2/AV15),AX15),0)</f>
        <v/>
      </c>
      <c r="BC15" s="163">
        <f>IFERROR(AZ15/AU15,0)</f>
        <v/>
      </c>
      <c r="BD15" s="163">
        <f>BB15</f>
        <v/>
      </c>
      <c r="BE15" s="163">
        <f>IF(AT15&gt;0,AT15,SUM(BB15:BD15))</f>
        <v/>
      </c>
      <c r="BF15" s="163" t="n">
        <v>1</v>
      </c>
      <c r="BG15" s="163">
        <f>BE15*BF15</f>
        <v/>
      </c>
      <c r="BI15" s="160">
        <f>BI14+1</f>
        <v/>
      </c>
      <c r="BJ15" s="161" t="inlineStr">
        <is>
          <t>Zippy 30 Running</t>
        </is>
      </c>
      <c r="BK15" s="162" t="n"/>
      <c r="BL15" s="163">
        <f>IFERROR(VLOOKUP(BJ15,'Master List'!$A:$D,2,0),0)</f>
        <v/>
      </c>
      <c r="BM15" s="163">
        <f>IFERROR(VLOOKUP(BJ15,'Master List'!$A:$D,3,0),0)</f>
        <v/>
      </c>
      <c r="BN15" s="163">
        <f>IFERROR(VLOOKUP(BJ15,'Master List'!$A:$D,4,0),0)</f>
        <v/>
      </c>
      <c r="BO15" s="163">
        <f>$C$30</f>
        <v/>
      </c>
      <c r="BP15" s="163">
        <f>IFERROR(BM15/BN15,0)</f>
        <v/>
      </c>
      <c r="BQ15" s="163">
        <f>IFERROR(IF(BO15&lt;((1/2*BN15*BP15^2)*2),1/2*BN15*SQRT((BO15/2)*2/BN15)^2,1/2*BN15*BP15^2),0)</f>
        <v/>
      </c>
      <c r="BR15" s="163">
        <f>IFERROR(IF(BO15-BQ15-BS15&lt;=0,0,BO15-BQ15-BS15),0)</f>
        <v/>
      </c>
      <c r="BS15" s="163">
        <f>BQ15</f>
        <v/>
      </c>
      <c r="BT15" s="163">
        <f>IFERROR(IF(BO15&lt;((1/2*BN15*BP15^2)*2),SQRT((BO15/2)*2/BN15),BP15),0)</f>
        <v/>
      </c>
      <c r="BU15" s="163">
        <f>IFERROR(BR15/BM15,0)</f>
        <v/>
      </c>
      <c r="BV15" s="163">
        <f>BT15</f>
        <v/>
      </c>
      <c r="BW15" s="163">
        <f>IF(BL15&gt;0,BL15,SUM(BT15:BV15))</f>
        <v/>
      </c>
      <c r="BX15" s="163" t="n">
        <v>1</v>
      </c>
      <c r="BY15" s="163">
        <f>BW15*BX15</f>
        <v/>
      </c>
    </row>
    <row r="16" ht="15" customHeight="1" s="516">
      <c r="A16" s="33" t="inlineStr">
        <is>
          <t>Traffic factor</t>
        </is>
      </c>
      <c r="B16" s="36" t="n">
        <v>0.1</v>
      </c>
      <c r="C16" s="212" t="inlineStr">
        <is>
          <t>Variable</t>
        </is>
      </c>
      <c r="G16" s="160">
        <f>G15+1</f>
        <v/>
      </c>
      <c r="H16" s="161" t="inlineStr">
        <is>
          <t>Zippy 30 90 degree Turn</t>
        </is>
      </c>
      <c r="I16" s="162" t="inlineStr">
        <is>
          <t>Turn to move towards sorting point</t>
        </is>
      </c>
      <c r="J16" s="163">
        <f>IFERROR(VLOOKUP(H16,'Master List'!$A:$D,2,0),0)</f>
        <v/>
      </c>
      <c r="K16" s="163">
        <f>IFERROR(VLOOKUP(H16,'Master List'!$A:$D,3,0),0)</f>
        <v/>
      </c>
      <c r="L16" s="163">
        <f>IFERROR(VLOOKUP(H16,'Master List'!$A:$D,4,0),0)</f>
        <v/>
      </c>
      <c r="M16" s="163" t="n"/>
      <c r="N16" s="163">
        <f>IFERROR(K16/L16,0)</f>
        <v/>
      </c>
      <c r="O16" s="163">
        <f>IFERROR(IF(M16&lt;((1/2*L16*N16^2)*2),1/2*L16*SQRT((M16/2)*2/L16)^2,1/2*L16*N16^2),0)</f>
        <v/>
      </c>
      <c r="P16" s="163">
        <f>IFERROR(IF(M16-O16-Q16&lt;=0,0,M16-O16-Q16),0)</f>
        <v/>
      </c>
      <c r="Q16" s="163">
        <f>O16</f>
        <v/>
      </c>
      <c r="R16" s="163">
        <f>IFERROR(IF(M16&lt;((1/2*L16*N16^2)*2),SQRT((M16/2)*2/L16),N16),0)</f>
        <v/>
      </c>
      <c r="S16" s="163">
        <f>IFERROR(P16/K16,0)</f>
        <v/>
      </c>
      <c r="T16" s="163">
        <f>R16</f>
        <v/>
      </c>
      <c r="U16" s="163">
        <f>IF(J16&gt;0,J16,SUM(R16:T16))</f>
        <v/>
      </c>
      <c r="V16" s="163" t="n">
        <v>1</v>
      </c>
      <c r="W16" s="163">
        <f>U16*V16</f>
        <v/>
      </c>
      <c r="Y16" s="160">
        <f>Y15+1</f>
        <v/>
      </c>
      <c r="Z16" s="161" t="inlineStr">
        <is>
          <t>Zippy 30 90 degree Turn</t>
        </is>
      </c>
      <c r="AA16" s="162" t="n"/>
      <c r="AB16" s="163">
        <f>IFERROR(VLOOKUP(Z16,'Master List'!$A:$D,2,0),0)</f>
        <v/>
      </c>
      <c r="AC16" s="163">
        <f>IFERROR(VLOOKUP(Z16,'Master List'!$A:$D,3,0),0)</f>
        <v/>
      </c>
      <c r="AD16" s="163">
        <f>IFERROR(VLOOKUP(Z16,'Master List'!$A:$D,4,0),0)</f>
        <v/>
      </c>
      <c r="AE16" s="163" t="n"/>
      <c r="AF16" s="163">
        <f>IFERROR(AC16/AD16,0)</f>
        <v/>
      </c>
      <c r="AG16" s="163">
        <f>IFERROR(IF(AE16&lt;((1/2*AD16*AF16^2)*2),1/2*AD16*SQRT((AE16/2)*2/AD16)^2,1/2*AD16*AF16^2),0)</f>
        <v/>
      </c>
      <c r="AH16" s="163">
        <f>IFERROR(IF(AE16-AG16-AI16&lt;=0,0,AE16-AG16-AI16),0)</f>
        <v/>
      </c>
      <c r="AI16" s="163">
        <f>AG16</f>
        <v/>
      </c>
      <c r="AJ16" s="163">
        <f>IFERROR(IF(AE16&lt;((1/2*AD16*AF16^2)*2),SQRT((AE16/2)*2/AD16),AF16),0)</f>
        <v/>
      </c>
      <c r="AK16" s="163">
        <f>IFERROR(AH16/AC16,0)</f>
        <v/>
      </c>
      <c r="AL16" s="163">
        <f>AJ16</f>
        <v/>
      </c>
      <c r="AM16" s="163">
        <f>IF(AB16&gt;0,AB16,SUM(AJ16:AL16))</f>
        <v/>
      </c>
      <c r="AN16" s="163" t="n">
        <v>1</v>
      </c>
      <c r="AO16" s="163">
        <f>AM16*AN16</f>
        <v/>
      </c>
      <c r="AQ16" s="160">
        <f>AQ15+1</f>
        <v/>
      </c>
      <c r="AR16" s="161" t="inlineStr">
        <is>
          <t>Zippy 30 90 degree Turn</t>
        </is>
      </c>
      <c r="AS16" s="162" t="n"/>
      <c r="AT16" s="163">
        <f>IFERROR(VLOOKUP(AR16,'Master List'!$A:$D,2,0),0)</f>
        <v/>
      </c>
      <c r="AU16" s="163">
        <f>IFERROR(VLOOKUP(AR16,'Master List'!$A:$D,3,0),0)</f>
        <v/>
      </c>
      <c r="AV16" s="163">
        <f>IFERROR(VLOOKUP(AR16,'Master List'!$A:$D,4,0),0)</f>
        <v/>
      </c>
      <c r="AW16" s="163" t="n"/>
      <c r="AX16" s="163">
        <f>IFERROR(AU16/AV16,0)</f>
        <v/>
      </c>
      <c r="AY16" s="163">
        <f>IFERROR(IF(AW16&lt;((1/2*AV16*AX16^2)*2),1/2*AV16*SQRT((AW16/2)*2/AV16)^2,1/2*AV16*AX16^2),0)</f>
        <v/>
      </c>
      <c r="AZ16" s="163">
        <f>IFERROR(IF(AW16-AY16-BA16&lt;=0,0,AW16-AY16-BA16),0)</f>
        <v/>
      </c>
      <c r="BA16" s="163">
        <f>AY16</f>
        <v/>
      </c>
      <c r="BB16" s="163">
        <f>IFERROR(IF(AW16&lt;((1/2*AV16*AX16^2)*2),SQRT((AW16/2)*2/AV16),AX16),0)</f>
        <v/>
      </c>
      <c r="BC16" s="163">
        <f>IFERROR(AZ16/AU16,0)</f>
        <v/>
      </c>
      <c r="BD16" s="163">
        <f>BB16</f>
        <v/>
      </c>
      <c r="BE16" s="163">
        <f>IF(AT16&gt;0,AT16,SUM(BB16:BD16))</f>
        <v/>
      </c>
      <c r="BF16" s="163" t="n">
        <v>1</v>
      </c>
      <c r="BG16" s="163">
        <f>BE16*BF16</f>
        <v/>
      </c>
      <c r="BI16" s="160">
        <f>BI15+1</f>
        <v/>
      </c>
      <c r="BJ16" s="161" t="inlineStr">
        <is>
          <t>Zippy 30 90 degree Turn</t>
        </is>
      </c>
      <c r="BK16" s="162" t="n"/>
      <c r="BL16" s="163">
        <f>IFERROR(VLOOKUP(BJ16,'Master List'!$A:$D,2,0),0)</f>
        <v/>
      </c>
      <c r="BM16" s="163">
        <f>IFERROR(VLOOKUP(BJ16,'Master List'!$A:$D,3,0),0)</f>
        <v/>
      </c>
      <c r="BN16" s="163">
        <f>IFERROR(VLOOKUP(BJ16,'Master List'!$A:$D,4,0),0)</f>
        <v/>
      </c>
      <c r="BO16" s="163" t="n"/>
      <c r="BP16" s="163">
        <f>IFERROR(BM16/BN16,0)</f>
        <v/>
      </c>
      <c r="BQ16" s="163">
        <f>IFERROR(IF(BO16&lt;((1/2*BN16*BP16^2)*2),1/2*BN16*SQRT((BO16/2)*2/BN16)^2,1/2*BN16*BP16^2),0)</f>
        <v/>
      </c>
      <c r="BR16" s="163">
        <f>IFERROR(IF(BO16-BQ16-BS16&lt;=0,0,BO16-BQ16-BS16),0)</f>
        <v/>
      </c>
      <c r="BS16" s="163">
        <f>BQ16</f>
        <v/>
      </c>
      <c r="BT16" s="163">
        <f>IFERROR(IF(BO16&lt;((1/2*BN16*BP16^2)*2),SQRT((BO16/2)*2/BN16),BP16),0)</f>
        <v/>
      </c>
      <c r="BU16" s="163">
        <f>IFERROR(BR16/BM16,0)</f>
        <v/>
      </c>
      <c r="BV16" s="163">
        <f>BT16</f>
        <v/>
      </c>
      <c r="BW16" s="163">
        <f>IF(BL16&gt;0,BL16,SUM(BT16:BV16))</f>
        <v/>
      </c>
      <c r="BX16" s="163" t="n">
        <v>1</v>
      </c>
      <c r="BY16" s="163">
        <f>BW16*BX16</f>
        <v/>
      </c>
    </row>
    <row r="17" ht="15" customHeight="1" s="516">
      <c r="A17" s="33" t="inlineStr">
        <is>
          <t>Charging factor</t>
        </is>
      </c>
      <c r="B17" s="36" t="n">
        <v>0.1</v>
      </c>
      <c r="C17" s="212" t="inlineStr">
        <is>
          <t>Variable</t>
        </is>
      </c>
      <c r="G17" s="160">
        <f>G16+1</f>
        <v/>
      </c>
      <c r="H17" s="161" t="inlineStr">
        <is>
          <t>Zippy 30 Sorting Conveyor Running</t>
        </is>
      </c>
      <c r="I17" s="162" t="inlineStr">
        <is>
          <t>Sorting</t>
        </is>
      </c>
      <c r="J17" s="163">
        <f>IFERROR(VLOOKUP(H17,'Master List'!$A:$D,2,0),0)</f>
        <v/>
      </c>
      <c r="K17" s="163">
        <f>IFERROR(VLOOKUP(H17,'Master List'!$A:$D,3,0),0)</f>
        <v/>
      </c>
      <c r="L17" s="163">
        <f>IFERROR(VLOOKUP(H17,'Master List'!$A:$D,4,0),0)</f>
        <v/>
      </c>
      <c r="M17" s="163">
        <f>$B$32*2</f>
        <v/>
      </c>
      <c r="N17" s="163">
        <f>IFERROR(K17/L17,0)</f>
        <v/>
      </c>
      <c r="O17" s="163">
        <f>IFERROR(IF(M17&lt;((1/2*L17*N17^2)*2),1/2*L17*SQRT((M17/2)*2/L17)^2,1/2*L17*N17^2),0)</f>
        <v/>
      </c>
      <c r="P17" s="163">
        <f>IFERROR(IF(M17-O17-Q17&lt;=0,0,M17-O17-Q17),0)</f>
        <v/>
      </c>
      <c r="Q17" s="163">
        <f>O17</f>
        <v/>
      </c>
      <c r="R17" s="163">
        <f>IFERROR(IF(M17&lt;((1/2*L17*N17^2)*2),SQRT((M17/2)*2/L17),N17),0)</f>
        <v/>
      </c>
      <c r="S17" s="163">
        <f>IFERROR(P17/K17,0)</f>
        <v/>
      </c>
      <c r="T17" s="163">
        <f>R17</f>
        <v/>
      </c>
      <c r="U17" s="163">
        <f>IF(J17&gt;0,J17,SUM(R17:T17))</f>
        <v/>
      </c>
      <c r="V17" s="163" t="n">
        <v>1</v>
      </c>
      <c r="W17" s="163">
        <f>U17*V17</f>
        <v/>
      </c>
      <c r="Y17" s="160">
        <f>Y16+1</f>
        <v/>
      </c>
      <c r="Z17" s="161" t="inlineStr">
        <is>
          <t>Zippy 30 Sorting Conveyor Running</t>
        </is>
      </c>
      <c r="AA17" s="162" t="n"/>
      <c r="AB17" s="163">
        <f>IFERROR(VLOOKUP(Z17,'Master List'!$A:$D,2,0),0)</f>
        <v/>
      </c>
      <c r="AC17" s="163">
        <f>IFERROR(VLOOKUP(Z17,'Master List'!$A:$D,3,0),0)</f>
        <v/>
      </c>
      <c r="AD17" s="163">
        <f>IFERROR(VLOOKUP(Z17,'Master List'!$A:$D,4,0),0)</f>
        <v/>
      </c>
      <c r="AE17" s="163">
        <f>$B$32*2</f>
        <v/>
      </c>
      <c r="AF17" s="163">
        <f>IFERROR(AC17/AD17,0)</f>
        <v/>
      </c>
      <c r="AG17" s="163">
        <f>IFERROR(IF(AE17&lt;((1/2*AD17*AF17^2)*2),1/2*AD17*SQRT((AE17/2)*2/AD17)^2,1/2*AD17*AF17^2),0)</f>
        <v/>
      </c>
      <c r="AH17" s="163">
        <f>IFERROR(IF(AE17-AG17-AI17&lt;=0,0,AE17-AG17-AI17),0)</f>
        <v/>
      </c>
      <c r="AI17" s="163">
        <f>AG17</f>
        <v/>
      </c>
      <c r="AJ17" s="163">
        <f>IFERROR(IF(AE17&lt;((1/2*AD17*AF17^2)*2),SQRT((AE17/2)*2/AD17),AF17),0)</f>
        <v/>
      </c>
      <c r="AK17" s="163">
        <f>IFERROR(AH17/AC17,0)</f>
        <v/>
      </c>
      <c r="AL17" s="163">
        <f>AJ17</f>
        <v/>
      </c>
      <c r="AM17" s="163">
        <f>IF(AB17&gt;0,AB17,SUM(AJ17:AL17))</f>
        <v/>
      </c>
      <c r="AN17" s="163" t="n">
        <v>1</v>
      </c>
      <c r="AO17" s="163">
        <f>AM17*AN17</f>
        <v/>
      </c>
      <c r="AQ17" s="160">
        <f>AQ16+1</f>
        <v/>
      </c>
      <c r="AR17" s="161" t="inlineStr">
        <is>
          <t>Zippy 30 Sorting Conveyor Running</t>
        </is>
      </c>
      <c r="AS17" s="162" t="n"/>
      <c r="AT17" s="163">
        <f>IFERROR(VLOOKUP(AR17,'Master List'!$A:$D,2,0),0)</f>
        <v/>
      </c>
      <c r="AU17" s="163">
        <f>IFERROR(VLOOKUP(AR17,'Master List'!$A:$D,3,0),0)</f>
        <v/>
      </c>
      <c r="AV17" s="163">
        <f>IFERROR(VLOOKUP(AR17,'Master List'!$A:$D,4,0),0)</f>
        <v/>
      </c>
      <c r="AW17" s="163">
        <f>$B$32*2</f>
        <v/>
      </c>
      <c r="AX17" s="163">
        <f>IFERROR(AU17/AV17,0)</f>
        <v/>
      </c>
      <c r="AY17" s="163">
        <f>IFERROR(IF(AW17&lt;((1/2*AV17*AX17^2)*2),1/2*AV17*SQRT((AW17/2)*2/AV17)^2,1/2*AV17*AX17^2),0)</f>
        <v/>
      </c>
      <c r="AZ17" s="163">
        <f>IFERROR(IF(AW17-AY17-BA17&lt;=0,0,AW17-AY17-BA17),0)</f>
        <v/>
      </c>
      <c r="BA17" s="163">
        <f>AY17</f>
        <v/>
      </c>
      <c r="BB17" s="163">
        <f>IFERROR(IF(AW17&lt;((1/2*AV17*AX17^2)*2),SQRT((AW17/2)*2/AV17),AX17),0)</f>
        <v/>
      </c>
      <c r="BC17" s="163">
        <f>IFERROR(AZ17/AU17,0)</f>
        <v/>
      </c>
      <c r="BD17" s="163">
        <f>BB17</f>
        <v/>
      </c>
      <c r="BE17" s="163">
        <f>IF(AT17&gt;0,AT17,SUM(BB17:BD17))</f>
        <v/>
      </c>
      <c r="BF17" s="163" t="n">
        <v>1</v>
      </c>
      <c r="BG17" s="163">
        <f>BE17*BF17</f>
        <v/>
      </c>
      <c r="BI17" s="160">
        <f>BI16+1</f>
        <v/>
      </c>
      <c r="BJ17" s="161" t="inlineStr">
        <is>
          <t>Zippy 30 Sorting Conveyor Running</t>
        </is>
      </c>
      <c r="BK17" s="162" t="n"/>
      <c r="BL17" s="163">
        <f>IFERROR(VLOOKUP(BJ17,'Master List'!$A:$D,2,0),0)</f>
        <v/>
      </c>
      <c r="BM17" s="163">
        <f>IFERROR(VLOOKUP(BJ17,'Master List'!$A:$D,3,0),0)</f>
        <v/>
      </c>
      <c r="BN17" s="163">
        <f>IFERROR(VLOOKUP(BJ17,'Master List'!$A:$D,4,0),0)</f>
        <v/>
      </c>
      <c r="BO17" s="163">
        <f>$B$32*2</f>
        <v/>
      </c>
      <c r="BP17" s="163">
        <f>IFERROR(BM17/BN17,0)</f>
        <v/>
      </c>
      <c r="BQ17" s="163">
        <f>IFERROR(IF(BO17&lt;((1/2*BN17*BP17^2)*2),1/2*BN17*SQRT((BO17/2)*2/BN17)^2,1/2*BN17*BP17^2),0)</f>
        <v/>
      </c>
      <c r="BR17" s="163">
        <f>IFERROR(IF(BO17-BQ17-BS17&lt;=0,0,BO17-BQ17-BS17),0)</f>
        <v/>
      </c>
      <c r="BS17" s="163">
        <f>BQ17</f>
        <v/>
      </c>
      <c r="BT17" s="163">
        <f>IFERROR(IF(BO17&lt;((1/2*BN17*BP17^2)*2),SQRT((BO17/2)*2/BN17),BP17),0)</f>
        <v/>
      </c>
      <c r="BU17" s="163">
        <f>IFERROR(BR17/BM17,0)</f>
        <v/>
      </c>
      <c r="BV17" s="163">
        <f>BT17</f>
        <v/>
      </c>
      <c r="BW17" s="163">
        <f>IF(BL17&gt;0,BL17,SUM(BT17:BV17))</f>
        <v/>
      </c>
      <c r="BX17" s="163" t="n">
        <v>1</v>
      </c>
      <c r="BY17" s="163">
        <f>BW17*BX17</f>
        <v/>
      </c>
    </row>
    <row r="18" ht="30" customHeight="1" s="516">
      <c r="A18" s="33" t="inlineStr">
        <is>
          <t>Total barcodes in layout</t>
        </is>
      </c>
      <c r="B18" s="48" t="n">
        <v>1000</v>
      </c>
      <c r="C18" s="212" t="inlineStr">
        <is>
          <t>Input total number of barcodes in layout</t>
        </is>
      </c>
      <c r="G18" s="160">
        <f>G17+1</f>
        <v/>
      </c>
      <c r="H18" s="161" t="inlineStr">
        <is>
          <t>Zippy 30 Running</t>
        </is>
      </c>
      <c r="I18" s="162" t="inlineStr">
        <is>
          <t>Move one barcode ahead to make way for zippy behind if any</t>
        </is>
      </c>
      <c r="J18" s="163">
        <f>IFERROR(VLOOKUP(H18,'Master List'!$A:$D,2,0),0)</f>
        <v/>
      </c>
      <c r="K18" s="163">
        <f>IFERROR(VLOOKUP(H18,'Master List'!$A:$D,3,0),0)</f>
        <v/>
      </c>
      <c r="L18" s="163">
        <f>IFERROR(VLOOKUP(H18,'Master List'!$A:$D,4,0),0)</f>
        <v/>
      </c>
      <c r="M18" s="163">
        <f>$B$32</f>
        <v/>
      </c>
      <c r="N18" s="163">
        <f>IFERROR(K18/L18,0)</f>
        <v/>
      </c>
      <c r="O18" s="163">
        <f>IFERROR(IF(M18&lt;((1/2*L18*N18^2)*2),1/2*L18*SQRT((M18/2)*2/L18)^2,1/2*L18*N18^2),0)</f>
        <v/>
      </c>
      <c r="P18" s="163">
        <f>IFERROR(IF(M18-O18-Q18&lt;=0,0,M18-O18-Q18),0)</f>
        <v/>
      </c>
      <c r="Q18" s="163">
        <f>O18</f>
        <v/>
      </c>
      <c r="R18" s="163">
        <f>IFERROR(IF(M18&lt;((1/2*L18*N18^2)*2),SQRT((M18/2)*2/L18),N18),0)</f>
        <v/>
      </c>
      <c r="S18" s="163">
        <f>IFERROR(P18/K18,0)</f>
        <v/>
      </c>
      <c r="T18" s="163">
        <f>R18</f>
        <v/>
      </c>
      <c r="U18" s="163">
        <f>IF(J18&gt;0,J18,SUM(R18:T18))</f>
        <v/>
      </c>
      <c r="V18" s="163" t="n">
        <v>1</v>
      </c>
      <c r="W18" s="163">
        <f>U18*V18</f>
        <v/>
      </c>
      <c r="Y18" s="160">
        <f>Y17+1</f>
        <v/>
      </c>
      <c r="Z18" s="161" t="inlineStr">
        <is>
          <t>Zippy 30 Running</t>
        </is>
      </c>
      <c r="AA18" s="162" t="n"/>
      <c r="AB18" s="163">
        <f>IFERROR(VLOOKUP(Z18,'Master List'!$A:$D,2,0),0)</f>
        <v/>
      </c>
      <c r="AC18" s="163">
        <f>IFERROR(VLOOKUP(Z18,'Master List'!$A:$D,3,0),0)</f>
        <v/>
      </c>
      <c r="AD18" s="163">
        <f>IFERROR(VLOOKUP(Z18,'Master List'!$A:$D,4,0),0)</f>
        <v/>
      </c>
      <c r="AE18" s="163">
        <f>$B$32</f>
        <v/>
      </c>
      <c r="AF18" s="163">
        <f>IFERROR(AC18/AD18,0)</f>
        <v/>
      </c>
      <c r="AG18" s="163">
        <f>IFERROR(IF(AE18&lt;((1/2*AD18*AF18^2)*2),1/2*AD18*SQRT((AE18/2)*2/AD18)^2,1/2*AD18*AF18^2),0)</f>
        <v/>
      </c>
      <c r="AH18" s="163">
        <f>IFERROR(IF(AE18-AG18-AI18&lt;=0,0,AE18-AG18-AI18),0)</f>
        <v/>
      </c>
      <c r="AI18" s="163">
        <f>AG18</f>
        <v/>
      </c>
      <c r="AJ18" s="163">
        <f>IFERROR(IF(AE18&lt;((1/2*AD18*AF18^2)*2),SQRT((AE18/2)*2/AD18),AF18),0)</f>
        <v/>
      </c>
      <c r="AK18" s="163">
        <f>IFERROR(AH18/AC18,0)</f>
        <v/>
      </c>
      <c r="AL18" s="163">
        <f>AJ18</f>
        <v/>
      </c>
      <c r="AM18" s="163">
        <f>IF(AB18&gt;0,AB18,SUM(AJ18:AL18))</f>
        <v/>
      </c>
      <c r="AN18" s="163" t="n">
        <v>1</v>
      </c>
      <c r="AO18" s="163">
        <f>AM18*AN18</f>
        <v/>
      </c>
      <c r="AQ18" s="160">
        <f>AQ17+1</f>
        <v/>
      </c>
      <c r="AR18" s="161" t="inlineStr">
        <is>
          <t>Zippy 30 Running</t>
        </is>
      </c>
      <c r="AS18" s="162" t="n"/>
      <c r="AT18" s="163">
        <f>IFERROR(VLOOKUP(AR18,'Master List'!$A:$D,2,0),0)</f>
        <v/>
      </c>
      <c r="AU18" s="163">
        <f>IFERROR(VLOOKUP(AR18,'Master List'!$A:$D,3,0),0)</f>
        <v/>
      </c>
      <c r="AV18" s="163">
        <f>IFERROR(VLOOKUP(AR18,'Master List'!$A:$D,4,0),0)</f>
        <v/>
      </c>
      <c r="AW18" s="163">
        <f>$B$32</f>
        <v/>
      </c>
      <c r="AX18" s="163">
        <f>IFERROR(AU18/AV18,0)</f>
        <v/>
      </c>
      <c r="AY18" s="163">
        <f>IFERROR(IF(AW18&lt;((1/2*AV18*AX18^2)*2),1/2*AV18*SQRT((AW18/2)*2/AV18)^2,1/2*AV18*AX18^2),0)</f>
        <v/>
      </c>
      <c r="AZ18" s="163">
        <f>IFERROR(IF(AW18-AY18-BA18&lt;=0,0,AW18-AY18-BA18),0)</f>
        <v/>
      </c>
      <c r="BA18" s="163">
        <f>AY18</f>
        <v/>
      </c>
      <c r="BB18" s="163">
        <f>IFERROR(IF(AW18&lt;((1/2*AV18*AX18^2)*2),SQRT((AW18/2)*2/AV18),AX18),0)</f>
        <v/>
      </c>
      <c r="BC18" s="163">
        <f>IFERROR(AZ18/AU18,0)</f>
        <v/>
      </c>
      <c r="BD18" s="163">
        <f>BB18</f>
        <v/>
      </c>
      <c r="BE18" s="163">
        <f>IF(AT18&gt;0,AT18,SUM(BB18:BD18))</f>
        <v/>
      </c>
      <c r="BF18" s="163" t="n">
        <v>1</v>
      </c>
      <c r="BG18" s="163">
        <f>BE18*BF18</f>
        <v/>
      </c>
      <c r="BI18" s="160">
        <f>BI17+1</f>
        <v/>
      </c>
      <c r="BJ18" s="161" t="inlineStr">
        <is>
          <t>Zippy 30 Running</t>
        </is>
      </c>
      <c r="BK18" s="162" t="n"/>
      <c r="BL18" s="163">
        <f>IFERROR(VLOOKUP(BJ18,'Master List'!$A:$D,2,0),0)</f>
        <v/>
      </c>
      <c r="BM18" s="163">
        <f>IFERROR(VLOOKUP(BJ18,'Master List'!$A:$D,3,0),0)</f>
        <v/>
      </c>
      <c r="BN18" s="163">
        <f>IFERROR(VLOOKUP(BJ18,'Master List'!$A:$D,4,0),0)</f>
        <v/>
      </c>
      <c r="BO18" s="163">
        <f>$B$32</f>
        <v/>
      </c>
      <c r="BP18" s="163">
        <f>IFERROR(BM18/BN18,0)</f>
        <v/>
      </c>
      <c r="BQ18" s="163">
        <f>IFERROR(IF(BO18&lt;((1/2*BN18*BP18^2)*2),1/2*BN18*SQRT((BO18/2)*2/BN18)^2,1/2*BN18*BP18^2),0)</f>
        <v/>
      </c>
      <c r="BR18" s="163">
        <f>IFERROR(IF(BO18-BQ18-BS18&lt;=0,0,BO18-BQ18-BS18),0)</f>
        <v/>
      </c>
      <c r="BS18" s="163">
        <f>BQ18</f>
        <v/>
      </c>
      <c r="BT18" s="163">
        <f>IFERROR(IF(BO18&lt;((1/2*BN18*BP18^2)*2),SQRT((BO18/2)*2/BN18),BP18),0)</f>
        <v/>
      </c>
      <c r="BU18" s="163">
        <f>IFERROR(BR18/BM18,0)</f>
        <v/>
      </c>
      <c r="BV18" s="163">
        <f>BT18</f>
        <v/>
      </c>
      <c r="BW18" s="163">
        <f>IF(BL18&gt;0,BL18,SUM(BT18:BV18))</f>
        <v/>
      </c>
      <c r="BX18" s="163" t="n">
        <v>1</v>
      </c>
      <c r="BY18" s="163">
        <f>BW18*BX18</f>
        <v/>
      </c>
    </row>
    <row r="19" ht="15" customHeight="1" s="516">
      <c r="G19" s="160">
        <f>G18+1</f>
        <v/>
      </c>
      <c r="H19" s="161" t="inlineStr">
        <is>
          <t>Zippy 30 90 degree Turn</t>
        </is>
      </c>
      <c r="I19" s="162" t="inlineStr">
        <is>
          <t>Turn to move on highway</t>
        </is>
      </c>
      <c r="J19" s="163">
        <f>IFERROR(VLOOKUP(H19,'Master List'!$A:$D,2,0),0)</f>
        <v/>
      </c>
      <c r="K19" s="163">
        <f>IFERROR(VLOOKUP(H19,'Master List'!$A:$D,3,0),0)</f>
        <v/>
      </c>
      <c r="L19" s="163">
        <f>IFERROR(VLOOKUP(H19,'Master List'!$A:$D,4,0),0)</f>
        <v/>
      </c>
      <c r="M19" s="163" t="n"/>
      <c r="N19" s="163">
        <f>IFERROR(K19/L19,0)</f>
        <v/>
      </c>
      <c r="O19" s="163">
        <f>IFERROR(IF(M19&lt;((1/2*L19*N19^2)*2),1/2*L19*SQRT((M19/2)*2/L19)^2,1/2*L19*N19^2),0)</f>
        <v/>
      </c>
      <c r="P19" s="163">
        <f>IFERROR(IF(M19-O19-Q19&lt;=0,0,M19-O19-Q19),0)</f>
        <v/>
      </c>
      <c r="Q19" s="163">
        <f>O19</f>
        <v/>
      </c>
      <c r="R19" s="163">
        <f>IFERROR(IF(M19&lt;((1/2*L19*N19^2)*2),SQRT((M19/2)*2/L19),N19),0)</f>
        <v/>
      </c>
      <c r="S19" s="163">
        <f>IFERROR(P19/K19,0)</f>
        <v/>
      </c>
      <c r="T19" s="163">
        <f>R19</f>
        <v/>
      </c>
      <c r="U19" s="163">
        <f>IF(J19&gt;0,J19,SUM(R19:T19))</f>
        <v/>
      </c>
      <c r="V19" s="163" t="n">
        <v>1</v>
      </c>
      <c r="W19" s="163">
        <f>U19*V19</f>
        <v/>
      </c>
      <c r="Y19" s="160">
        <f>Y18+1</f>
        <v/>
      </c>
      <c r="Z19" s="161" t="inlineStr">
        <is>
          <t>Zippy 30 90 degree Turn</t>
        </is>
      </c>
      <c r="AA19" s="162" t="n"/>
      <c r="AB19" s="163">
        <f>IFERROR(VLOOKUP(Z19,'Master List'!$A:$D,2,0),0)</f>
        <v/>
      </c>
      <c r="AC19" s="163">
        <f>IFERROR(VLOOKUP(Z19,'Master List'!$A:$D,3,0),0)</f>
        <v/>
      </c>
      <c r="AD19" s="163">
        <f>IFERROR(VLOOKUP(Z19,'Master List'!$A:$D,4,0),0)</f>
        <v/>
      </c>
      <c r="AE19" s="163" t="n"/>
      <c r="AF19" s="163">
        <f>IFERROR(AC19/AD19,0)</f>
        <v/>
      </c>
      <c r="AG19" s="163">
        <f>IFERROR(IF(AE19&lt;((1/2*AD19*AF19^2)*2),1/2*AD19*SQRT((AE19/2)*2/AD19)^2,1/2*AD19*AF19^2),0)</f>
        <v/>
      </c>
      <c r="AH19" s="163">
        <f>IFERROR(IF(AE19-AG19-AI19&lt;=0,0,AE19-AG19-AI19),0)</f>
        <v/>
      </c>
      <c r="AI19" s="163">
        <f>AG19</f>
        <v/>
      </c>
      <c r="AJ19" s="163">
        <f>IFERROR(IF(AE19&lt;((1/2*AD19*AF19^2)*2),SQRT((AE19/2)*2/AD19),AF19),0)</f>
        <v/>
      </c>
      <c r="AK19" s="163">
        <f>IFERROR(AH19/AC19,0)</f>
        <v/>
      </c>
      <c r="AL19" s="163">
        <f>AJ19</f>
        <v/>
      </c>
      <c r="AM19" s="163">
        <f>IF(AB19&gt;0,AB19,SUM(AJ19:AL19))</f>
        <v/>
      </c>
      <c r="AN19" s="163" t="n">
        <v>1</v>
      </c>
      <c r="AO19" s="163">
        <f>AM19*AN19</f>
        <v/>
      </c>
      <c r="AQ19" s="160">
        <f>AQ18+1</f>
        <v/>
      </c>
      <c r="AR19" s="161" t="inlineStr">
        <is>
          <t>Zippy 30 90 degree Turn</t>
        </is>
      </c>
      <c r="AS19" s="162" t="n"/>
      <c r="AT19" s="163">
        <f>IFERROR(VLOOKUP(AR19,'Master List'!$A:$D,2,0),0)</f>
        <v/>
      </c>
      <c r="AU19" s="163">
        <f>IFERROR(VLOOKUP(AR19,'Master List'!$A:$D,3,0),0)</f>
        <v/>
      </c>
      <c r="AV19" s="163">
        <f>IFERROR(VLOOKUP(AR19,'Master List'!$A:$D,4,0),0)</f>
        <v/>
      </c>
      <c r="AW19" s="163" t="n"/>
      <c r="AX19" s="163">
        <f>IFERROR(AU19/AV19,0)</f>
        <v/>
      </c>
      <c r="AY19" s="163">
        <f>IFERROR(IF(AW19&lt;((1/2*AV19*AX19^2)*2),1/2*AV19*SQRT((AW19/2)*2/AV19)^2,1/2*AV19*AX19^2),0)</f>
        <v/>
      </c>
      <c r="AZ19" s="163">
        <f>IFERROR(IF(AW19-AY19-BA19&lt;=0,0,AW19-AY19-BA19),0)</f>
        <v/>
      </c>
      <c r="BA19" s="163">
        <f>AY19</f>
        <v/>
      </c>
      <c r="BB19" s="163">
        <f>IFERROR(IF(AW19&lt;((1/2*AV19*AX19^2)*2),SQRT((AW19/2)*2/AV19),AX19),0)</f>
        <v/>
      </c>
      <c r="BC19" s="163">
        <f>IFERROR(AZ19/AU19,0)</f>
        <v/>
      </c>
      <c r="BD19" s="163">
        <f>BB19</f>
        <v/>
      </c>
      <c r="BE19" s="163">
        <f>IF(AT19&gt;0,AT19,SUM(BB19:BD19))</f>
        <v/>
      </c>
      <c r="BF19" s="163" t="n">
        <v>1</v>
      </c>
      <c r="BG19" s="163">
        <f>BE19*BF19</f>
        <v/>
      </c>
      <c r="BI19" s="160">
        <f>BI18+1</f>
        <v/>
      </c>
      <c r="BJ19" s="161" t="inlineStr">
        <is>
          <t>Zippy 30 90 degree Turn</t>
        </is>
      </c>
      <c r="BK19" s="162" t="n"/>
      <c r="BL19" s="163">
        <f>IFERROR(VLOOKUP(BJ19,'Master List'!$A:$D,2,0),0)</f>
        <v/>
      </c>
      <c r="BM19" s="163">
        <f>IFERROR(VLOOKUP(BJ19,'Master List'!$A:$D,3,0),0)</f>
        <v/>
      </c>
      <c r="BN19" s="163">
        <f>IFERROR(VLOOKUP(BJ19,'Master List'!$A:$D,4,0),0)</f>
        <v/>
      </c>
      <c r="BO19" s="163" t="n"/>
      <c r="BP19" s="163">
        <f>IFERROR(BM19/BN19,0)</f>
        <v/>
      </c>
      <c r="BQ19" s="163">
        <f>IFERROR(IF(BO19&lt;((1/2*BN19*BP19^2)*2),1/2*BN19*SQRT((BO19/2)*2/BN19)^2,1/2*BN19*BP19^2),0)</f>
        <v/>
      </c>
      <c r="BR19" s="163">
        <f>IFERROR(IF(BO19-BQ19-BS19&lt;=0,0,BO19-BQ19-BS19),0)</f>
        <v/>
      </c>
      <c r="BS19" s="163">
        <f>BQ19</f>
        <v/>
      </c>
      <c r="BT19" s="163">
        <f>IFERROR(IF(BO19&lt;((1/2*BN19*BP19^2)*2),SQRT((BO19/2)*2/BN19),BP19),0)</f>
        <v/>
      </c>
      <c r="BU19" s="163">
        <f>IFERROR(BR19/BM19,0)</f>
        <v/>
      </c>
      <c r="BV19" s="163">
        <f>BT19</f>
        <v/>
      </c>
      <c r="BW19" s="163">
        <f>IF(BL19&gt;0,BL19,SUM(BT19:BV19))</f>
        <v/>
      </c>
      <c r="BX19" s="163" t="n">
        <v>1</v>
      </c>
      <c r="BY19" s="163">
        <f>BW19*BX19</f>
        <v/>
      </c>
    </row>
    <row r="20">
      <c r="A20" s="33" t="n"/>
      <c r="B20" s="34" t="inlineStr">
        <is>
          <t>% of distance travelled in X direction</t>
        </is>
      </c>
      <c r="C20" s="34" t="inlineStr">
        <is>
          <t>Distance travelled m</t>
        </is>
      </c>
      <c r="D20" s="34" t="inlineStr">
        <is>
          <t>Cycles/ Hr</t>
        </is>
      </c>
      <c r="E20" s="34" t="inlineStr">
        <is>
          <t>Weightage</t>
        </is>
      </c>
      <c r="G20" s="160">
        <f>G19+1</f>
        <v/>
      </c>
      <c r="H20" s="161" t="inlineStr">
        <is>
          <t>Zippy 30 Running</t>
        </is>
      </c>
      <c r="I20" s="162" t="inlineStr">
        <is>
          <t>Distance travlled to come back to induction station in Y direction</t>
        </is>
      </c>
      <c r="J20" s="163">
        <f>IFERROR(VLOOKUP(H20,'Master List'!$A:$D,2,0),0)</f>
        <v/>
      </c>
      <c r="K20" s="163">
        <f>IFERROR(VLOOKUP(H20,'Master List'!$A:$D,3,0),0)</f>
        <v/>
      </c>
      <c r="L20" s="163">
        <f>IFERROR(VLOOKUP(H20,'Master List'!$A:$D,4,0),0)</f>
        <v/>
      </c>
      <c r="M20" s="163">
        <f>$M$15+M24</f>
        <v/>
      </c>
      <c r="N20" s="163">
        <f>IFERROR(K20/L20,0)</f>
        <v/>
      </c>
      <c r="O20" s="163">
        <f>IFERROR(IF(M20&lt;((1/2*L20*N20^2)*2),1/2*L20*SQRT((M20/2)*2/L20)^2,1/2*L20*N20^2),0)</f>
        <v/>
      </c>
      <c r="P20" s="163">
        <f>IFERROR(IF(M20-O20-Q20&lt;=0,0,M20-O20-Q20),0)</f>
        <v/>
      </c>
      <c r="Q20" s="163">
        <f>O20</f>
        <v/>
      </c>
      <c r="R20" s="163">
        <f>IFERROR(IF(M20&lt;((1/2*L20*N20^2)*2),SQRT((M20/2)*2/L20),N20),0)</f>
        <v/>
      </c>
      <c r="S20" s="163">
        <f>IFERROR(P20/K20,0)</f>
        <v/>
      </c>
      <c r="T20" s="163">
        <f>R20</f>
        <v/>
      </c>
      <c r="U20" s="163">
        <f>IF(J20&gt;0,J20,SUM(R20:T20))</f>
        <v/>
      </c>
      <c r="V20" s="163" t="n">
        <v>1</v>
      </c>
      <c r="W20" s="163">
        <f>U20*V20</f>
        <v/>
      </c>
      <c r="Y20" s="160">
        <f>Y19+1</f>
        <v/>
      </c>
      <c r="Z20" s="161" t="inlineStr">
        <is>
          <t>Zippy 30 Running</t>
        </is>
      </c>
      <c r="AA20" s="162" t="n"/>
      <c r="AB20" s="163">
        <f>IFERROR(VLOOKUP(Z20,'Master List'!$A:$D,2,0),0)</f>
        <v/>
      </c>
      <c r="AC20" s="163">
        <f>IFERROR(VLOOKUP(Z20,'Master List'!$A:$D,3,0),0)</f>
        <v/>
      </c>
      <c r="AD20" s="163">
        <f>IFERROR(VLOOKUP(Z20,'Master List'!$A:$D,4,0),0)</f>
        <v/>
      </c>
      <c r="AE20" s="163">
        <f>AE15+AE24</f>
        <v/>
      </c>
      <c r="AF20" s="163">
        <f>IFERROR(AC20/AD20,0)</f>
        <v/>
      </c>
      <c r="AG20" s="163">
        <f>IFERROR(IF(AE20&lt;((1/2*AD20*AF20^2)*2),1/2*AD20*SQRT((AE20/2)*2/AD20)^2,1/2*AD20*AF20^2),0)</f>
        <v/>
      </c>
      <c r="AH20" s="163">
        <f>IFERROR(IF(AE20-AG20-AI20&lt;=0,0,AE20-AG20-AI20),0)</f>
        <v/>
      </c>
      <c r="AI20" s="163">
        <f>AG20</f>
        <v/>
      </c>
      <c r="AJ20" s="163">
        <f>IFERROR(IF(AE20&lt;((1/2*AD20*AF20^2)*2),SQRT((AE20/2)*2/AD20),AF20),0)</f>
        <v/>
      </c>
      <c r="AK20" s="163">
        <f>IFERROR(AH20/AC20,0)</f>
        <v/>
      </c>
      <c r="AL20" s="163">
        <f>AJ20</f>
        <v/>
      </c>
      <c r="AM20" s="163">
        <f>IF(AB20&gt;0,AB20,SUM(AJ20:AL20))</f>
        <v/>
      </c>
      <c r="AN20" s="163" t="n">
        <v>1</v>
      </c>
      <c r="AO20" s="163">
        <f>AM20*AN20</f>
        <v/>
      </c>
      <c r="AQ20" s="160">
        <f>AQ19+1</f>
        <v/>
      </c>
      <c r="AR20" s="161" t="inlineStr">
        <is>
          <t>Zippy 30 Running</t>
        </is>
      </c>
      <c r="AS20" s="162" t="n"/>
      <c r="AT20" s="163">
        <f>IFERROR(VLOOKUP(AR20,'Master List'!$A:$D,2,0),0)</f>
        <v/>
      </c>
      <c r="AU20" s="163">
        <f>IFERROR(VLOOKUP(AR20,'Master List'!$A:$D,3,0),0)</f>
        <v/>
      </c>
      <c r="AV20" s="163">
        <f>IFERROR(VLOOKUP(AR20,'Master List'!$A:$D,4,0),0)</f>
        <v/>
      </c>
      <c r="AW20" s="163">
        <f>AW15+AW24</f>
        <v/>
      </c>
      <c r="AX20" s="163">
        <f>IFERROR(AU20/AV20,0)</f>
        <v/>
      </c>
      <c r="AY20" s="163">
        <f>IFERROR(IF(AW20&lt;((1/2*AV20*AX20^2)*2),1/2*AV20*SQRT((AW20/2)*2/AV20)^2,1/2*AV20*AX20^2),0)</f>
        <v/>
      </c>
      <c r="AZ20" s="163">
        <f>IFERROR(IF(AW20-AY20-BA20&lt;=0,0,AW20-AY20-BA20),0)</f>
        <v/>
      </c>
      <c r="BA20" s="163">
        <f>AY20</f>
        <v/>
      </c>
      <c r="BB20" s="163">
        <f>IFERROR(IF(AW20&lt;((1/2*AV20*AX20^2)*2),SQRT((AW20/2)*2/AV20),AX20),0)</f>
        <v/>
      </c>
      <c r="BC20" s="163">
        <f>IFERROR(AZ20/AU20,0)</f>
        <v/>
      </c>
      <c r="BD20" s="163">
        <f>BB20</f>
        <v/>
      </c>
      <c r="BE20" s="163">
        <f>IF(AT20&gt;0,AT20,SUM(BB20:BD20))</f>
        <v/>
      </c>
      <c r="BF20" s="163" t="n">
        <v>1</v>
      </c>
      <c r="BG20" s="163">
        <f>BE20*BF20</f>
        <v/>
      </c>
      <c r="BI20" s="160">
        <f>BI19+1</f>
        <v/>
      </c>
      <c r="BJ20" s="161" t="inlineStr">
        <is>
          <t>Zippy 30 Running</t>
        </is>
      </c>
      <c r="BK20" s="162" t="n"/>
      <c r="BL20" s="163">
        <f>IFERROR(VLOOKUP(BJ20,'Master List'!$A:$D,2,0),0)</f>
        <v/>
      </c>
      <c r="BM20" s="163">
        <f>IFERROR(VLOOKUP(BJ20,'Master List'!$A:$D,3,0),0)</f>
        <v/>
      </c>
      <c r="BN20" s="163">
        <f>IFERROR(VLOOKUP(BJ20,'Master List'!$A:$D,4,0),0)</f>
        <v/>
      </c>
      <c r="BO20" s="163">
        <f>BO15+BO24</f>
        <v/>
      </c>
      <c r="BP20" s="163">
        <f>IFERROR(BM20/BN20,0)</f>
        <v/>
      </c>
      <c r="BQ20" s="163">
        <f>IFERROR(IF(BO20&lt;((1/2*BN20*BP20^2)*2),1/2*BN20*SQRT((BO20/2)*2/BN20)^2,1/2*BN20*BP20^2),0)</f>
        <v/>
      </c>
      <c r="BR20" s="163">
        <f>IFERROR(IF(BO20-BQ20-BS20&lt;=0,0,BO20-BQ20-BS20),0)</f>
        <v/>
      </c>
      <c r="BS20" s="163">
        <f>BQ20</f>
        <v/>
      </c>
      <c r="BT20" s="163">
        <f>IFERROR(IF(BO20&lt;((1/2*BN20*BP20^2)*2),SQRT((BO20/2)*2/BN20),BP20),0)</f>
        <v/>
      </c>
      <c r="BU20" s="163">
        <f>IFERROR(BR20/BM20,0)</f>
        <v/>
      </c>
      <c r="BV20" s="163">
        <f>BT20</f>
        <v/>
      </c>
      <c r="BW20" s="163">
        <f>IF(BL20&gt;0,BL20,SUM(BT20:BV20))</f>
        <v/>
      </c>
      <c r="BX20" s="163" t="n">
        <v>1</v>
      </c>
      <c r="BY20" s="163">
        <f>BW20*BX20</f>
        <v/>
      </c>
    </row>
    <row r="21" ht="15" customHeight="1" s="516">
      <c r="A21" s="33">
        <f>"Single cycle - Near "&amp;C21&amp;" m"</f>
        <v/>
      </c>
      <c r="B21" s="56" t="n">
        <v>0.1</v>
      </c>
      <c r="C21" s="33">
        <f>B21*$D$12</f>
        <v/>
      </c>
      <c r="D21" s="25">
        <f>W6</f>
        <v/>
      </c>
      <c r="E21" s="36">
        <f>95%/3</f>
        <v/>
      </c>
      <c r="G21" s="160">
        <f>G20+1</f>
        <v/>
      </c>
      <c r="H21" s="161" t="inlineStr">
        <is>
          <t>Zippy 30 90 degree Turn</t>
        </is>
      </c>
      <c r="I21" s="162" t="inlineStr">
        <is>
          <t>Turn towards X direction</t>
        </is>
      </c>
      <c r="J21" s="163">
        <f>IFERROR(VLOOKUP(H21,'Master List'!$A:$D,2,0),0)</f>
        <v/>
      </c>
      <c r="K21" s="163">
        <f>IFERROR(VLOOKUP(H21,'Master List'!$A:$D,3,0),0)</f>
        <v/>
      </c>
      <c r="L21" s="163">
        <f>IFERROR(VLOOKUP(H21,'Master List'!$A:$D,4,0),0)</f>
        <v/>
      </c>
      <c r="M21" s="163" t="n"/>
      <c r="N21" s="163">
        <f>IFERROR(K21/L21,0)</f>
        <v/>
      </c>
      <c r="O21" s="163">
        <f>IFERROR(IF(M21&lt;((1/2*L21*N21^2)*2),1/2*L21*SQRT((M21/2)*2/L21)^2,1/2*L21*N21^2),0)</f>
        <v/>
      </c>
      <c r="P21" s="163">
        <f>IFERROR(IF(M21-O21-Q21&lt;=0,0,M21-O21-Q21),0)</f>
        <v/>
      </c>
      <c r="Q21" s="163">
        <f>O21</f>
        <v/>
      </c>
      <c r="R21" s="163">
        <f>IFERROR(IF(M21&lt;((1/2*L21*N21^2)*2),SQRT((M21/2)*2/L21),N21),0)</f>
        <v/>
      </c>
      <c r="S21" s="163">
        <f>IFERROR(P21/K21,0)</f>
        <v/>
      </c>
      <c r="T21" s="163">
        <f>R21</f>
        <v/>
      </c>
      <c r="U21" s="163">
        <f>IF(J21&gt;0,J21,SUM(R21:T21))</f>
        <v/>
      </c>
      <c r="V21" s="163" t="n">
        <v>1</v>
      </c>
      <c r="W21" s="163">
        <f>U21*V21</f>
        <v/>
      </c>
      <c r="Y21" s="160">
        <f>Y20+1</f>
        <v/>
      </c>
      <c r="Z21" s="161" t="inlineStr">
        <is>
          <t>Zippy 30 90 degree Turn</t>
        </is>
      </c>
      <c r="AA21" s="162" t="n"/>
      <c r="AB21" s="163">
        <f>IFERROR(VLOOKUP(Z21,'Master List'!$A:$D,2,0),0)</f>
        <v/>
      </c>
      <c r="AC21" s="163">
        <f>IFERROR(VLOOKUP(Z21,'Master List'!$A:$D,3,0),0)</f>
        <v/>
      </c>
      <c r="AD21" s="163">
        <f>IFERROR(VLOOKUP(Z21,'Master List'!$A:$D,4,0),0)</f>
        <v/>
      </c>
      <c r="AE21" s="163" t="n"/>
      <c r="AF21" s="163">
        <f>IFERROR(AC21/AD21,0)</f>
        <v/>
      </c>
      <c r="AG21" s="163">
        <f>IFERROR(IF(AE21&lt;((1/2*AD21*AF21^2)*2),1/2*AD21*SQRT((AE21/2)*2/AD21)^2,1/2*AD21*AF21^2),0)</f>
        <v/>
      </c>
      <c r="AH21" s="163">
        <f>IFERROR(IF(AE21-AG21-AI21&lt;=0,0,AE21-AG21-AI21),0)</f>
        <v/>
      </c>
      <c r="AI21" s="163">
        <f>AG21</f>
        <v/>
      </c>
      <c r="AJ21" s="163">
        <f>IFERROR(IF(AE21&lt;((1/2*AD21*AF21^2)*2),SQRT((AE21/2)*2/AD21),AF21),0)</f>
        <v/>
      </c>
      <c r="AK21" s="163">
        <f>IFERROR(AH21/AC21,0)</f>
        <v/>
      </c>
      <c r="AL21" s="163">
        <f>AJ21</f>
        <v/>
      </c>
      <c r="AM21" s="163">
        <f>IF(AB21&gt;0,AB21,SUM(AJ21:AL21))</f>
        <v/>
      </c>
      <c r="AN21" s="163" t="n">
        <v>1</v>
      </c>
      <c r="AO21" s="163">
        <f>AM21*AN21</f>
        <v/>
      </c>
      <c r="AQ21" s="160">
        <f>AQ20+1</f>
        <v/>
      </c>
      <c r="AR21" s="161" t="inlineStr">
        <is>
          <t>Zippy 30 90 degree Turn</t>
        </is>
      </c>
      <c r="AS21" s="162" t="n"/>
      <c r="AT21" s="163">
        <f>IFERROR(VLOOKUP(AR21,'Master List'!$A:$D,2,0),0)</f>
        <v/>
      </c>
      <c r="AU21" s="163">
        <f>IFERROR(VLOOKUP(AR21,'Master List'!$A:$D,3,0),0)</f>
        <v/>
      </c>
      <c r="AV21" s="163">
        <f>IFERROR(VLOOKUP(AR21,'Master List'!$A:$D,4,0),0)</f>
        <v/>
      </c>
      <c r="AW21" s="163" t="n"/>
      <c r="AX21" s="163">
        <f>IFERROR(AU21/AV21,0)</f>
        <v/>
      </c>
      <c r="AY21" s="163">
        <f>IFERROR(IF(AW21&lt;((1/2*AV21*AX21^2)*2),1/2*AV21*SQRT((AW21/2)*2/AV21)^2,1/2*AV21*AX21^2),0)</f>
        <v/>
      </c>
      <c r="AZ21" s="163">
        <f>IFERROR(IF(AW21-AY21-BA21&lt;=0,0,AW21-AY21-BA21),0)</f>
        <v/>
      </c>
      <c r="BA21" s="163">
        <f>AY21</f>
        <v/>
      </c>
      <c r="BB21" s="163">
        <f>IFERROR(IF(AW21&lt;((1/2*AV21*AX21^2)*2),SQRT((AW21/2)*2/AV21),AX21),0)</f>
        <v/>
      </c>
      <c r="BC21" s="163">
        <f>IFERROR(AZ21/AU21,0)</f>
        <v/>
      </c>
      <c r="BD21" s="163">
        <f>BB21</f>
        <v/>
      </c>
      <c r="BE21" s="163">
        <f>IF(AT21&gt;0,AT21,SUM(BB21:BD21))</f>
        <v/>
      </c>
      <c r="BF21" s="163" t="n">
        <v>1</v>
      </c>
      <c r="BG21" s="163">
        <f>BE21*BF21</f>
        <v/>
      </c>
      <c r="BI21" s="160">
        <f>BI20+1</f>
        <v/>
      </c>
      <c r="BJ21" s="161" t="inlineStr">
        <is>
          <t>Zippy 30 90 degree Turn</t>
        </is>
      </c>
      <c r="BK21" s="162" t="n"/>
      <c r="BL21" s="163">
        <f>IFERROR(VLOOKUP(BJ21,'Master List'!$A:$D,2,0),0)</f>
        <v/>
      </c>
      <c r="BM21" s="163">
        <f>IFERROR(VLOOKUP(BJ21,'Master List'!$A:$D,3,0),0)</f>
        <v/>
      </c>
      <c r="BN21" s="163">
        <f>IFERROR(VLOOKUP(BJ21,'Master List'!$A:$D,4,0),0)</f>
        <v/>
      </c>
      <c r="BO21" s="163" t="n"/>
      <c r="BP21" s="163">
        <f>IFERROR(BM21/BN21,0)</f>
        <v/>
      </c>
      <c r="BQ21" s="163">
        <f>IFERROR(IF(BO21&lt;((1/2*BN21*BP21^2)*2),1/2*BN21*SQRT((BO21/2)*2/BN21)^2,1/2*BN21*BP21^2),0)</f>
        <v/>
      </c>
      <c r="BR21" s="163">
        <f>IFERROR(IF(BO21-BQ21-BS21&lt;=0,0,BO21-BQ21-BS21),0)</f>
        <v/>
      </c>
      <c r="BS21" s="163">
        <f>BQ21</f>
        <v/>
      </c>
      <c r="BT21" s="163">
        <f>IFERROR(IF(BO21&lt;((1/2*BN21*BP21^2)*2),SQRT((BO21/2)*2/BN21),BP21),0)</f>
        <v/>
      </c>
      <c r="BU21" s="163">
        <f>IFERROR(BR21/BM21,0)</f>
        <v/>
      </c>
      <c r="BV21" s="163">
        <f>BT21</f>
        <v/>
      </c>
      <c r="BW21" s="163">
        <f>IF(BL21&gt;0,BL21,SUM(BT21:BV21))</f>
        <v/>
      </c>
      <c r="BX21" s="163" t="n">
        <v>1</v>
      </c>
      <c r="BY21" s="163">
        <f>BW21*BX21</f>
        <v/>
      </c>
    </row>
    <row r="22" ht="15" customHeight="1" s="516">
      <c r="A22" s="33">
        <f>"Single cycle - Mid "&amp;C22&amp;" m"</f>
        <v/>
      </c>
      <c r="B22" s="56" t="n">
        <v>0.2</v>
      </c>
      <c r="C22" s="33">
        <f>B22*$D$12</f>
        <v/>
      </c>
      <c r="D22" s="25">
        <f>AO6</f>
        <v/>
      </c>
      <c r="E22" s="36">
        <f>95%/3</f>
        <v/>
      </c>
      <c r="G22" s="160">
        <f>G21+1</f>
        <v/>
      </c>
      <c r="H22" s="161" t="inlineStr">
        <is>
          <t>Zippy 30 Running</t>
        </is>
      </c>
      <c r="I22" s="162" t="inlineStr">
        <is>
          <t>Distance travelled to move towards induction station</t>
        </is>
      </c>
      <c r="J22" s="163">
        <f>IFERROR(VLOOKUP(H22,'Master List'!$A:$D,2,0),0)</f>
        <v/>
      </c>
      <c r="K22" s="163">
        <f>IFERROR(VLOOKUP(H22,'Master List'!$A:$D,3,0),0)</f>
        <v/>
      </c>
      <c r="L22" s="163">
        <f>IFERROR(VLOOKUP(H22,'Master List'!$A:$D,4,0),0)</f>
        <v/>
      </c>
      <c r="M22" s="163">
        <f>$M$13</f>
        <v/>
      </c>
      <c r="N22" s="163">
        <f>IFERROR(K22/L22,0)</f>
        <v/>
      </c>
      <c r="O22" s="163">
        <f>IFERROR(IF(M22&lt;((1/2*L22*N22^2)*2),1/2*L22*SQRT((M22/2)*2/L22)^2,1/2*L22*N22^2),0)</f>
        <v/>
      </c>
      <c r="P22" s="163">
        <f>IFERROR(IF(M22-O22-Q22&lt;=0,0,M22-O22-Q22),0)</f>
        <v/>
      </c>
      <c r="Q22" s="163">
        <f>O22</f>
        <v/>
      </c>
      <c r="R22" s="163">
        <f>IFERROR(IF(M22&lt;((1/2*L22*N22^2)*2),SQRT((M22/2)*2/L22),N22),0)</f>
        <v/>
      </c>
      <c r="S22" s="163">
        <f>IFERROR(P22/K22,0)</f>
        <v/>
      </c>
      <c r="T22" s="163">
        <f>R22</f>
        <v/>
      </c>
      <c r="U22" s="163">
        <f>IF(J22&gt;0,J22,SUM(R22:T22))</f>
        <v/>
      </c>
      <c r="V22" s="163" t="n">
        <v>1</v>
      </c>
      <c r="W22" s="163">
        <f>U22*V22</f>
        <v/>
      </c>
      <c r="Y22" s="160">
        <f>Y21+1</f>
        <v/>
      </c>
      <c r="Z22" s="161" t="inlineStr">
        <is>
          <t>Zippy 30 Running</t>
        </is>
      </c>
      <c r="AA22" s="162" t="n"/>
      <c r="AB22" s="163">
        <f>IFERROR(VLOOKUP(Z22,'Master List'!$A:$D,2,0),0)</f>
        <v/>
      </c>
      <c r="AC22" s="163">
        <f>IFERROR(VLOOKUP(Z22,'Master List'!$A:$D,3,0),0)</f>
        <v/>
      </c>
      <c r="AD22" s="163">
        <f>IFERROR(VLOOKUP(Z22,'Master List'!$A:$D,4,0),0)</f>
        <v/>
      </c>
      <c r="AE22" s="163">
        <f>AE13</f>
        <v/>
      </c>
      <c r="AF22" s="163">
        <f>IFERROR(AC22/AD22,0)</f>
        <v/>
      </c>
      <c r="AG22" s="163">
        <f>IFERROR(IF(AE22&lt;((1/2*AD22*AF22^2)*2),1/2*AD22*SQRT((AE22/2)*2/AD22)^2,1/2*AD22*AF22^2),0)</f>
        <v/>
      </c>
      <c r="AH22" s="163">
        <f>IFERROR(IF(AE22-AG22-AI22&lt;=0,0,AE22-AG22-AI22),0)</f>
        <v/>
      </c>
      <c r="AI22" s="163">
        <f>AG22</f>
        <v/>
      </c>
      <c r="AJ22" s="163">
        <f>IFERROR(IF(AE22&lt;((1/2*AD22*AF22^2)*2),SQRT((AE22/2)*2/AD22),AF22),0)</f>
        <v/>
      </c>
      <c r="AK22" s="163">
        <f>IFERROR(AH22/AC22,0)</f>
        <v/>
      </c>
      <c r="AL22" s="163">
        <f>AJ22</f>
        <v/>
      </c>
      <c r="AM22" s="163">
        <f>IF(AB22&gt;0,AB22,SUM(AJ22:AL22))</f>
        <v/>
      </c>
      <c r="AN22" s="163" t="n">
        <v>1</v>
      </c>
      <c r="AO22" s="163">
        <f>AM22*AN22</f>
        <v/>
      </c>
      <c r="AQ22" s="160">
        <f>AQ21+1</f>
        <v/>
      </c>
      <c r="AR22" s="161" t="inlineStr">
        <is>
          <t>Zippy 30 Running</t>
        </is>
      </c>
      <c r="AS22" s="162" t="n"/>
      <c r="AT22" s="163">
        <f>IFERROR(VLOOKUP(AR22,'Master List'!$A:$D,2,0),0)</f>
        <v/>
      </c>
      <c r="AU22" s="163">
        <f>IFERROR(VLOOKUP(AR22,'Master List'!$A:$D,3,0),0)</f>
        <v/>
      </c>
      <c r="AV22" s="163">
        <f>IFERROR(VLOOKUP(AR22,'Master List'!$A:$D,4,0),0)</f>
        <v/>
      </c>
      <c r="AW22" s="163">
        <f>AW13</f>
        <v/>
      </c>
      <c r="AX22" s="163">
        <f>IFERROR(AU22/AV22,0)</f>
        <v/>
      </c>
      <c r="AY22" s="163">
        <f>IFERROR(IF(AW22&lt;((1/2*AV22*AX22^2)*2),1/2*AV22*SQRT((AW22/2)*2/AV22)^2,1/2*AV22*AX22^2),0)</f>
        <v/>
      </c>
      <c r="AZ22" s="163">
        <f>IFERROR(IF(AW22-AY22-BA22&lt;=0,0,AW22-AY22-BA22),0)</f>
        <v/>
      </c>
      <c r="BA22" s="163">
        <f>AY22</f>
        <v/>
      </c>
      <c r="BB22" s="163">
        <f>IFERROR(IF(AW22&lt;((1/2*AV22*AX22^2)*2),SQRT((AW22/2)*2/AV22),AX22),0)</f>
        <v/>
      </c>
      <c r="BC22" s="163">
        <f>IFERROR(AZ22/AU22,0)</f>
        <v/>
      </c>
      <c r="BD22" s="163">
        <f>BB22</f>
        <v/>
      </c>
      <c r="BE22" s="163">
        <f>IF(AT22&gt;0,AT22,SUM(BB22:BD22))</f>
        <v/>
      </c>
      <c r="BF22" s="163" t="n">
        <v>1</v>
      </c>
      <c r="BG22" s="163">
        <f>BE22*BF22</f>
        <v/>
      </c>
      <c r="BI22" s="160">
        <f>BI21+1</f>
        <v/>
      </c>
      <c r="BJ22" s="161" t="inlineStr">
        <is>
          <t>Zippy 30 Running</t>
        </is>
      </c>
      <c r="BK22" s="162" t="n"/>
      <c r="BL22" s="163">
        <f>IFERROR(VLOOKUP(BJ22,'Master List'!$A:$D,2,0),0)</f>
        <v/>
      </c>
      <c r="BM22" s="163">
        <f>IFERROR(VLOOKUP(BJ22,'Master List'!$A:$D,3,0),0)</f>
        <v/>
      </c>
      <c r="BN22" s="163">
        <f>IFERROR(VLOOKUP(BJ22,'Master List'!$A:$D,4,0),0)</f>
        <v/>
      </c>
      <c r="BO22" s="163">
        <f>BO13</f>
        <v/>
      </c>
      <c r="BP22" s="163">
        <f>IFERROR(BM22/BN22,0)</f>
        <v/>
      </c>
      <c r="BQ22" s="163">
        <f>IFERROR(IF(BO22&lt;((1/2*BN22*BP22^2)*2),1/2*BN22*SQRT((BO22/2)*2/BN22)^2,1/2*BN22*BP22^2),0)</f>
        <v/>
      </c>
      <c r="BR22" s="163">
        <f>IFERROR(IF(BO22-BQ22-BS22&lt;=0,0,BO22-BQ22-BS22),0)</f>
        <v/>
      </c>
      <c r="BS22" s="163">
        <f>BQ22</f>
        <v/>
      </c>
      <c r="BT22" s="163">
        <f>IFERROR(IF(BO22&lt;((1/2*BN22*BP22^2)*2),SQRT((BO22/2)*2/BN22),BP22),0)</f>
        <v/>
      </c>
      <c r="BU22" s="163">
        <f>IFERROR(BR22/BM22,0)</f>
        <v/>
      </c>
      <c r="BV22" s="163">
        <f>BT22</f>
        <v/>
      </c>
      <c r="BW22" s="163">
        <f>IF(BL22&gt;0,BL22,SUM(BT22:BV22))</f>
        <v/>
      </c>
      <c r="BX22" s="163" t="n">
        <v>1</v>
      </c>
      <c r="BY22" s="163">
        <f>BW22*BX22</f>
        <v/>
      </c>
    </row>
    <row r="23" ht="15" customHeight="1" s="516">
      <c r="A23" s="33">
        <f>"Single cycle - Far "&amp;C23&amp;" m"</f>
        <v/>
      </c>
      <c r="B23" s="56" t="n">
        <v>0.5</v>
      </c>
      <c r="C23" s="33">
        <f>B23*$D$12</f>
        <v/>
      </c>
      <c r="D23" s="25">
        <f>BG6</f>
        <v/>
      </c>
      <c r="E23" s="36">
        <f>95%/3</f>
        <v/>
      </c>
      <c r="G23" s="160">
        <f>G22+1</f>
        <v/>
      </c>
      <c r="H23" s="161" t="inlineStr">
        <is>
          <t>Zippy 30 90 degree Turn</t>
        </is>
      </c>
      <c r="I23" s="162" t="inlineStr">
        <is>
          <t>Turn to get in queue of induction</t>
        </is>
      </c>
      <c r="J23" s="163">
        <f>IFERROR(VLOOKUP(H23,'Master List'!$A:$D,2,0),0)</f>
        <v/>
      </c>
      <c r="K23" s="163">
        <f>IFERROR(VLOOKUP(H23,'Master List'!$A:$D,3,0),0)</f>
        <v/>
      </c>
      <c r="L23" s="163">
        <f>IFERROR(VLOOKUP(H23,'Master List'!$A:$D,4,0),0)</f>
        <v/>
      </c>
      <c r="M23" s="163" t="n"/>
      <c r="N23" s="163">
        <f>IFERROR(K23/L23,0)</f>
        <v/>
      </c>
      <c r="O23" s="163">
        <f>IFERROR(IF(M23&lt;((1/2*L23*N23^2)*2),1/2*L23*SQRT((M23/2)*2/L23)^2,1/2*L23*N23^2),0)</f>
        <v/>
      </c>
      <c r="P23" s="163">
        <f>IFERROR(IF(M23-O23-Q23&lt;=0,0,M23-O23-Q23),0)</f>
        <v/>
      </c>
      <c r="Q23" s="163">
        <f>O23</f>
        <v/>
      </c>
      <c r="R23" s="163">
        <f>IFERROR(IF(M23&lt;((1/2*L23*N23^2)*2),SQRT((M23/2)*2/L23),N23),0)</f>
        <v/>
      </c>
      <c r="S23" s="163">
        <f>IFERROR(P23/K23,0)</f>
        <v/>
      </c>
      <c r="T23" s="163">
        <f>R23</f>
        <v/>
      </c>
      <c r="U23" s="163">
        <f>IF(J23&gt;0,J23,SUM(R23:T23))</f>
        <v/>
      </c>
      <c r="V23" s="163" t="n">
        <v>1</v>
      </c>
      <c r="W23" s="163">
        <f>U23*V23</f>
        <v/>
      </c>
      <c r="Y23" s="160">
        <f>Y22+1</f>
        <v/>
      </c>
      <c r="Z23" s="161" t="inlineStr">
        <is>
          <t>Zippy 30 90 degree Turn</t>
        </is>
      </c>
      <c r="AA23" s="162" t="n"/>
      <c r="AB23" s="163">
        <f>IFERROR(VLOOKUP(Z23,'Master List'!$A:$D,2,0),0)</f>
        <v/>
      </c>
      <c r="AC23" s="163">
        <f>IFERROR(VLOOKUP(Z23,'Master List'!$A:$D,3,0),0)</f>
        <v/>
      </c>
      <c r="AD23" s="163">
        <f>IFERROR(VLOOKUP(Z23,'Master List'!$A:$D,4,0),0)</f>
        <v/>
      </c>
      <c r="AE23" s="163" t="n"/>
      <c r="AF23" s="163">
        <f>IFERROR(AC23/AD23,0)</f>
        <v/>
      </c>
      <c r="AG23" s="163">
        <f>IFERROR(IF(AE23&lt;((1/2*AD23*AF23^2)*2),1/2*AD23*SQRT((AE23/2)*2/AD23)^2,1/2*AD23*AF23^2),0)</f>
        <v/>
      </c>
      <c r="AH23" s="163">
        <f>IFERROR(IF(AE23-AG23-AI23&lt;=0,0,AE23-AG23-AI23),0)</f>
        <v/>
      </c>
      <c r="AI23" s="163">
        <f>AG23</f>
        <v/>
      </c>
      <c r="AJ23" s="163">
        <f>IFERROR(IF(AE23&lt;((1/2*AD23*AF23^2)*2),SQRT((AE23/2)*2/AD23),AF23),0)</f>
        <v/>
      </c>
      <c r="AK23" s="163">
        <f>IFERROR(AH23/AC23,0)</f>
        <v/>
      </c>
      <c r="AL23" s="163">
        <f>AJ23</f>
        <v/>
      </c>
      <c r="AM23" s="163">
        <f>IF(AB23&gt;0,AB23,SUM(AJ23:AL23))</f>
        <v/>
      </c>
      <c r="AN23" s="163" t="n">
        <v>1</v>
      </c>
      <c r="AO23" s="163">
        <f>AM23*AN23</f>
        <v/>
      </c>
      <c r="AQ23" s="160">
        <f>AQ22+1</f>
        <v/>
      </c>
      <c r="AR23" s="161" t="inlineStr">
        <is>
          <t>Zippy 30 90 degree Turn</t>
        </is>
      </c>
      <c r="AS23" s="162" t="n"/>
      <c r="AT23" s="163">
        <f>IFERROR(VLOOKUP(AR23,'Master List'!$A:$D,2,0),0)</f>
        <v/>
      </c>
      <c r="AU23" s="163">
        <f>IFERROR(VLOOKUP(AR23,'Master List'!$A:$D,3,0),0)</f>
        <v/>
      </c>
      <c r="AV23" s="163">
        <f>IFERROR(VLOOKUP(AR23,'Master List'!$A:$D,4,0),0)</f>
        <v/>
      </c>
      <c r="AW23" s="163" t="n"/>
      <c r="AX23" s="163">
        <f>IFERROR(AU23/AV23,0)</f>
        <v/>
      </c>
      <c r="AY23" s="163">
        <f>IFERROR(IF(AW23&lt;((1/2*AV23*AX23^2)*2),1/2*AV23*SQRT((AW23/2)*2/AV23)^2,1/2*AV23*AX23^2),0)</f>
        <v/>
      </c>
      <c r="AZ23" s="163">
        <f>IFERROR(IF(AW23-AY23-BA23&lt;=0,0,AW23-AY23-BA23),0)</f>
        <v/>
      </c>
      <c r="BA23" s="163">
        <f>AY23</f>
        <v/>
      </c>
      <c r="BB23" s="163">
        <f>IFERROR(IF(AW23&lt;((1/2*AV23*AX23^2)*2),SQRT((AW23/2)*2/AV23),AX23),0)</f>
        <v/>
      </c>
      <c r="BC23" s="163">
        <f>IFERROR(AZ23/AU23,0)</f>
        <v/>
      </c>
      <c r="BD23" s="163">
        <f>BB23</f>
        <v/>
      </c>
      <c r="BE23" s="163">
        <f>IF(AT23&gt;0,AT23,SUM(BB23:BD23))</f>
        <v/>
      </c>
      <c r="BF23" s="163" t="n">
        <v>1</v>
      </c>
      <c r="BG23" s="163">
        <f>BE23*BF23</f>
        <v/>
      </c>
      <c r="BI23" s="160">
        <f>BI22+1</f>
        <v/>
      </c>
      <c r="BJ23" s="161" t="inlineStr">
        <is>
          <t>Zippy 30 90 degree Turn</t>
        </is>
      </c>
      <c r="BK23" s="162" t="n"/>
      <c r="BL23" s="163">
        <f>IFERROR(VLOOKUP(BJ23,'Master List'!$A:$D,2,0),0)</f>
        <v/>
      </c>
      <c r="BM23" s="163">
        <f>IFERROR(VLOOKUP(BJ23,'Master List'!$A:$D,3,0),0)</f>
        <v/>
      </c>
      <c r="BN23" s="163">
        <f>IFERROR(VLOOKUP(BJ23,'Master List'!$A:$D,4,0),0)</f>
        <v/>
      </c>
      <c r="BO23" s="163" t="n"/>
      <c r="BP23" s="163">
        <f>IFERROR(BM23/BN23,0)</f>
        <v/>
      </c>
      <c r="BQ23" s="163">
        <f>IFERROR(IF(BO23&lt;((1/2*BN23*BP23^2)*2),1/2*BN23*SQRT((BO23/2)*2/BN23)^2,1/2*BN23*BP23^2),0)</f>
        <v/>
      </c>
      <c r="BR23" s="163">
        <f>IFERROR(IF(BO23-BQ23-BS23&lt;=0,0,BO23-BQ23-BS23),0)</f>
        <v/>
      </c>
      <c r="BS23" s="163">
        <f>BQ23</f>
        <v/>
      </c>
      <c r="BT23" s="163">
        <f>IFERROR(IF(BO23&lt;((1/2*BN23*BP23^2)*2),SQRT((BO23/2)*2/BN23),BP23),0)</f>
        <v/>
      </c>
      <c r="BU23" s="163">
        <f>IFERROR(BR23/BM23,0)</f>
        <v/>
      </c>
      <c r="BV23" s="163">
        <f>BT23</f>
        <v/>
      </c>
      <c r="BW23" s="163">
        <f>IF(BL23&gt;0,BL23,SUM(BT23:BV23))</f>
        <v/>
      </c>
      <c r="BX23" s="163" t="n">
        <v>1</v>
      </c>
      <c r="BY23" s="163">
        <f>BW23*BX23</f>
        <v/>
      </c>
    </row>
    <row r="24" ht="15" customHeight="1" s="516">
      <c r="A24" s="33">
        <f>"Single cycle - Diagonally Farthest "&amp;C24&amp;" m"</f>
        <v/>
      </c>
      <c r="B24" s="56" t="n">
        <v>1</v>
      </c>
      <c r="C24" s="33">
        <f>B24*$D$12</f>
        <v/>
      </c>
      <c r="D24" s="25">
        <f>BY6</f>
        <v/>
      </c>
      <c r="E24" s="36" t="n">
        <v>0.05</v>
      </c>
      <c r="G24" s="160">
        <f>G23+1</f>
        <v/>
      </c>
      <c r="H24" s="161" t="inlineStr">
        <is>
          <t>Zippy 30 Running</t>
        </is>
      </c>
      <c r="I24" s="162" t="inlineStr">
        <is>
          <t>Distance travelled to move towards induction station</t>
        </is>
      </c>
      <c r="J24" s="163">
        <f>IFERROR(VLOOKUP(H24,'Master List'!$A:$D,2,0),0)</f>
        <v/>
      </c>
      <c r="K24" s="163">
        <f>IFERROR(VLOOKUP(H24,'Master List'!$A:$D,3,0),0)</f>
        <v/>
      </c>
      <c r="L24" s="163">
        <f>IFERROR(VLOOKUP(H24,'Master List'!$A:$D,4,0),0)</f>
        <v/>
      </c>
      <c r="M24" s="163">
        <f>2*$B$32</f>
        <v/>
      </c>
      <c r="N24" s="163">
        <f>IFERROR(K24/L24,0)</f>
        <v/>
      </c>
      <c r="O24" s="163">
        <f>IFERROR(IF(M24&lt;((1/2*L24*N24^2)*2),1/2*L24*SQRT((M24/2)*2/L24)^2,1/2*L24*N24^2),0)</f>
        <v/>
      </c>
      <c r="P24" s="163">
        <f>IFERROR(IF(M24-O24-Q24&lt;=0,0,M24-O24-Q24),0)</f>
        <v/>
      </c>
      <c r="Q24" s="163">
        <f>O24</f>
        <v/>
      </c>
      <c r="R24" s="163">
        <f>IFERROR(IF(M24&lt;((1/2*L24*N24^2)*2),SQRT((M24/2)*2/L24),N24),0)</f>
        <v/>
      </c>
      <c r="S24" s="163">
        <f>IFERROR(P24/K24,0)</f>
        <v/>
      </c>
      <c r="T24" s="163">
        <f>R24</f>
        <v/>
      </c>
      <c r="U24" s="163">
        <f>IF(J24&gt;0,J24,SUM(R24:T24))</f>
        <v/>
      </c>
      <c r="V24" s="163" t="n">
        <v>1</v>
      </c>
      <c r="W24" s="163">
        <f>U24*V24</f>
        <v/>
      </c>
      <c r="Y24" s="160">
        <f>Y23+1</f>
        <v/>
      </c>
      <c r="Z24" s="161" t="inlineStr">
        <is>
          <t>Zippy 30 Running</t>
        </is>
      </c>
      <c r="AA24" s="162" t="n"/>
      <c r="AB24" s="163">
        <f>IFERROR(VLOOKUP(Z24,'Master List'!$A:$D,2,0),0)</f>
        <v/>
      </c>
      <c r="AC24" s="163">
        <f>IFERROR(VLOOKUP(Z24,'Master List'!$A:$D,3,0),0)</f>
        <v/>
      </c>
      <c r="AD24" s="163">
        <f>IFERROR(VLOOKUP(Z24,'Master List'!$A:$D,4,0),0)</f>
        <v/>
      </c>
      <c r="AE24" s="163">
        <f>2*$B$32</f>
        <v/>
      </c>
      <c r="AF24" s="163">
        <f>IFERROR(AC24/AD24,0)</f>
        <v/>
      </c>
      <c r="AG24" s="163">
        <f>IFERROR(IF(AE24&lt;((1/2*AD24*AF24^2)*2),1/2*AD24*SQRT((AE24/2)*2/AD24)^2,1/2*AD24*AF24^2),0)</f>
        <v/>
      </c>
      <c r="AH24" s="163">
        <f>IFERROR(IF(AE24-AG24-AI24&lt;=0,0,AE24-AG24-AI24),0)</f>
        <v/>
      </c>
      <c r="AI24" s="163">
        <f>AG24</f>
        <v/>
      </c>
      <c r="AJ24" s="163">
        <f>IFERROR(IF(AE24&lt;((1/2*AD24*AF24^2)*2),SQRT((AE24/2)*2/AD24),AF24),0)</f>
        <v/>
      </c>
      <c r="AK24" s="163">
        <f>IFERROR(AH24/AC24,0)</f>
        <v/>
      </c>
      <c r="AL24" s="163">
        <f>AJ24</f>
        <v/>
      </c>
      <c r="AM24" s="163">
        <f>IF(AB24&gt;0,AB24,SUM(AJ24:AL24))</f>
        <v/>
      </c>
      <c r="AN24" s="163" t="n">
        <v>1</v>
      </c>
      <c r="AO24" s="163">
        <f>AM24*AN24</f>
        <v/>
      </c>
      <c r="AQ24" s="160">
        <f>AQ23+1</f>
        <v/>
      </c>
      <c r="AR24" s="161" t="inlineStr">
        <is>
          <t>Zippy 30 Running</t>
        </is>
      </c>
      <c r="AS24" s="162" t="n"/>
      <c r="AT24" s="163">
        <f>IFERROR(VLOOKUP(AR24,'Master List'!$A:$D,2,0),0)</f>
        <v/>
      </c>
      <c r="AU24" s="163">
        <f>IFERROR(VLOOKUP(AR24,'Master List'!$A:$D,3,0),0)</f>
        <v/>
      </c>
      <c r="AV24" s="163">
        <f>IFERROR(VLOOKUP(AR24,'Master List'!$A:$D,4,0),0)</f>
        <v/>
      </c>
      <c r="AW24" s="163">
        <f>2*$B$32</f>
        <v/>
      </c>
      <c r="AX24" s="163">
        <f>IFERROR(AU24/AV24,0)</f>
        <v/>
      </c>
      <c r="AY24" s="163">
        <f>IFERROR(IF(AW24&lt;((1/2*AV24*AX24^2)*2),1/2*AV24*SQRT((AW24/2)*2/AV24)^2,1/2*AV24*AX24^2),0)</f>
        <v/>
      </c>
      <c r="AZ24" s="163">
        <f>IFERROR(IF(AW24-AY24-BA24&lt;=0,0,AW24-AY24-BA24),0)</f>
        <v/>
      </c>
      <c r="BA24" s="163">
        <f>AY24</f>
        <v/>
      </c>
      <c r="BB24" s="163">
        <f>IFERROR(IF(AW24&lt;((1/2*AV24*AX24^2)*2),SQRT((AW24/2)*2/AV24),AX24),0)</f>
        <v/>
      </c>
      <c r="BC24" s="163">
        <f>IFERROR(AZ24/AU24,0)</f>
        <v/>
      </c>
      <c r="BD24" s="163">
        <f>BB24</f>
        <v/>
      </c>
      <c r="BE24" s="163">
        <f>IF(AT24&gt;0,AT24,SUM(BB24:BD24))</f>
        <v/>
      </c>
      <c r="BF24" s="163" t="n">
        <v>1</v>
      </c>
      <c r="BG24" s="163">
        <f>BE24*BF24</f>
        <v/>
      </c>
      <c r="BI24" s="160">
        <f>BI23+1</f>
        <v/>
      </c>
      <c r="BJ24" s="161" t="inlineStr">
        <is>
          <t>Zippy 30 Running</t>
        </is>
      </c>
      <c r="BK24" s="162" t="n"/>
      <c r="BL24" s="163">
        <f>IFERROR(VLOOKUP(BJ24,'Master List'!$A:$D,2,0),0)</f>
        <v/>
      </c>
      <c r="BM24" s="163">
        <f>IFERROR(VLOOKUP(BJ24,'Master List'!$A:$D,3,0),0)</f>
        <v/>
      </c>
      <c r="BN24" s="163">
        <f>IFERROR(VLOOKUP(BJ24,'Master List'!$A:$D,4,0),0)</f>
        <v/>
      </c>
      <c r="BO24" s="163">
        <f>2*$B$32</f>
        <v/>
      </c>
      <c r="BP24" s="163">
        <f>IFERROR(BM24/BN24,0)</f>
        <v/>
      </c>
      <c r="BQ24" s="163">
        <f>IFERROR(IF(BO24&lt;((1/2*BN24*BP24^2)*2),1/2*BN24*SQRT((BO24/2)*2/BN24)^2,1/2*BN24*BP24^2),0)</f>
        <v/>
      </c>
      <c r="BR24" s="163">
        <f>IFERROR(IF(BO24-BQ24-BS24&lt;=0,0,BO24-BQ24-BS24),0)</f>
        <v/>
      </c>
      <c r="BS24" s="163">
        <f>BQ24</f>
        <v/>
      </c>
      <c r="BT24" s="163">
        <f>IFERROR(IF(BO24&lt;((1/2*BN24*BP24^2)*2),SQRT((BO24/2)*2/BN24),BP24),0)</f>
        <v/>
      </c>
      <c r="BU24" s="163">
        <f>IFERROR(BR24/BM24,0)</f>
        <v/>
      </c>
      <c r="BV24" s="163">
        <f>BT24</f>
        <v/>
      </c>
      <c r="BW24" s="163">
        <f>IF(BL24&gt;0,BL24,SUM(BT24:BV24))</f>
        <v/>
      </c>
      <c r="BX24" s="163" t="n">
        <v>1</v>
      </c>
      <c r="BY24" s="163">
        <f>BW24*BX24</f>
        <v/>
      </c>
    </row>
    <row r="25">
      <c r="E25" s="44">
        <f>SUM(E21:E24)</f>
        <v/>
      </c>
      <c r="G25" s="160">
        <f>G24+1</f>
        <v/>
      </c>
      <c r="H25" s="165" t="n"/>
      <c r="I25" s="162" t="n"/>
      <c r="J25" s="163">
        <f>IFERROR(VLOOKUP(H25,'Master List'!$A:$D,2,0),0)</f>
        <v/>
      </c>
      <c r="K25" s="163">
        <f>IFERROR(VLOOKUP(H25,'Master List'!$A:$D,3,0),0)</f>
        <v/>
      </c>
      <c r="L25" s="163">
        <f>IFERROR(VLOOKUP(H25,'Master List'!$A:$D,4,0),0)</f>
        <v/>
      </c>
      <c r="M25" s="163" t="n"/>
      <c r="N25" s="163">
        <f>IFERROR(K25/L25,0)</f>
        <v/>
      </c>
      <c r="O25" s="163">
        <f>IFERROR(IF(M25&lt;((1/2*L25*N25^2)*2),1/2*L25*SQRT((M25/2)*2/L25)^2,1/2*L25*N25^2),0)</f>
        <v/>
      </c>
      <c r="P25" s="163">
        <f>IFERROR(IF(M25-O25-Q25&lt;=0,0,M25-O25-Q25),0)</f>
        <v/>
      </c>
      <c r="Q25" s="163">
        <f>O25</f>
        <v/>
      </c>
      <c r="R25" s="163">
        <f>IFERROR(IF(M25&lt;((1/2*L25*N25^2)*2),SQRT((M25/2)*2/L25),N25),0)</f>
        <v/>
      </c>
      <c r="S25" s="163">
        <f>IFERROR(P25/K25,0)</f>
        <v/>
      </c>
      <c r="T25" s="163">
        <f>R25</f>
        <v/>
      </c>
      <c r="U25" s="163">
        <f>IF(J25&gt;0,J25,SUM(R25:T25))</f>
        <v/>
      </c>
      <c r="V25" s="163" t="n"/>
      <c r="W25" s="163">
        <f>U25*V25</f>
        <v/>
      </c>
      <c r="Y25" s="160">
        <f>Y24+1</f>
        <v/>
      </c>
      <c r="Z25" s="165" t="n"/>
      <c r="AA25" s="162" t="n"/>
      <c r="AB25" s="163">
        <f>IFERROR(VLOOKUP(Z25,'Master List'!$A:$D,2,0),0)</f>
        <v/>
      </c>
      <c r="AC25" s="163">
        <f>IFERROR(VLOOKUP(Z25,'Master List'!$A:$D,3,0),0)</f>
        <v/>
      </c>
      <c r="AD25" s="163">
        <f>IFERROR(VLOOKUP(Z25,'Master List'!$A:$D,4,0),0)</f>
        <v/>
      </c>
      <c r="AE25" s="163" t="n"/>
      <c r="AF25" s="163">
        <f>IFERROR(AC25/AD25,0)</f>
        <v/>
      </c>
      <c r="AG25" s="163">
        <f>IFERROR(IF(AE25&lt;((1/2*AD25*AF25^2)*2),1/2*AD25*SQRT((AE25/2)*2/AD25)^2,1/2*AD25*AF25^2),0)</f>
        <v/>
      </c>
      <c r="AH25" s="163">
        <f>IFERROR(IF(AE25-AG25-AI25&lt;=0,0,AE25-AG25-AI25),0)</f>
        <v/>
      </c>
      <c r="AI25" s="163">
        <f>AG25</f>
        <v/>
      </c>
      <c r="AJ25" s="163">
        <f>IFERROR(IF(AE25&lt;((1/2*AD25*AF25^2)*2),SQRT((AE25/2)*2/AD25),AF25),0)</f>
        <v/>
      </c>
      <c r="AK25" s="163">
        <f>IFERROR(AH25/AC25,0)</f>
        <v/>
      </c>
      <c r="AL25" s="163">
        <f>AJ25</f>
        <v/>
      </c>
      <c r="AM25" s="163">
        <f>IF(AB25&gt;0,AB25,SUM(AJ25:AL25))</f>
        <v/>
      </c>
      <c r="AN25" s="163" t="n"/>
      <c r="AO25" s="163">
        <f>AM25*AN25</f>
        <v/>
      </c>
      <c r="AQ25" s="160">
        <f>AQ24+1</f>
        <v/>
      </c>
      <c r="AR25" s="165" t="n"/>
      <c r="AS25" s="162" t="n"/>
      <c r="AT25" s="163">
        <f>IFERROR(VLOOKUP(AR25,'Master List'!$A:$D,2,0),0)</f>
        <v/>
      </c>
      <c r="AU25" s="163">
        <f>IFERROR(VLOOKUP(AR25,'Master List'!$A:$D,3,0),0)</f>
        <v/>
      </c>
      <c r="AV25" s="163">
        <f>IFERROR(VLOOKUP(AR25,'Master List'!$A:$D,4,0),0)</f>
        <v/>
      </c>
      <c r="AW25" s="163" t="n"/>
      <c r="AX25" s="163">
        <f>IFERROR(AU25/AV25,0)</f>
        <v/>
      </c>
      <c r="AY25" s="163">
        <f>IFERROR(IF(AW25&lt;((1/2*AV25*AX25^2)*2),1/2*AV25*SQRT((AW25/2)*2/AV25)^2,1/2*AV25*AX25^2),0)</f>
        <v/>
      </c>
      <c r="AZ25" s="163">
        <f>IFERROR(IF(AW25-AY25-BA25&lt;=0,0,AW25-AY25-BA25),0)</f>
        <v/>
      </c>
      <c r="BA25" s="163">
        <f>AY25</f>
        <v/>
      </c>
      <c r="BB25" s="163">
        <f>IFERROR(IF(AW25&lt;((1/2*AV25*AX25^2)*2),SQRT((AW25/2)*2/AV25),AX25),0)</f>
        <v/>
      </c>
      <c r="BC25" s="163">
        <f>IFERROR(AZ25/AU25,0)</f>
        <v/>
      </c>
      <c r="BD25" s="163">
        <f>BB25</f>
        <v/>
      </c>
      <c r="BE25" s="163">
        <f>IF(AT25&gt;0,AT25,SUM(BB25:BD25))</f>
        <v/>
      </c>
      <c r="BF25" s="163" t="n"/>
      <c r="BG25" s="163">
        <f>BE25*BF25</f>
        <v/>
      </c>
      <c r="BI25" s="160">
        <f>BI24+1</f>
        <v/>
      </c>
      <c r="BJ25" s="165" t="n"/>
      <c r="BK25" s="162" t="n"/>
      <c r="BL25" s="163">
        <f>IFERROR(VLOOKUP(BJ25,'Master List'!$A:$D,2,0),0)</f>
        <v/>
      </c>
      <c r="BM25" s="163">
        <f>IFERROR(VLOOKUP(BJ25,'Master List'!$A:$D,3,0),0)</f>
        <v/>
      </c>
      <c r="BN25" s="163">
        <f>IFERROR(VLOOKUP(BJ25,'Master List'!$A:$D,4,0),0)</f>
        <v/>
      </c>
      <c r="BO25" s="163" t="n"/>
      <c r="BP25" s="163">
        <f>IFERROR(BM25/BN25,0)</f>
        <v/>
      </c>
      <c r="BQ25" s="163">
        <f>IFERROR(IF(BO25&lt;((1/2*BN25*BP25^2)*2),1/2*BN25*SQRT((BO25/2)*2/BN25)^2,1/2*BN25*BP25^2),0)</f>
        <v/>
      </c>
      <c r="BR25" s="163">
        <f>IFERROR(IF(BO25-BQ25-BS25&lt;=0,0,BO25-BQ25-BS25),0)</f>
        <v/>
      </c>
      <c r="BS25" s="163">
        <f>BQ25</f>
        <v/>
      </c>
      <c r="BT25" s="163">
        <f>IFERROR(IF(BO25&lt;((1/2*BN25*BP25^2)*2),SQRT((BO25/2)*2/BN25),BP25),0)</f>
        <v/>
      </c>
      <c r="BU25" s="163">
        <f>IFERROR(BR25/BM25,0)</f>
        <v/>
      </c>
      <c r="BV25" s="163">
        <f>BT25</f>
        <v/>
      </c>
      <c r="BW25" s="163">
        <f>IF(BL25&gt;0,BL25,SUM(BT25:BV25))</f>
        <v/>
      </c>
      <c r="BX25" s="163" t="n"/>
      <c r="BY25" s="163">
        <f>BW25*BX25</f>
        <v/>
      </c>
    </row>
    <row r="26">
      <c r="A26" s="33" t="n"/>
      <c r="B26" s="34" t="inlineStr">
        <is>
          <t>% of distance travelled in Y direction</t>
        </is>
      </c>
      <c r="C26" s="34" t="inlineStr">
        <is>
          <t>Distance travelled M</t>
        </is>
      </c>
      <c r="G26" s="160">
        <f>G25+1</f>
        <v/>
      </c>
      <c r="H26" s="165" t="n"/>
      <c r="I26" s="162" t="n"/>
      <c r="J26" s="163">
        <f>IFERROR(VLOOKUP(H26,'Master List'!$A:$D,2,0),0)</f>
        <v/>
      </c>
      <c r="K26" s="163">
        <f>IFERROR(VLOOKUP(H26,'Master List'!$A:$D,3,0),0)</f>
        <v/>
      </c>
      <c r="L26" s="163">
        <f>IFERROR(VLOOKUP(H26,'Master List'!$A:$D,4,0),0)</f>
        <v/>
      </c>
      <c r="M26" s="163" t="n"/>
      <c r="N26" s="163">
        <f>IFERROR(K26/L26,0)</f>
        <v/>
      </c>
      <c r="O26" s="163">
        <f>IFERROR(IF(M26&lt;((1/2*L26*N26^2)*2),1/2*L26*SQRT((M26/2)*2/L26)^2,1/2*L26*N26^2),0)</f>
        <v/>
      </c>
      <c r="P26" s="163">
        <f>IFERROR(IF(M26-O26-Q26&lt;=0,0,M26-O26-Q26),0)</f>
        <v/>
      </c>
      <c r="Q26" s="163">
        <f>O26</f>
        <v/>
      </c>
      <c r="R26" s="163">
        <f>IFERROR(IF(M26&lt;((1/2*L26*N26^2)*2),SQRT((M26/2)*2/L26),N26),0)</f>
        <v/>
      </c>
      <c r="S26" s="163">
        <f>IFERROR(P26/K26,0)</f>
        <v/>
      </c>
      <c r="T26" s="163">
        <f>R26</f>
        <v/>
      </c>
      <c r="U26" s="163">
        <f>IF(J26&gt;0,J26,SUM(R26:T26))</f>
        <v/>
      </c>
      <c r="V26" s="163" t="n"/>
      <c r="W26" s="163">
        <f>U26*V26</f>
        <v/>
      </c>
      <c r="Y26" s="160">
        <f>Y25+1</f>
        <v/>
      </c>
      <c r="Z26" s="165" t="n"/>
      <c r="AA26" s="162" t="n"/>
      <c r="AB26" s="163">
        <f>IFERROR(VLOOKUP(Z26,'Master List'!$A:$D,2,0),0)</f>
        <v/>
      </c>
      <c r="AC26" s="163">
        <f>IFERROR(VLOOKUP(Z26,'Master List'!$A:$D,3,0),0)</f>
        <v/>
      </c>
      <c r="AD26" s="163">
        <f>IFERROR(VLOOKUP(Z26,'Master List'!$A:$D,4,0),0)</f>
        <v/>
      </c>
      <c r="AE26" s="163" t="n"/>
      <c r="AF26" s="163">
        <f>IFERROR(AC26/AD26,0)</f>
        <v/>
      </c>
      <c r="AG26" s="163">
        <f>IFERROR(IF(AE26&lt;((1/2*AD26*AF26^2)*2),1/2*AD26*SQRT((AE26/2)*2/AD26)^2,1/2*AD26*AF26^2),0)</f>
        <v/>
      </c>
      <c r="AH26" s="163">
        <f>IFERROR(IF(AE26-AG26-AI26&lt;=0,0,AE26-AG26-AI26),0)</f>
        <v/>
      </c>
      <c r="AI26" s="163">
        <f>AG26</f>
        <v/>
      </c>
      <c r="AJ26" s="163">
        <f>IFERROR(IF(AE26&lt;((1/2*AD26*AF26^2)*2),SQRT((AE26/2)*2/AD26),AF26),0)</f>
        <v/>
      </c>
      <c r="AK26" s="163">
        <f>IFERROR(AH26/AC26,0)</f>
        <v/>
      </c>
      <c r="AL26" s="163">
        <f>AJ26</f>
        <v/>
      </c>
      <c r="AM26" s="163">
        <f>IF(AB26&gt;0,AB26,SUM(AJ26:AL26))</f>
        <v/>
      </c>
      <c r="AN26" s="163" t="n"/>
      <c r="AO26" s="163">
        <f>AM26*AN26</f>
        <v/>
      </c>
      <c r="AQ26" s="160">
        <f>AQ25+1</f>
        <v/>
      </c>
      <c r="AR26" s="165" t="n"/>
      <c r="AS26" s="162" t="n"/>
      <c r="AT26" s="163">
        <f>IFERROR(VLOOKUP(AR26,'Master List'!$A:$D,2,0),0)</f>
        <v/>
      </c>
      <c r="AU26" s="163">
        <f>IFERROR(VLOOKUP(AR26,'Master List'!$A:$D,3,0),0)</f>
        <v/>
      </c>
      <c r="AV26" s="163">
        <f>IFERROR(VLOOKUP(AR26,'Master List'!$A:$D,4,0),0)</f>
        <v/>
      </c>
      <c r="AW26" s="163" t="n"/>
      <c r="AX26" s="163">
        <f>IFERROR(AU26/AV26,0)</f>
        <v/>
      </c>
      <c r="AY26" s="163">
        <f>IFERROR(IF(AW26&lt;((1/2*AV26*AX26^2)*2),1/2*AV26*SQRT((AW26/2)*2/AV26)^2,1/2*AV26*AX26^2),0)</f>
        <v/>
      </c>
      <c r="AZ26" s="163">
        <f>IFERROR(IF(AW26-AY26-BA26&lt;=0,0,AW26-AY26-BA26),0)</f>
        <v/>
      </c>
      <c r="BA26" s="163">
        <f>AY26</f>
        <v/>
      </c>
      <c r="BB26" s="163">
        <f>IFERROR(IF(AW26&lt;((1/2*AV26*AX26^2)*2),SQRT((AW26/2)*2/AV26),AX26),0)</f>
        <v/>
      </c>
      <c r="BC26" s="163">
        <f>IFERROR(AZ26/AU26,0)</f>
        <v/>
      </c>
      <c r="BD26" s="163">
        <f>BB26</f>
        <v/>
      </c>
      <c r="BE26" s="163">
        <f>IF(AT26&gt;0,AT26,SUM(BB26:BD26))</f>
        <v/>
      </c>
      <c r="BF26" s="163" t="n"/>
      <c r="BG26" s="163">
        <f>BE26*BF26</f>
        <v/>
      </c>
      <c r="BI26" s="160">
        <f>BI25+1</f>
        <v/>
      </c>
      <c r="BJ26" s="165" t="n"/>
      <c r="BK26" s="162" t="n"/>
      <c r="BL26" s="163">
        <f>IFERROR(VLOOKUP(BJ26,'Master List'!$A:$D,2,0),0)</f>
        <v/>
      </c>
      <c r="BM26" s="163">
        <f>IFERROR(VLOOKUP(BJ26,'Master List'!$A:$D,3,0),0)</f>
        <v/>
      </c>
      <c r="BN26" s="163">
        <f>IFERROR(VLOOKUP(BJ26,'Master List'!$A:$D,4,0),0)</f>
        <v/>
      </c>
      <c r="BO26" s="163" t="n"/>
      <c r="BP26" s="163">
        <f>IFERROR(BM26/BN26,0)</f>
        <v/>
      </c>
      <c r="BQ26" s="163">
        <f>IFERROR(IF(BO26&lt;((1/2*BN26*BP26^2)*2),1/2*BN26*SQRT((BO26/2)*2/BN26)^2,1/2*BN26*BP26^2),0)</f>
        <v/>
      </c>
      <c r="BR26" s="163">
        <f>IFERROR(IF(BO26-BQ26-BS26&lt;=0,0,BO26-BQ26-BS26),0)</f>
        <v/>
      </c>
      <c r="BS26" s="163">
        <f>BQ26</f>
        <v/>
      </c>
      <c r="BT26" s="163">
        <f>IFERROR(IF(BO26&lt;((1/2*BN26*BP26^2)*2),SQRT((BO26/2)*2/BN26),BP26),0)</f>
        <v/>
      </c>
      <c r="BU26" s="163">
        <f>IFERROR(BR26/BM26,0)</f>
        <v/>
      </c>
      <c r="BV26" s="163">
        <f>BT26</f>
        <v/>
      </c>
      <c r="BW26" s="163">
        <f>IF(BL26&gt;0,BL26,SUM(BT26:BV26))</f>
        <v/>
      </c>
      <c r="BX26" s="163" t="n"/>
      <c r="BY26" s="163">
        <f>BW26*BX26</f>
        <v/>
      </c>
    </row>
    <row r="27">
      <c r="A27" s="33">
        <f>"Single cycle - Near "&amp;C27&amp;" m"</f>
        <v/>
      </c>
      <c r="B27" s="56" t="n">
        <v>0.1</v>
      </c>
      <c r="C27" s="33">
        <f>(B27*$D$13)+$B$14</f>
        <v/>
      </c>
      <c r="G27" s="160">
        <f>G26+1</f>
        <v/>
      </c>
      <c r="H27" s="165" t="n"/>
      <c r="I27" s="162" t="n"/>
      <c r="J27" s="163">
        <f>IFERROR(VLOOKUP(H27,'Master List'!$A:$D,2,0),0)</f>
        <v/>
      </c>
      <c r="K27" s="163">
        <f>IFERROR(VLOOKUP(H27,'Master List'!$A:$D,3,0),0)</f>
        <v/>
      </c>
      <c r="L27" s="163">
        <f>IFERROR(VLOOKUP(H27,'Master List'!$A:$D,4,0),0)</f>
        <v/>
      </c>
      <c r="M27" s="163" t="n">
        <v>0</v>
      </c>
      <c r="N27" s="163">
        <f>IFERROR(K27/L27,0)</f>
        <v/>
      </c>
      <c r="O27" s="163">
        <f>IFERROR(IF(M27&lt;((1/2*L27*N27^2)*2),1/2*L27*SQRT((M27/2)*2/L27)^2,1/2*L27*N27^2),0)</f>
        <v/>
      </c>
      <c r="P27" s="163">
        <f>IFERROR(IF(M27-O27-Q27&lt;=0,0,M27-O27-Q27),0)</f>
        <v/>
      </c>
      <c r="Q27" s="163">
        <f>O27</f>
        <v/>
      </c>
      <c r="R27" s="163">
        <f>IFERROR(IF(M27&lt;((1/2*L27*N27^2)*2),SQRT((M27/2)*2/L27),N27),0)</f>
        <v/>
      </c>
      <c r="S27" s="163">
        <f>IFERROR(P27/K27,0)</f>
        <v/>
      </c>
      <c r="T27" s="163">
        <f>R27</f>
        <v/>
      </c>
      <c r="U27" s="163">
        <f>IF(J27&gt;0,J27,SUM(R27:T27))</f>
        <v/>
      </c>
      <c r="V27" s="163" t="n"/>
      <c r="W27" s="163">
        <f>U27*V27</f>
        <v/>
      </c>
      <c r="Y27" s="160">
        <f>Y26+1</f>
        <v/>
      </c>
      <c r="Z27" s="165" t="n"/>
      <c r="AA27" s="162" t="n"/>
      <c r="AB27" s="163">
        <f>IFERROR(VLOOKUP(Z27,'Master List'!$A:$D,2,0),0)</f>
        <v/>
      </c>
      <c r="AC27" s="163">
        <f>IFERROR(VLOOKUP(Z27,'Master List'!$A:$D,3,0),0)</f>
        <v/>
      </c>
      <c r="AD27" s="163">
        <f>IFERROR(VLOOKUP(Z27,'Master List'!$A:$D,4,0),0)</f>
        <v/>
      </c>
      <c r="AE27" s="163" t="n"/>
      <c r="AF27" s="163">
        <f>IFERROR(AC27/AD27,0)</f>
        <v/>
      </c>
      <c r="AG27" s="163">
        <f>IFERROR(IF(AE27&lt;((1/2*AD27*AF27^2)*2),1/2*AD27*SQRT((AE27/2)*2/AD27)^2,1/2*AD27*AF27^2),0)</f>
        <v/>
      </c>
      <c r="AH27" s="163">
        <f>IFERROR(IF(AE27-AG27-AI27&lt;=0,0,AE27-AG27-AI27),0)</f>
        <v/>
      </c>
      <c r="AI27" s="163">
        <f>AG27</f>
        <v/>
      </c>
      <c r="AJ27" s="163">
        <f>IFERROR(IF(AE27&lt;((1/2*AD27*AF27^2)*2),SQRT((AE27/2)*2/AD27),AF27),0)</f>
        <v/>
      </c>
      <c r="AK27" s="163">
        <f>IFERROR(AH27/AC27,0)</f>
        <v/>
      </c>
      <c r="AL27" s="163">
        <f>AJ27</f>
        <v/>
      </c>
      <c r="AM27" s="163">
        <f>IF(AB27&gt;0,AB27,SUM(AJ27:AL27))</f>
        <v/>
      </c>
      <c r="AN27" s="163" t="n"/>
      <c r="AO27" s="163">
        <f>AM27*AN27</f>
        <v/>
      </c>
      <c r="AQ27" s="160">
        <f>AQ26+1</f>
        <v/>
      </c>
      <c r="AR27" s="165" t="n"/>
      <c r="AS27" s="162" t="n"/>
      <c r="AT27" s="163">
        <f>IFERROR(VLOOKUP(AR27,'Master List'!$A:$D,2,0),0)</f>
        <v/>
      </c>
      <c r="AU27" s="163">
        <f>IFERROR(VLOOKUP(AR27,'Master List'!$A:$D,3,0),0)</f>
        <v/>
      </c>
      <c r="AV27" s="163">
        <f>IFERROR(VLOOKUP(AR27,'Master List'!$A:$D,4,0),0)</f>
        <v/>
      </c>
      <c r="AW27" s="163" t="n"/>
      <c r="AX27" s="163">
        <f>IFERROR(AU27/AV27,0)</f>
        <v/>
      </c>
      <c r="AY27" s="163">
        <f>IFERROR(IF(AW27&lt;((1/2*AV27*AX27^2)*2),1/2*AV27*SQRT((AW27/2)*2/AV27)^2,1/2*AV27*AX27^2),0)</f>
        <v/>
      </c>
      <c r="AZ27" s="163">
        <f>IFERROR(IF(AW27-AY27-BA27&lt;=0,0,AW27-AY27-BA27),0)</f>
        <v/>
      </c>
      <c r="BA27" s="163">
        <f>AY27</f>
        <v/>
      </c>
      <c r="BB27" s="163">
        <f>IFERROR(IF(AW27&lt;((1/2*AV27*AX27^2)*2),SQRT((AW27/2)*2/AV27),AX27),0)</f>
        <v/>
      </c>
      <c r="BC27" s="163">
        <f>IFERROR(AZ27/AU27,0)</f>
        <v/>
      </c>
      <c r="BD27" s="163">
        <f>BB27</f>
        <v/>
      </c>
      <c r="BE27" s="163">
        <f>IF(AT27&gt;0,AT27,SUM(BB27:BD27))</f>
        <v/>
      </c>
      <c r="BF27" s="163" t="n"/>
      <c r="BG27" s="163">
        <f>BE27*BF27</f>
        <v/>
      </c>
      <c r="BI27" s="160">
        <f>BI26+1</f>
        <v/>
      </c>
      <c r="BJ27" s="165" t="n"/>
      <c r="BK27" s="162" t="n"/>
      <c r="BL27" s="163">
        <f>IFERROR(VLOOKUP(BJ27,'Master List'!$A:$D,2,0),0)</f>
        <v/>
      </c>
      <c r="BM27" s="163">
        <f>IFERROR(VLOOKUP(BJ27,'Master List'!$A:$D,3,0),0)</f>
        <v/>
      </c>
      <c r="BN27" s="163">
        <f>IFERROR(VLOOKUP(BJ27,'Master List'!$A:$D,4,0),0)</f>
        <v/>
      </c>
      <c r="BO27" s="163" t="n"/>
      <c r="BP27" s="163">
        <f>IFERROR(BM27/BN27,0)</f>
        <v/>
      </c>
      <c r="BQ27" s="163">
        <f>IFERROR(IF(BO27&lt;((1/2*BN27*BP27^2)*2),1/2*BN27*SQRT((BO27/2)*2/BN27)^2,1/2*BN27*BP27^2),0)</f>
        <v/>
      </c>
      <c r="BR27" s="163">
        <f>IFERROR(IF(BO27-BQ27-BS27&lt;=0,0,BO27-BQ27-BS27),0)</f>
        <v/>
      </c>
      <c r="BS27" s="163">
        <f>BQ27</f>
        <v/>
      </c>
      <c r="BT27" s="163">
        <f>IFERROR(IF(BO27&lt;((1/2*BN27*BP27^2)*2),SQRT((BO27/2)*2/BN27),BP27),0)</f>
        <v/>
      </c>
      <c r="BU27" s="163">
        <f>IFERROR(BR27/BM27,0)</f>
        <v/>
      </c>
      <c r="BV27" s="163">
        <f>BT27</f>
        <v/>
      </c>
      <c r="BW27" s="163">
        <f>IF(BL27&gt;0,BL27,SUM(BT27:BV27))</f>
        <v/>
      </c>
      <c r="BX27" s="163" t="n"/>
      <c r="BY27" s="163">
        <f>BW27*BX27</f>
        <v/>
      </c>
    </row>
    <row r="28">
      <c r="A28" s="33">
        <f>"Single cycle - Mid "&amp;C28&amp;" m"</f>
        <v/>
      </c>
      <c r="B28" s="56" t="n">
        <v>0.2</v>
      </c>
      <c r="C28" s="33">
        <f>(B28*$D$13)+$B$14</f>
        <v/>
      </c>
      <c r="G28" s="160">
        <f>G27+1</f>
        <v/>
      </c>
      <c r="H28" s="165" t="n"/>
      <c r="I28" s="162" t="n"/>
      <c r="J28" s="163">
        <f>IFERROR(VLOOKUP(H28,'Master List'!$A:$D,2,0),0)</f>
        <v/>
      </c>
      <c r="K28" s="163">
        <f>IFERROR(VLOOKUP(H28,'Master List'!$A:$D,3,0),0)</f>
        <v/>
      </c>
      <c r="L28" s="163">
        <f>IFERROR(VLOOKUP(H28,'Master List'!$A:$D,4,0),0)</f>
        <v/>
      </c>
      <c r="M28" s="163" t="n">
        <v>0</v>
      </c>
      <c r="N28" s="163">
        <f>IFERROR(K28/L28,0)</f>
        <v/>
      </c>
      <c r="O28" s="163">
        <f>IFERROR(IF(M28&lt;((1/2*L28*N28^2)*2),1/2*L28*SQRT((M28/2)*2/L28)^2,1/2*L28*N28^2),0)</f>
        <v/>
      </c>
      <c r="P28" s="163">
        <f>IFERROR(IF(M28-O28-Q28&lt;=0,0,M28-O28-Q28),0)</f>
        <v/>
      </c>
      <c r="Q28" s="163">
        <f>O28</f>
        <v/>
      </c>
      <c r="R28" s="163">
        <f>IFERROR(IF(M28&lt;((1/2*L28*N28^2)*2),SQRT((M28/2)*2/L28),N28),0)</f>
        <v/>
      </c>
      <c r="S28" s="163">
        <f>IFERROR(P28/K28,0)</f>
        <v/>
      </c>
      <c r="T28" s="163">
        <f>R28</f>
        <v/>
      </c>
      <c r="U28" s="163">
        <f>IF(J28&gt;0,J28,SUM(R28:T28))</f>
        <v/>
      </c>
      <c r="V28" s="163" t="n"/>
      <c r="W28" s="163">
        <f>U28*V28</f>
        <v/>
      </c>
      <c r="Y28" s="160">
        <f>Y27+1</f>
        <v/>
      </c>
      <c r="Z28" s="165" t="n"/>
      <c r="AA28" s="162" t="n"/>
      <c r="AB28" s="163">
        <f>IFERROR(VLOOKUP(Z28,'Master List'!$A:$D,2,0),0)</f>
        <v/>
      </c>
      <c r="AC28" s="163">
        <f>IFERROR(VLOOKUP(Z28,'Master List'!$A:$D,3,0),0)</f>
        <v/>
      </c>
      <c r="AD28" s="163">
        <f>IFERROR(VLOOKUP(Z28,'Master List'!$A:$D,4,0),0)</f>
        <v/>
      </c>
      <c r="AE28" s="163" t="n"/>
      <c r="AF28" s="163">
        <f>IFERROR(AC28/AD28,0)</f>
        <v/>
      </c>
      <c r="AG28" s="163">
        <f>IFERROR(IF(AE28&lt;((1/2*AD28*AF28^2)*2),1/2*AD28*SQRT((AE28/2)*2/AD28)^2,1/2*AD28*AF28^2),0)</f>
        <v/>
      </c>
      <c r="AH28" s="163">
        <f>IFERROR(IF(AE28-AG28-AI28&lt;=0,0,AE28-AG28-AI28),0)</f>
        <v/>
      </c>
      <c r="AI28" s="163">
        <f>AG28</f>
        <v/>
      </c>
      <c r="AJ28" s="163">
        <f>IFERROR(IF(AE28&lt;((1/2*AD28*AF28^2)*2),SQRT((AE28/2)*2/AD28),AF28),0)</f>
        <v/>
      </c>
      <c r="AK28" s="163">
        <f>IFERROR(AH28/AC28,0)</f>
        <v/>
      </c>
      <c r="AL28" s="163">
        <f>AJ28</f>
        <v/>
      </c>
      <c r="AM28" s="163">
        <f>IF(AB28&gt;0,AB28,SUM(AJ28:AL28))</f>
        <v/>
      </c>
      <c r="AN28" s="163" t="n"/>
      <c r="AO28" s="163">
        <f>AM28*AN28</f>
        <v/>
      </c>
      <c r="AQ28" s="160">
        <f>AQ27+1</f>
        <v/>
      </c>
      <c r="AR28" s="165" t="n"/>
      <c r="AS28" s="162" t="n"/>
      <c r="AT28" s="163">
        <f>IFERROR(VLOOKUP(AR28,'Master List'!$A:$D,2,0),0)</f>
        <v/>
      </c>
      <c r="AU28" s="163">
        <f>IFERROR(VLOOKUP(AR28,'Master List'!$A:$D,3,0),0)</f>
        <v/>
      </c>
      <c r="AV28" s="163">
        <f>IFERROR(VLOOKUP(AR28,'Master List'!$A:$D,4,0),0)</f>
        <v/>
      </c>
      <c r="AW28" s="163" t="n"/>
      <c r="AX28" s="163">
        <f>IFERROR(AU28/AV28,0)</f>
        <v/>
      </c>
      <c r="AY28" s="163">
        <f>IFERROR(IF(AW28&lt;((1/2*AV28*AX28^2)*2),1/2*AV28*SQRT((AW28/2)*2/AV28)^2,1/2*AV28*AX28^2),0)</f>
        <v/>
      </c>
      <c r="AZ28" s="163">
        <f>IFERROR(IF(AW28-AY28-BA28&lt;=0,0,AW28-AY28-BA28),0)</f>
        <v/>
      </c>
      <c r="BA28" s="163">
        <f>AY28</f>
        <v/>
      </c>
      <c r="BB28" s="163">
        <f>IFERROR(IF(AW28&lt;((1/2*AV28*AX28^2)*2),SQRT((AW28/2)*2/AV28),AX28),0)</f>
        <v/>
      </c>
      <c r="BC28" s="163">
        <f>IFERROR(AZ28/AU28,0)</f>
        <v/>
      </c>
      <c r="BD28" s="163">
        <f>BB28</f>
        <v/>
      </c>
      <c r="BE28" s="163">
        <f>IF(AT28&gt;0,AT28,SUM(BB28:BD28))</f>
        <v/>
      </c>
      <c r="BF28" s="163" t="n"/>
      <c r="BG28" s="163">
        <f>BE28*BF28</f>
        <v/>
      </c>
      <c r="BI28" s="160">
        <f>BI27+1</f>
        <v/>
      </c>
      <c r="BJ28" s="165" t="n"/>
      <c r="BK28" s="162" t="n"/>
      <c r="BL28" s="163">
        <f>IFERROR(VLOOKUP(BJ28,'Master List'!$A:$D,2,0),0)</f>
        <v/>
      </c>
      <c r="BM28" s="163">
        <f>IFERROR(VLOOKUP(BJ28,'Master List'!$A:$D,3,0),0)</f>
        <v/>
      </c>
      <c r="BN28" s="163">
        <f>IFERROR(VLOOKUP(BJ28,'Master List'!$A:$D,4,0),0)</f>
        <v/>
      </c>
      <c r="BO28" s="163" t="n"/>
      <c r="BP28" s="163">
        <f>IFERROR(BM28/BN28,0)</f>
        <v/>
      </c>
      <c r="BQ28" s="163">
        <f>IFERROR(IF(BO28&lt;((1/2*BN28*BP28^2)*2),1/2*BN28*SQRT((BO28/2)*2/BN28)^2,1/2*BN28*BP28^2),0)</f>
        <v/>
      </c>
      <c r="BR28" s="163">
        <f>IFERROR(IF(BO28-BQ28-BS28&lt;=0,0,BO28-BQ28-BS28),0)</f>
        <v/>
      </c>
      <c r="BS28" s="163">
        <f>BQ28</f>
        <v/>
      </c>
      <c r="BT28" s="163">
        <f>IFERROR(IF(BO28&lt;((1/2*BN28*BP28^2)*2),SQRT((BO28/2)*2/BN28),BP28),0)</f>
        <v/>
      </c>
      <c r="BU28" s="163">
        <f>IFERROR(BR28/BM28,0)</f>
        <v/>
      </c>
      <c r="BV28" s="163">
        <f>BT28</f>
        <v/>
      </c>
      <c r="BW28" s="163">
        <f>IF(BL28&gt;0,BL28,SUM(BT28:BV28))</f>
        <v/>
      </c>
      <c r="BX28" s="163" t="n"/>
      <c r="BY28" s="163">
        <f>BW28*BX28</f>
        <v/>
      </c>
    </row>
    <row r="29">
      <c r="A29" s="33">
        <f>"Single cycle - Far "&amp;C29&amp;" m"</f>
        <v/>
      </c>
      <c r="B29" s="56" t="n">
        <v>0.5</v>
      </c>
      <c r="C29" s="33">
        <f>(B29*$D$13)+$B$14</f>
        <v/>
      </c>
      <c r="G29" s="160">
        <f>G28+1</f>
        <v/>
      </c>
      <c r="H29" s="165" t="n"/>
      <c r="I29" s="162" t="n"/>
      <c r="J29" s="163">
        <f>IFERROR(VLOOKUP(H29,'Master List'!$A:$D,2,0),0)</f>
        <v/>
      </c>
      <c r="K29" s="163">
        <f>IFERROR(VLOOKUP(H29,'Master List'!$A:$D,3,0),0)</f>
        <v/>
      </c>
      <c r="L29" s="163">
        <f>IFERROR(VLOOKUP(H29,'Master List'!$A:$D,4,0),0)</f>
        <v/>
      </c>
      <c r="M29" s="163" t="n">
        <v>0</v>
      </c>
      <c r="N29" s="163">
        <f>IFERROR(K29/L29,0)</f>
        <v/>
      </c>
      <c r="O29" s="163">
        <f>IFERROR(IF(M29&lt;((1/2*L29*N29^2)*2),1/2*L29*SQRT((M29/2)*2/L29)^2,1/2*L29*N29^2),0)</f>
        <v/>
      </c>
      <c r="P29" s="163">
        <f>IFERROR(IF(M29-O29-Q29&lt;=0,0,M29-O29-Q29),0)</f>
        <v/>
      </c>
      <c r="Q29" s="163">
        <f>O29</f>
        <v/>
      </c>
      <c r="R29" s="163">
        <f>IFERROR(IF(M29&lt;((1/2*L29*N29^2)*2),SQRT((M29/2)*2/L29),N29),0)</f>
        <v/>
      </c>
      <c r="S29" s="163">
        <f>IFERROR(P29/K29,0)</f>
        <v/>
      </c>
      <c r="T29" s="163">
        <f>R29</f>
        <v/>
      </c>
      <c r="U29" s="163">
        <f>IF(J29&gt;0,J29,SUM(R29:T29))</f>
        <v/>
      </c>
      <c r="V29" s="163" t="n"/>
      <c r="W29" s="163">
        <f>U29*V29</f>
        <v/>
      </c>
      <c r="Y29" s="160">
        <f>Y28+1</f>
        <v/>
      </c>
      <c r="Z29" s="165" t="n"/>
      <c r="AA29" s="162" t="n"/>
      <c r="AB29" s="163">
        <f>IFERROR(VLOOKUP(Z29,'Master List'!$A:$D,2,0),0)</f>
        <v/>
      </c>
      <c r="AC29" s="163">
        <f>IFERROR(VLOOKUP(Z29,'Master List'!$A:$D,3,0),0)</f>
        <v/>
      </c>
      <c r="AD29" s="163">
        <f>IFERROR(VLOOKUP(Z29,'Master List'!$A:$D,4,0),0)</f>
        <v/>
      </c>
      <c r="AE29" s="163" t="n"/>
      <c r="AF29" s="163">
        <f>IFERROR(AC29/AD29,0)</f>
        <v/>
      </c>
      <c r="AG29" s="163">
        <f>IFERROR(IF(AE29&lt;((1/2*AD29*AF29^2)*2),1/2*AD29*SQRT((AE29/2)*2/AD29)^2,1/2*AD29*AF29^2),0)</f>
        <v/>
      </c>
      <c r="AH29" s="163">
        <f>IFERROR(IF(AE29-AG29-AI29&lt;=0,0,AE29-AG29-AI29),0)</f>
        <v/>
      </c>
      <c r="AI29" s="163">
        <f>AG29</f>
        <v/>
      </c>
      <c r="AJ29" s="163">
        <f>IFERROR(IF(AE29&lt;((1/2*AD29*AF29^2)*2),SQRT((AE29/2)*2/AD29),AF29),0)</f>
        <v/>
      </c>
      <c r="AK29" s="163">
        <f>IFERROR(AH29/AC29,0)</f>
        <v/>
      </c>
      <c r="AL29" s="163">
        <f>AJ29</f>
        <v/>
      </c>
      <c r="AM29" s="163">
        <f>IF(AB29&gt;0,AB29,SUM(AJ29:AL29))</f>
        <v/>
      </c>
      <c r="AN29" s="163" t="n"/>
      <c r="AO29" s="163">
        <f>AM29*AN29</f>
        <v/>
      </c>
      <c r="AQ29" s="160">
        <f>AQ28+1</f>
        <v/>
      </c>
      <c r="AR29" s="165" t="n"/>
      <c r="AS29" s="162" t="n"/>
      <c r="AT29" s="163">
        <f>IFERROR(VLOOKUP(AR29,'Master List'!$A:$D,2,0),0)</f>
        <v/>
      </c>
      <c r="AU29" s="163">
        <f>IFERROR(VLOOKUP(AR29,'Master List'!$A:$D,3,0),0)</f>
        <v/>
      </c>
      <c r="AV29" s="163">
        <f>IFERROR(VLOOKUP(AR29,'Master List'!$A:$D,4,0),0)</f>
        <v/>
      </c>
      <c r="AW29" s="163" t="n"/>
      <c r="AX29" s="163">
        <f>IFERROR(AU29/AV29,0)</f>
        <v/>
      </c>
      <c r="AY29" s="163">
        <f>IFERROR(IF(AW29&lt;((1/2*AV29*AX29^2)*2),1/2*AV29*SQRT((AW29/2)*2/AV29)^2,1/2*AV29*AX29^2),0)</f>
        <v/>
      </c>
      <c r="AZ29" s="163">
        <f>IFERROR(IF(AW29-AY29-BA29&lt;=0,0,AW29-AY29-BA29),0)</f>
        <v/>
      </c>
      <c r="BA29" s="163">
        <f>AY29</f>
        <v/>
      </c>
      <c r="BB29" s="163">
        <f>IFERROR(IF(AW29&lt;((1/2*AV29*AX29^2)*2),SQRT((AW29/2)*2/AV29),AX29),0)</f>
        <v/>
      </c>
      <c r="BC29" s="163">
        <f>IFERROR(AZ29/AU29,0)</f>
        <v/>
      </c>
      <c r="BD29" s="163">
        <f>BB29</f>
        <v/>
      </c>
      <c r="BE29" s="163">
        <f>IF(AT29&gt;0,AT29,SUM(BB29:BD29))</f>
        <v/>
      </c>
      <c r="BF29" s="163" t="n"/>
      <c r="BG29" s="163">
        <f>BE29*BF29</f>
        <v/>
      </c>
      <c r="BI29" s="160">
        <f>BI28+1</f>
        <v/>
      </c>
      <c r="BJ29" s="165" t="n"/>
      <c r="BK29" s="162" t="n"/>
      <c r="BL29" s="163">
        <f>IFERROR(VLOOKUP(BJ29,'Master List'!$A:$D,2,0),0)</f>
        <v/>
      </c>
      <c r="BM29" s="163">
        <f>IFERROR(VLOOKUP(BJ29,'Master List'!$A:$D,3,0),0)</f>
        <v/>
      </c>
      <c r="BN29" s="163">
        <f>IFERROR(VLOOKUP(BJ29,'Master List'!$A:$D,4,0),0)</f>
        <v/>
      </c>
      <c r="BO29" s="163" t="n"/>
      <c r="BP29" s="163">
        <f>IFERROR(BM29/BN29,0)</f>
        <v/>
      </c>
      <c r="BQ29" s="163">
        <f>IFERROR(IF(BO29&lt;((1/2*BN29*BP29^2)*2),1/2*BN29*SQRT((BO29/2)*2/BN29)^2,1/2*BN29*BP29^2),0)</f>
        <v/>
      </c>
      <c r="BR29" s="163">
        <f>IFERROR(IF(BO29-BQ29-BS29&lt;=0,0,BO29-BQ29-BS29),0)</f>
        <v/>
      </c>
      <c r="BS29" s="163">
        <f>BQ29</f>
        <v/>
      </c>
      <c r="BT29" s="163">
        <f>IFERROR(IF(BO29&lt;((1/2*BN29*BP29^2)*2),SQRT((BO29/2)*2/BN29),BP29),0)</f>
        <v/>
      </c>
      <c r="BU29" s="163">
        <f>IFERROR(BR29/BM29,0)</f>
        <v/>
      </c>
      <c r="BV29" s="163">
        <f>BT29</f>
        <v/>
      </c>
      <c r="BW29" s="163">
        <f>IF(BL29&gt;0,BL29,SUM(BT29:BV29))</f>
        <v/>
      </c>
      <c r="BX29" s="163" t="n"/>
      <c r="BY29" s="163">
        <f>BW29*BX29</f>
        <v/>
      </c>
    </row>
    <row r="30">
      <c r="A30" s="33">
        <f>"Single cycle - Diagonally Farthest "&amp;C30&amp;" m"</f>
        <v/>
      </c>
      <c r="B30" s="56" t="n">
        <v>1</v>
      </c>
      <c r="C30" s="33">
        <f>(B30*$D$13)+$B$14</f>
        <v/>
      </c>
      <c r="G30" s="160">
        <f>G29+1</f>
        <v/>
      </c>
      <c r="H30" s="165" t="n"/>
      <c r="I30" s="162" t="n"/>
      <c r="J30" s="163">
        <f>IFERROR(VLOOKUP(H30,'Master List'!$A:$D,2,0),0)</f>
        <v/>
      </c>
      <c r="K30" s="163">
        <f>IFERROR(VLOOKUP(H30,'Master List'!$A:$D,3,0),0)</f>
        <v/>
      </c>
      <c r="L30" s="163">
        <f>IFERROR(VLOOKUP(H30,'Master List'!$A:$D,4,0),0)</f>
        <v/>
      </c>
      <c r="M30" s="163" t="n">
        <v>0</v>
      </c>
      <c r="N30" s="163">
        <f>IFERROR(K30/L30,0)</f>
        <v/>
      </c>
      <c r="O30" s="163">
        <f>IFERROR(IF(M30&lt;((1/2*L30*N30^2)*2),1/2*L30*SQRT((M30/2)*2/L30)^2,1/2*L30*N30^2),0)</f>
        <v/>
      </c>
      <c r="P30" s="163">
        <f>IFERROR(IF(M30-O30-Q30&lt;=0,0,M30-O30-Q30),0)</f>
        <v/>
      </c>
      <c r="Q30" s="163">
        <f>O30</f>
        <v/>
      </c>
      <c r="R30" s="163">
        <f>IFERROR(IF(M30&lt;((1/2*L30*N30^2)*2),SQRT((M30/2)*2/L30),N30),0)</f>
        <v/>
      </c>
      <c r="S30" s="163">
        <f>IFERROR(P30/K30,0)</f>
        <v/>
      </c>
      <c r="T30" s="163">
        <f>R30</f>
        <v/>
      </c>
      <c r="U30" s="163">
        <f>IF(J30&gt;0,J30,SUM(R30:T30))</f>
        <v/>
      </c>
      <c r="V30" s="163" t="n"/>
      <c r="W30" s="163">
        <f>U30*V30</f>
        <v/>
      </c>
      <c r="Y30" s="160">
        <f>Y29+1</f>
        <v/>
      </c>
      <c r="Z30" s="165" t="n"/>
      <c r="AA30" s="162" t="n"/>
      <c r="AB30" s="163">
        <f>IFERROR(VLOOKUP(Z30,'Master List'!$A:$D,2,0),0)</f>
        <v/>
      </c>
      <c r="AC30" s="163">
        <f>IFERROR(VLOOKUP(Z30,'Master List'!$A:$D,3,0),0)</f>
        <v/>
      </c>
      <c r="AD30" s="163">
        <f>IFERROR(VLOOKUP(Z30,'Master List'!$A:$D,4,0),0)</f>
        <v/>
      </c>
      <c r="AE30" s="163" t="n"/>
      <c r="AF30" s="163">
        <f>IFERROR(AC30/AD30,0)</f>
        <v/>
      </c>
      <c r="AG30" s="163">
        <f>IFERROR(IF(AE30&lt;((1/2*AD30*AF30^2)*2),1/2*AD30*SQRT((AE30/2)*2/AD30)^2,1/2*AD30*AF30^2),0)</f>
        <v/>
      </c>
      <c r="AH30" s="163">
        <f>IFERROR(IF(AE30-AG30-AI30&lt;=0,0,AE30-AG30-AI30),0)</f>
        <v/>
      </c>
      <c r="AI30" s="163">
        <f>AG30</f>
        <v/>
      </c>
      <c r="AJ30" s="163">
        <f>IFERROR(IF(AE30&lt;((1/2*AD30*AF30^2)*2),SQRT((AE30/2)*2/AD30),AF30),0)</f>
        <v/>
      </c>
      <c r="AK30" s="163">
        <f>IFERROR(AH30/AC30,0)</f>
        <v/>
      </c>
      <c r="AL30" s="163">
        <f>AJ30</f>
        <v/>
      </c>
      <c r="AM30" s="163">
        <f>IF(AB30&gt;0,AB30,SUM(AJ30:AL30))</f>
        <v/>
      </c>
      <c r="AN30" s="163" t="n"/>
      <c r="AO30" s="163">
        <f>AM30*AN30</f>
        <v/>
      </c>
      <c r="AQ30" s="160">
        <f>AQ29+1</f>
        <v/>
      </c>
      <c r="AR30" s="165" t="n"/>
      <c r="AS30" s="162" t="n"/>
      <c r="AT30" s="163">
        <f>IFERROR(VLOOKUP(AR30,'Master List'!$A:$D,2,0),0)</f>
        <v/>
      </c>
      <c r="AU30" s="163">
        <f>IFERROR(VLOOKUP(AR30,'Master List'!$A:$D,3,0),0)</f>
        <v/>
      </c>
      <c r="AV30" s="163">
        <f>IFERROR(VLOOKUP(AR30,'Master List'!$A:$D,4,0),0)</f>
        <v/>
      </c>
      <c r="AW30" s="163" t="n"/>
      <c r="AX30" s="163">
        <f>IFERROR(AU30/AV30,0)</f>
        <v/>
      </c>
      <c r="AY30" s="163">
        <f>IFERROR(IF(AW30&lt;((1/2*AV30*AX30^2)*2),1/2*AV30*SQRT((AW30/2)*2/AV30)^2,1/2*AV30*AX30^2),0)</f>
        <v/>
      </c>
      <c r="AZ30" s="163">
        <f>IFERROR(IF(AW30-AY30-BA30&lt;=0,0,AW30-AY30-BA30),0)</f>
        <v/>
      </c>
      <c r="BA30" s="163">
        <f>AY30</f>
        <v/>
      </c>
      <c r="BB30" s="163">
        <f>IFERROR(IF(AW30&lt;((1/2*AV30*AX30^2)*2),SQRT((AW30/2)*2/AV30),AX30),0)</f>
        <v/>
      </c>
      <c r="BC30" s="163">
        <f>IFERROR(AZ30/AU30,0)</f>
        <v/>
      </c>
      <c r="BD30" s="163">
        <f>BB30</f>
        <v/>
      </c>
      <c r="BE30" s="163">
        <f>IF(AT30&gt;0,AT30,SUM(BB30:BD30))</f>
        <v/>
      </c>
      <c r="BF30" s="163" t="n"/>
      <c r="BG30" s="163">
        <f>BE30*BF30</f>
        <v/>
      </c>
      <c r="BI30" s="160">
        <f>BI29+1</f>
        <v/>
      </c>
      <c r="BJ30" s="165" t="n"/>
      <c r="BK30" s="162" t="n"/>
      <c r="BL30" s="163">
        <f>IFERROR(VLOOKUP(BJ30,'Master List'!$A:$D,2,0),0)</f>
        <v/>
      </c>
      <c r="BM30" s="163">
        <f>IFERROR(VLOOKUP(BJ30,'Master List'!$A:$D,3,0),0)</f>
        <v/>
      </c>
      <c r="BN30" s="163">
        <f>IFERROR(VLOOKUP(BJ30,'Master List'!$A:$D,4,0),0)</f>
        <v/>
      </c>
      <c r="BO30" s="163" t="n"/>
      <c r="BP30" s="163">
        <f>IFERROR(BM30/BN30,0)</f>
        <v/>
      </c>
      <c r="BQ30" s="163">
        <f>IFERROR(IF(BO30&lt;((1/2*BN30*BP30^2)*2),1/2*BN30*SQRT((BO30/2)*2/BN30)^2,1/2*BN30*BP30^2),0)</f>
        <v/>
      </c>
      <c r="BR30" s="163">
        <f>IFERROR(IF(BO30-BQ30-BS30&lt;=0,0,BO30-BQ30-BS30),0)</f>
        <v/>
      </c>
      <c r="BS30" s="163">
        <f>BQ30</f>
        <v/>
      </c>
      <c r="BT30" s="163">
        <f>IFERROR(IF(BO30&lt;((1/2*BN30*BP30^2)*2),SQRT((BO30/2)*2/BN30),BP30),0)</f>
        <v/>
      </c>
      <c r="BU30" s="163">
        <f>IFERROR(BR30/BM30,0)</f>
        <v/>
      </c>
      <c r="BV30" s="163">
        <f>BT30</f>
        <v/>
      </c>
      <c r="BW30" s="163">
        <f>IF(BL30&gt;0,BL30,SUM(BT30:BV30))</f>
        <v/>
      </c>
      <c r="BX30" s="163" t="n"/>
      <c r="BY30" s="163">
        <f>BW30*BX30</f>
        <v/>
      </c>
    </row>
    <row r="31">
      <c r="BO31" s="219" t="n"/>
    </row>
    <row r="32">
      <c r="A32" s="37" t="inlineStr">
        <is>
          <t>Barcode distance m (Grid size)</t>
        </is>
      </c>
      <c r="B32" s="54" t="n">
        <v>0.9</v>
      </c>
    </row>
    <row r="33">
      <c r="A33" s="1" t="inlineStr">
        <is>
          <t>Barcodes per zippy</t>
        </is>
      </c>
      <c r="B33" s="1" t="n">
        <v>8</v>
      </c>
    </row>
    <row r="36" ht="15" customHeight="1" s="516">
      <c r="H36" s="216" t="n"/>
      <c r="I36" s="216" t="n"/>
    </row>
    <row r="37" ht="15" customHeight="1" s="516">
      <c r="H37" s="216" t="n"/>
      <c r="I37" s="216" t="n"/>
    </row>
    <row r="38" ht="15" customHeight="1" s="516">
      <c r="H38" s="216" t="n"/>
      <c r="I38" s="216" t="n"/>
    </row>
    <row r="39" ht="15" customHeight="1" s="516">
      <c r="H39" s="216" t="n"/>
      <c r="I39" s="216" t="n"/>
    </row>
  </sheetData>
  <sheetProtection selectLockedCells="0" selectUnlockedCells="0" algorithmName="SHA-512" sheet="1" objects="1" insertRows="1" insertHyperlinks="1" autoFilter="1" scenarios="1" formatColumns="1" deleteColumns="1" insertColumns="1" pivotTables="1" deleteRows="1" formatCells="1" saltValue="+oQLHd45eC19cTccjigu8g==" formatRows="1" sort="1" spinCount="100000" hashValue="A9vXnkS+4QE7l3FUL9iipGGqx+vMkbuAsqiSDakavCncOv9ZQKYZKXr+/yLdjD9whk8Hm2FQ2/qPqt0gilPbwQ=="/>
  <mergeCells count="24">
    <mergeCell ref="AR8:BF8"/>
    <mergeCell ref="Y6:Y10"/>
    <mergeCell ref="BJ9:BX9"/>
    <mergeCell ref="Z7:AN7"/>
    <mergeCell ref="H6:V6"/>
    <mergeCell ref="BJ6:BX6"/>
    <mergeCell ref="Z8:AN8"/>
    <mergeCell ref="BJ8:BX8"/>
    <mergeCell ref="AQ6:AQ10"/>
    <mergeCell ref="H7:V7"/>
    <mergeCell ref="BJ7:BX7"/>
    <mergeCell ref="AR6:BF6"/>
    <mergeCell ref="Y5:AO5"/>
    <mergeCell ref="Z9:AN9"/>
    <mergeCell ref="H8:V8"/>
    <mergeCell ref="AQ5:BG5"/>
    <mergeCell ref="G5:W5"/>
    <mergeCell ref="Z6:AN6"/>
    <mergeCell ref="BI5:BY5"/>
    <mergeCell ref="AR7:BF7"/>
    <mergeCell ref="H9:V9"/>
    <mergeCell ref="G6:G10"/>
    <mergeCell ref="AR9:BF9"/>
    <mergeCell ref="BI6:BI10"/>
  </mergeCells>
  <conditionalFormatting sqref="B7:B8 B10">
    <cfRule type="cellIs" priority="22" operator="lessThan" dxfId="1">
      <formula>$B$33</formula>
    </cfRule>
  </conditionalFormatting>
  <conditionalFormatting sqref="E25">
    <cfRule type="cellIs" priority="3" operator="notEqual" dxfId="0">
      <formula>1</formula>
    </cfRule>
  </conditionalFormatting>
  <pageMargins left="0.7" right="0.7" top="0.75" bottom="0.75" header="0.3" footer="0.3"/>
  <pageSetup orientation="landscape" scale="79"/>
  <drawing r:id="rId1"/>
</worksheet>
</file>

<file path=xl/worksheets/sheet6.xml><?xml version="1.0" encoding="utf-8"?>
<worksheet xmlns:r="http://schemas.openxmlformats.org/officeDocument/2006/relationships" xmlns="http://schemas.openxmlformats.org/spreadsheetml/2006/main">
  <sheetPr codeName="Sheet6">
    <tabColor rgb="FFFFC000"/>
    <outlinePr summaryBelow="1" summaryRight="1"/>
    <pageSetUpPr fitToPage="1"/>
  </sheetPr>
  <dimension ref="A1:CA39"/>
  <sheetViews>
    <sheetView showGridLines="0" topLeftCell="A3" zoomScale="70" zoomScaleNormal="70" workbookViewId="0">
      <selection activeCell="F31" sqref="F31"/>
    </sheetView>
  </sheetViews>
  <sheetFormatPr baseColWidth="10" defaultColWidth="8.6640625" defaultRowHeight="14"/>
  <cols>
    <col width="37.83203125" customWidth="1" style="1" min="1" max="1"/>
    <col width="35" bestFit="1" customWidth="1" style="1" min="2" max="2"/>
    <col width="21.5" bestFit="1" customWidth="1" style="1" min="3" max="3"/>
    <col width="11.33203125" bestFit="1" customWidth="1" style="1" min="4" max="4"/>
    <col width="11.6640625" bestFit="1" customWidth="1" style="1" min="5" max="5"/>
    <col width="30.83203125" customWidth="1" style="147" min="6" max="6"/>
    <col width="8.5" customWidth="1" style="153" min="7" max="7"/>
    <col width="24.6640625" customWidth="1" style="218" min="8" max="8"/>
    <col width="62.5" customWidth="1" style="218" min="9" max="9"/>
    <col hidden="1" width="11.5" customWidth="1" style="153" min="10" max="10"/>
    <col hidden="1" width="6.5" customWidth="1" style="153" min="11" max="11"/>
    <col hidden="1" width="11.6640625" customWidth="1" style="153" min="12" max="12"/>
    <col hidden="1" width="9.33203125" customWidth="1" style="218" min="13" max="13"/>
    <col hidden="1" width="10.6640625" customWidth="1" style="153" min="14" max="14"/>
    <col width="12.5" customWidth="1" style="153" min="15" max="15"/>
    <col hidden="1" width="9.5" customWidth="1" style="153" min="16" max="16"/>
    <col hidden="1" width="11.6640625" customWidth="1" style="153" min="17" max="17"/>
    <col hidden="1" width="11.5" customWidth="1" style="153" min="18" max="18"/>
    <col hidden="1" width="8.6640625" customWidth="1" style="153" min="19" max="19"/>
    <col hidden="1" width="11.33203125" customWidth="1" style="153" min="20" max="20"/>
    <col width="8.6640625" customWidth="1" style="153" min="21" max="21"/>
    <col width="9.33203125" customWidth="1" style="218" min="22" max="22"/>
    <col width="14.33203125" customWidth="1" style="153" min="23" max="23"/>
    <col width="8.6640625" customWidth="1" style="153" min="24" max="25"/>
    <col width="24.6640625" customWidth="1" style="218" min="26" max="26"/>
    <col width="27.6640625" customWidth="1" style="218" min="27" max="27"/>
    <col hidden="1" width="8.6640625" customWidth="1" style="153" min="28" max="30"/>
    <col width="8.6640625" customWidth="1" style="218" min="31" max="31"/>
    <col hidden="1" width="8.6640625" customWidth="1" style="153" min="32" max="38"/>
    <col width="8.6640625" customWidth="1" style="153" min="39" max="39"/>
    <col width="8.6640625" customWidth="1" style="218" min="40" max="40"/>
    <col width="8.6640625" customWidth="1" style="153" min="41" max="43"/>
    <col width="24.6640625" customWidth="1" style="218" min="44" max="44"/>
    <col width="32.6640625" customWidth="1" style="218" min="45" max="45"/>
    <col hidden="1" width="8.6640625" customWidth="1" style="153" min="46" max="48"/>
    <col width="8.6640625" customWidth="1" style="218" min="49" max="49"/>
    <col hidden="1" width="8.6640625" customWidth="1" style="153" min="50" max="56"/>
    <col width="8.6640625" customWidth="1" style="153" min="57" max="57"/>
    <col width="8.6640625" customWidth="1" style="218" min="58" max="58"/>
    <col width="8.6640625" customWidth="1" style="153" min="59" max="61"/>
    <col width="24.6640625" customWidth="1" style="218" min="62" max="62"/>
    <col width="23.83203125" customWidth="1" style="218" min="63" max="63"/>
    <col hidden="1" width="8.6640625" customWidth="1" style="153" min="64" max="66"/>
    <col width="8.6640625" customWidth="1" style="218" min="67" max="67"/>
    <col hidden="1" width="8.6640625" customWidth="1" style="153" min="68" max="74"/>
    <col width="8.6640625" customWidth="1" style="153" min="75" max="75"/>
    <col width="8.6640625" customWidth="1" style="218" min="76" max="76"/>
    <col width="8.6640625" customWidth="1" style="153" min="77" max="77"/>
    <col width="8.6640625" customWidth="1" style="147" min="78" max="79"/>
    <col width="8.6640625" customWidth="1" style="1" min="80" max="80"/>
    <col width="17.33203125" bestFit="1" customWidth="1" style="1" min="81" max="81"/>
    <col width="12.6640625" bestFit="1" customWidth="1" style="1" min="82" max="82"/>
    <col width="10.5" bestFit="1" customWidth="1" style="1" min="83" max="83"/>
    <col width="8.6640625" customWidth="1" style="1" min="84" max="84"/>
    <col width="8.6640625" customWidth="1" style="1" min="85" max="16384"/>
  </cols>
  <sheetData>
    <row r="1" ht="47" customFormat="1" customHeight="1" s="24">
      <c r="A1" s="1" t="n"/>
      <c r="B1" s="144">
        <f>'Master List'!$F$2</f>
        <v/>
      </c>
      <c r="C1" s="1" t="n"/>
      <c r="D1" s="1" t="n"/>
      <c r="E1" s="1" t="n"/>
      <c r="F1" s="147" t="n"/>
      <c r="G1" s="214" t="n"/>
      <c r="H1" s="215" t="n"/>
      <c r="I1" s="214" t="n"/>
      <c r="J1" s="214" t="n"/>
      <c r="K1" s="214" t="n"/>
      <c r="L1" s="214" t="n"/>
      <c r="M1" s="214" t="n"/>
      <c r="N1" s="214" t="n"/>
      <c r="O1" s="214" t="n"/>
      <c r="P1" s="214" t="n"/>
      <c r="Q1" s="214" t="n"/>
      <c r="R1" s="214" t="n"/>
      <c r="S1" s="214" t="n"/>
      <c r="T1" s="214" t="n"/>
      <c r="U1" s="214" t="n"/>
      <c r="V1" s="216" t="n"/>
      <c r="W1" s="216" t="n"/>
      <c r="X1" s="214" t="n"/>
      <c r="Y1" s="214" t="n"/>
      <c r="Z1" s="214" t="n"/>
      <c r="AA1" s="214" t="n"/>
      <c r="AB1" s="214" t="n"/>
      <c r="AC1" s="214" t="n"/>
      <c r="AD1" s="214" t="n"/>
      <c r="AE1" s="214" t="n"/>
      <c r="AF1" s="214" t="n"/>
      <c r="AG1" s="214" t="n"/>
      <c r="AH1" s="214" t="n"/>
      <c r="AI1" s="214" t="n"/>
      <c r="AJ1" s="214" t="n"/>
      <c r="AK1" s="214" t="n"/>
      <c r="AL1" s="214" t="n"/>
      <c r="AM1" s="214" t="n"/>
      <c r="AN1" s="214" t="n"/>
      <c r="AO1" s="214" t="n"/>
      <c r="AP1" s="214" t="n"/>
      <c r="AQ1" s="214" t="n"/>
      <c r="AR1" s="214" t="n"/>
      <c r="AS1" s="214" t="n"/>
      <c r="AT1" s="214" t="n"/>
      <c r="AU1" s="214" t="n"/>
      <c r="AV1" s="214" t="n"/>
      <c r="AW1" s="214" t="n"/>
      <c r="AX1" s="214" t="n"/>
      <c r="AY1" s="214" t="n"/>
      <c r="AZ1" s="214" t="n"/>
      <c r="BA1" s="214" t="n"/>
      <c r="BB1" s="214" t="n"/>
      <c r="BC1" s="214" t="n"/>
      <c r="BD1" s="214" t="n"/>
      <c r="BE1" s="214" t="n"/>
      <c r="BF1" s="214" t="n"/>
      <c r="BG1" s="214" t="n"/>
      <c r="BH1" s="214" t="n"/>
      <c r="BI1" s="214" t="n"/>
      <c r="BJ1" s="214" t="n"/>
      <c r="BK1" s="214" t="n"/>
      <c r="BL1" s="214" t="n"/>
      <c r="BM1" s="214" t="n"/>
      <c r="BN1" s="214" t="n"/>
      <c r="BO1" s="214" t="n"/>
      <c r="BP1" s="214" t="n"/>
      <c r="BQ1" s="214" t="n"/>
      <c r="BR1" s="214" t="n"/>
      <c r="BS1" s="214" t="n"/>
      <c r="BT1" s="214" t="n"/>
      <c r="BU1" s="214" t="n"/>
      <c r="BV1" s="214" t="n"/>
      <c r="BW1" s="214" t="n"/>
      <c r="BX1" s="214" t="n"/>
      <c r="BY1" s="214" t="n"/>
      <c r="BZ1" s="150" t="n"/>
      <c r="CA1" s="150" t="n"/>
    </row>
    <row r="2" ht="18.5" customFormat="1" customHeight="1" s="24">
      <c r="A2" s="34" t="inlineStr">
        <is>
          <t>Equipment</t>
        </is>
      </c>
      <c r="B2" s="33" t="inlineStr">
        <is>
          <t>Zippy 40</t>
        </is>
      </c>
      <c r="C2" s="1" t="n"/>
      <c r="D2" s="1" t="n"/>
      <c r="E2" s="1" t="n"/>
      <c r="F2" s="147" t="n"/>
      <c r="G2" s="214" t="n"/>
      <c r="H2" s="215" t="n"/>
      <c r="I2" s="214" t="n"/>
      <c r="J2" s="214" t="n"/>
      <c r="K2" s="214" t="n"/>
      <c r="L2" s="214" t="n"/>
      <c r="M2" s="214" t="n"/>
      <c r="N2" s="214" t="n"/>
      <c r="O2" s="214" t="n"/>
      <c r="P2" s="214" t="n"/>
      <c r="Q2" s="214" t="n"/>
      <c r="R2" s="214" t="n"/>
      <c r="S2" s="214" t="n"/>
      <c r="T2" s="214" t="n"/>
      <c r="U2" s="214" t="n"/>
      <c r="V2" s="216" t="n"/>
      <c r="W2" s="216" t="n"/>
      <c r="X2" s="214" t="n"/>
      <c r="Y2" s="214" t="n"/>
      <c r="Z2" s="214" t="n"/>
      <c r="AA2" s="214" t="n"/>
      <c r="AB2" s="214" t="n"/>
      <c r="AC2" s="214" t="n"/>
      <c r="AD2" s="214" t="n"/>
      <c r="AE2" s="214" t="n"/>
      <c r="AF2" s="214" t="n"/>
      <c r="AG2" s="214" t="n"/>
      <c r="AH2" s="214" t="n"/>
      <c r="AI2" s="214" t="n"/>
      <c r="AJ2" s="214" t="n"/>
      <c r="AK2" s="214" t="n"/>
      <c r="AL2" s="214" t="n"/>
      <c r="AM2" s="214" t="n"/>
      <c r="AN2" s="214" t="n"/>
      <c r="AO2" s="214" t="n"/>
      <c r="AP2" s="214" t="n"/>
      <c r="AQ2" s="214" t="n"/>
      <c r="AR2" s="214" t="n"/>
      <c r="AS2" s="214" t="n"/>
      <c r="AT2" s="214" t="n"/>
      <c r="AU2" s="214" t="n"/>
      <c r="AV2" s="214" t="n"/>
      <c r="AW2" s="214" t="n"/>
      <c r="AX2" s="214" t="n"/>
      <c r="AY2" s="214" t="n"/>
      <c r="AZ2" s="214" t="n"/>
      <c r="BA2" s="214" t="n"/>
      <c r="BB2" s="214" t="n"/>
      <c r="BC2" s="214" t="n"/>
      <c r="BD2" s="214" t="n"/>
      <c r="BE2" s="214" t="n"/>
      <c r="BF2" s="214" t="n"/>
      <c r="BG2" s="214" t="n"/>
      <c r="BH2" s="214" t="n"/>
      <c r="BI2" s="214" t="n"/>
      <c r="BJ2" s="214" t="n"/>
      <c r="BK2" s="214" t="n"/>
      <c r="BL2" s="214" t="n"/>
      <c r="BM2" s="214" t="n"/>
      <c r="BN2" s="214" t="n"/>
      <c r="BO2" s="214" t="n"/>
      <c r="BP2" s="214" t="n"/>
      <c r="BQ2" s="214" t="n"/>
      <c r="BR2" s="214" t="n"/>
      <c r="BS2" s="214" t="n"/>
      <c r="BT2" s="214" t="n"/>
      <c r="BU2" s="214" t="n"/>
      <c r="BV2" s="214" t="n"/>
      <c r="BW2" s="214" t="n"/>
      <c r="BX2" s="214" t="n"/>
      <c r="BY2" s="214" t="n"/>
      <c r="BZ2" s="150" t="n"/>
      <c r="CA2" s="150" t="n"/>
    </row>
    <row r="3" ht="18.5" customFormat="1" customHeight="1" s="24">
      <c r="A3" s="34" t="inlineStr">
        <is>
          <t>Utilization</t>
        </is>
      </c>
      <c r="B3" s="402">
        <f>W8</f>
        <v/>
      </c>
      <c r="C3" s="1" t="n"/>
      <c r="D3" s="1" t="n"/>
      <c r="E3" s="1" t="n"/>
      <c r="F3" s="147" t="n"/>
      <c r="G3" s="214" t="n"/>
      <c r="H3" s="215" t="n"/>
      <c r="I3" s="214" t="n"/>
      <c r="J3" s="214" t="n"/>
      <c r="K3" s="214" t="n"/>
      <c r="L3" s="214" t="n"/>
      <c r="M3" s="214" t="n"/>
      <c r="N3" s="214" t="n"/>
      <c r="O3" s="214" t="n"/>
      <c r="P3" s="214" t="n"/>
      <c r="Q3" s="214" t="n"/>
      <c r="R3" s="214" t="n"/>
      <c r="S3" s="214" t="n"/>
      <c r="T3" s="214" t="n"/>
      <c r="U3" s="214" t="n"/>
      <c r="V3" s="216" t="n"/>
      <c r="W3" s="216" t="n"/>
      <c r="X3" s="214" t="n"/>
      <c r="Y3" s="214" t="n"/>
      <c r="Z3" s="214" t="n"/>
      <c r="AA3" s="214" t="n"/>
      <c r="AB3" s="214" t="n"/>
      <c r="AC3" s="214" t="n"/>
      <c r="AD3" s="214" t="n"/>
      <c r="AE3" s="214" t="n"/>
      <c r="AF3" s="214" t="n"/>
      <c r="AG3" s="214" t="n"/>
      <c r="AH3" s="214" t="n"/>
      <c r="AI3" s="214" t="n"/>
      <c r="AJ3" s="214" t="n"/>
      <c r="AK3" s="214" t="n"/>
      <c r="AL3" s="214" t="n"/>
      <c r="AM3" s="214" t="n"/>
      <c r="AN3" s="214" t="n"/>
      <c r="AO3" s="214" t="n"/>
      <c r="AP3" s="214" t="n"/>
      <c r="AQ3" s="214" t="n"/>
      <c r="AR3" s="214" t="n"/>
      <c r="AS3" s="214" t="n"/>
      <c r="AT3" s="214" t="n"/>
      <c r="AU3" s="214" t="n"/>
      <c r="AV3" s="214" t="n"/>
      <c r="AW3" s="214" t="n"/>
      <c r="AX3" s="214" t="n"/>
      <c r="AY3" s="214" t="n"/>
      <c r="AZ3" s="214" t="n"/>
      <c r="BA3" s="214" t="n"/>
      <c r="BB3" s="214" t="n"/>
      <c r="BC3" s="214" t="n"/>
      <c r="BD3" s="214" t="n"/>
      <c r="BE3" s="214" t="n"/>
      <c r="BF3" s="214" t="n"/>
      <c r="BG3" s="214" t="n"/>
      <c r="BH3" s="214" t="n"/>
      <c r="BI3" s="214" t="n"/>
      <c r="BJ3" s="214" t="n"/>
      <c r="BK3" s="214" t="n"/>
      <c r="BL3" s="214" t="n"/>
      <c r="BM3" s="214" t="n"/>
      <c r="BN3" s="214" t="n"/>
      <c r="BO3" s="214" t="n"/>
      <c r="BP3" s="214" t="n"/>
      <c r="BQ3" s="214" t="n"/>
      <c r="BR3" s="214" t="n"/>
      <c r="BS3" s="214" t="n"/>
      <c r="BT3" s="214" t="n"/>
      <c r="BU3" s="214" t="n"/>
      <c r="BV3" s="214" t="n"/>
      <c r="BW3" s="214" t="n"/>
      <c r="BX3" s="214" t="n"/>
      <c r="BY3" s="214" t="n"/>
      <c r="BZ3" s="150" t="n"/>
      <c r="CA3" s="150" t="n"/>
    </row>
    <row r="4" ht="18.5" customHeight="1" s="516">
      <c r="A4" s="180" t="inlineStr">
        <is>
          <t>Project name</t>
        </is>
      </c>
      <c r="B4" s="181" t="n"/>
      <c r="G4" s="217" t="n"/>
      <c r="H4" s="217" t="n"/>
      <c r="I4" s="217" t="n"/>
      <c r="J4" s="217" t="n"/>
      <c r="K4" s="217" t="n"/>
      <c r="L4" s="217" t="n"/>
      <c r="M4" s="217" t="n"/>
      <c r="N4" s="217" t="n"/>
      <c r="O4" s="217" t="n"/>
      <c r="P4" s="217" t="n"/>
      <c r="Q4" s="217" t="n"/>
      <c r="R4" s="217" t="n"/>
      <c r="S4" s="217" t="n"/>
      <c r="T4" s="217" t="n"/>
      <c r="U4" s="217" t="n"/>
      <c r="V4" s="217" t="n"/>
      <c r="W4" s="217" t="n"/>
      <c r="Z4" s="153" t="n"/>
      <c r="AA4" s="153" t="n"/>
      <c r="AE4" s="153" t="n"/>
      <c r="AN4" s="153" t="n"/>
      <c r="AR4" s="153" t="n"/>
      <c r="AS4" s="153" t="n"/>
      <c r="AW4" s="153" t="n"/>
      <c r="BF4" s="153" t="n"/>
      <c r="BJ4" s="153" t="n"/>
      <c r="BK4" s="153" t="n"/>
      <c r="BO4" s="153" t="n"/>
      <c r="BX4" s="153" t="n"/>
    </row>
    <row r="5" ht="18.5" customHeight="1" s="516">
      <c r="A5" s="180" t="inlineStr">
        <is>
          <t>Revision</t>
        </is>
      </c>
      <c r="B5" s="181" t="n"/>
      <c r="G5" s="532">
        <f>A21</f>
        <v/>
      </c>
      <c r="H5" s="525" t="n"/>
      <c r="I5" s="525" t="n"/>
      <c r="J5" s="525" t="n"/>
      <c r="K5" s="525" t="n"/>
      <c r="L5" s="525" t="n"/>
      <c r="M5" s="525" t="n"/>
      <c r="N5" s="525" t="n"/>
      <c r="O5" s="525" t="n"/>
      <c r="P5" s="525" t="n"/>
      <c r="Q5" s="525" t="n"/>
      <c r="R5" s="525" t="n"/>
      <c r="S5" s="525" t="n"/>
      <c r="T5" s="525" t="n"/>
      <c r="U5" s="525" t="n"/>
      <c r="V5" s="525" t="n"/>
      <c r="W5" s="526" t="n"/>
      <c r="Y5" s="532">
        <f>A22</f>
        <v/>
      </c>
      <c r="Z5" s="525" t="n"/>
      <c r="AA5" s="525" t="n"/>
      <c r="AB5" s="525" t="n"/>
      <c r="AC5" s="525" t="n"/>
      <c r="AD5" s="525" t="n"/>
      <c r="AE5" s="525" t="n"/>
      <c r="AF5" s="525" t="n"/>
      <c r="AG5" s="525" t="n"/>
      <c r="AH5" s="525" t="n"/>
      <c r="AI5" s="525" t="n"/>
      <c r="AJ5" s="525" t="n"/>
      <c r="AK5" s="525" t="n"/>
      <c r="AL5" s="525" t="n"/>
      <c r="AM5" s="525" t="n"/>
      <c r="AN5" s="525" t="n"/>
      <c r="AO5" s="526" t="n"/>
      <c r="AQ5" s="532">
        <f>A23</f>
        <v/>
      </c>
      <c r="AR5" s="525" t="n"/>
      <c r="AS5" s="525" t="n"/>
      <c r="AT5" s="525" t="n"/>
      <c r="AU5" s="525" t="n"/>
      <c r="AV5" s="525" t="n"/>
      <c r="AW5" s="525" t="n"/>
      <c r="AX5" s="525" t="n"/>
      <c r="AY5" s="525" t="n"/>
      <c r="AZ5" s="525" t="n"/>
      <c r="BA5" s="525" t="n"/>
      <c r="BB5" s="525" t="n"/>
      <c r="BC5" s="525" t="n"/>
      <c r="BD5" s="525" t="n"/>
      <c r="BE5" s="525" t="n"/>
      <c r="BF5" s="525" t="n"/>
      <c r="BG5" s="526" t="n"/>
      <c r="BI5" s="532">
        <f>A24</f>
        <v/>
      </c>
      <c r="BJ5" s="525" t="n"/>
      <c r="BK5" s="525" t="n"/>
      <c r="BL5" s="525" t="n"/>
      <c r="BM5" s="525" t="n"/>
      <c r="BN5" s="525" t="n"/>
      <c r="BO5" s="525" t="n"/>
      <c r="BP5" s="525" t="n"/>
      <c r="BQ5" s="525" t="n"/>
      <c r="BR5" s="525" t="n"/>
      <c r="BS5" s="525" t="n"/>
      <c r="BT5" s="525" t="n"/>
      <c r="BU5" s="525" t="n"/>
      <c r="BV5" s="525" t="n"/>
      <c r="BW5" s="525" t="n"/>
      <c r="BX5" s="525" t="n"/>
      <c r="BY5" s="526" t="n"/>
    </row>
    <row r="6" ht="18" customHeight="1" s="516">
      <c r="G6" s="531" t="inlineStr">
        <is>
          <t>S.No</t>
        </is>
      </c>
      <c r="H6" s="530" t="inlineStr">
        <is>
          <t>Cycles / Hour</t>
        </is>
      </c>
      <c r="I6" s="522" t="n"/>
      <c r="J6" s="522" t="n"/>
      <c r="K6" s="522" t="n"/>
      <c r="L6" s="522" t="n"/>
      <c r="M6" s="522" t="n"/>
      <c r="N6" s="522" t="n"/>
      <c r="O6" s="522" t="n"/>
      <c r="P6" s="522" t="n"/>
      <c r="Q6" s="522" t="n"/>
      <c r="R6" s="522" t="n"/>
      <c r="S6" s="522" t="n"/>
      <c r="T6" s="522" t="n"/>
      <c r="U6" s="522" t="n"/>
      <c r="V6" s="523" t="n"/>
      <c r="W6" s="168">
        <f>3600/W7</f>
        <v/>
      </c>
      <c r="Y6" s="531" t="inlineStr">
        <is>
          <t>S.No</t>
        </is>
      </c>
      <c r="Z6" s="530" t="inlineStr">
        <is>
          <t>Cycles / Hour</t>
        </is>
      </c>
      <c r="AA6" s="522" t="n"/>
      <c r="AB6" s="522" t="n"/>
      <c r="AC6" s="522" t="n"/>
      <c r="AD6" s="522" t="n"/>
      <c r="AE6" s="522" t="n"/>
      <c r="AF6" s="522" t="n"/>
      <c r="AG6" s="522" t="n"/>
      <c r="AH6" s="522" t="n"/>
      <c r="AI6" s="522" t="n"/>
      <c r="AJ6" s="522" t="n"/>
      <c r="AK6" s="522" t="n"/>
      <c r="AL6" s="522" t="n"/>
      <c r="AM6" s="522" t="n"/>
      <c r="AN6" s="523" t="n"/>
      <c r="AO6" s="168">
        <f>3600/AO7</f>
        <v/>
      </c>
      <c r="AQ6" s="531" t="inlineStr">
        <is>
          <t>S.No</t>
        </is>
      </c>
      <c r="AR6" s="530" t="inlineStr">
        <is>
          <t>Cycles / Hour</t>
        </is>
      </c>
      <c r="AS6" s="522" t="n"/>
      <c r="AT6" s="522" t="n"/>
      <c r="AU6" s="522" t="n"/>
      <c r="AV6" s="522" t="n"/>
      <c r="AW6" s="522" t="n"/>
      <c r="AX6" s="522" t="n"/>
      <c r="AY6" s="522" t="n"/>
      <c r="AZ6" s="522" t="n"/>
      <c r="BA6" s="522" t="n"/>
      <c r="BB6" s="522" t="n"/>
      <c r="BC6" s="522" t="n"/>
      <c r="BD6" s="522" t="n"/>
      <c r="BE6" s="522" t="n"/>
      <c r="BF6" s="523" t="n"/>
      <c r="BG6" s="168">
        <f>3600/BG7</f>
        <v/>
      </c>
      <c r="BI6" s="531" t="inlineStr">
        <is>
          <t>S.No</t>
        </is>
      </c>
      <c r="BJ6" s="530" t="inlineStr">
        <is>
          <t>Cycles / Hour</t>
        </is>
      </c>
      <c r="BK6" s="522" t="n"/>
      <c r="BL6" s="522" t="n"/>
      <c r="BM6" s="522" t="n"/>
      <c r="BN6" s="522" t="n"/>
      <c r="BO6" s="522" t="n"/>
      <c r="BP6" s="522" t="n"/>
      <c r="BQ6" s="522" t="n"/>
      <c r="BR6" s="522" t="n"/>
      <c r="BS6" s="522" t="n"/>
      <c r="BT6" s="522" t="n"/>
      <c r="BU6" s="522" t="n"/>
      <c r="BV6" s="522" t="n"/>
      <c r="BW6" s="522" t="n"/>
      <c r="BX6" s="523" t="n"/>
      <c r="BY6" s="168">
        <f>3600/BY7</f>
        <v/>
      </c>
    </row>
    <row r="7" ht="28.25" customHeight="1" s="516">
      <c r="A7" s="35" t="inlineStr">
        <is>
          <t>Cycles/ Hr</t>
        </is>
      </c>
      <c r="B7" s="53">
        <f>SUMPRODUCT(D21:D24,E21:E24)</f>
        <v/>
      </c>
      <c r="C7" s="6" t="n"/>
      <c r="D7" s="6" t="n"/>
      <c r="E7" s="6" t="n"/>
      <c r="F7" s="151" t="n"/>
      <c r="G7" s="528" t="n"/>
      <c r="H7" s="530" t="inlineStr">
        <is>
          <t>Effective Cycle Time</t>
        </is>
      </c>
      <c r="I7" s="522" t="n"/>
      <c r="J7" s="522" t="n"/>
      <c r="K7" s="522" t="n"/>
      <c r="L7" s="522" t="n"/>
      <c r="M7" s="522" t="n"/>
      <c r="N7" s="522" t="n"/>
      <c r="O7" s="522" t="n"/>
      <c r="P7" s="522" t="n"/>
      <c r="Q7" s="522" t="n"/>
      <c r="R7" s="522" t="n"/>
      <c r="S7" s="522" t="n"/>
      <c r="T7" s="522" t="n"/>
      <c r="U7" s="522" t="n"/>
      <c r="V7" s="523" t="n"/>
      <c r="W7" s="156">
        <f>W9/W8</f>
        <v/>
      </c>
      <c r="Y7" s="528" t="n"/>
      <c r="Z7" s="530" t="inlineStr">
        <is>
          <t>Effective Cycle Time</t>
        </is>
      </c>
      <c r="AA7" s="522" t="n"/>
      <c r="AB7" s="522" t="n"/>
      <c r="AC7" s="522" t="n"/>
      <c r="AD7" s="522" t="n"/>
      <c r="AE7" s="522" t="n"/>
      <c r="AF7" s="522" t="n"/>
      <c r="AG7" s="522" t="n"/>
      <c r="AH7" s="522" t="n"/>
      <c r="AI7" s="522" t="n"/>
      <c r="AJ7" s="522" t="n"/>
      <c r="AK7" s="522" t="n"/>
      <c r="AL7" s="522" t="n"/>
      <c r="AM7" s="522" t="n"/>
      <c r="AN7" s="523" t="n"/>
      <c r="AO7" s="156">
        <f>AO9/AO8</f>
        <v/>
      </c>
      <c r="AQ7" s="528" t="n"/>
      <c r="AR7" s="530" t="inlineStr">
        <is>
          <t>Effective Cycle Time</t>
        </is>
      </c>
      <c r="AS7" s="522" t="n"/>
      <c r="AT7" s="522" t="n"/>
      <c r="AU7" s="522" t="n"/>
      <c r="AV7" s="522" t="n"/>
      <c r="AW7" s="522" t="n"/>
      <c r="AX7" s="522" t="n"/>
      <c r="AY7" s="522" t="n"/>
      <c r="AZ7" s="522" t="n"/>
      <c r="BA7" s="522" t="n"/>
      <c r="BB7" s="522" t="n"/>
      <c r="BC7" s="522" t="n"/>
      <c r="BD7" s="522" t="n"/>
      <c r="BE7" s="522" t="n"/>
      <c r="BF7" s="523" t="n"/>
      <c r="BG7" s="156">
        <f>BG9/BG8</f>
        <v/>
      </c>
      <c r="BI7" s="528" t="n"/>
      <c r="BJ7" s="530" t="inlineStr">
        <is>
          <t>Effective Cycle Time</t>
        </is>
      </c>
      <c r="BK7" s="522" t="n"/>
      <c r="BL7" s="522" t="n"/>
      <c r="BM7" s="522" t="n"/>
      <c r="BN7" s="522" t="n"/>
      <c r="BO7" s="522" t="n"/>
      <c r="BP7" s="522" t="n"/>
      <c r="BQ7" s="522" t="n"/>
      <c r="BR7" s="522" t="n"/>
      <c r="BS7" s="522" t="n"/>
      <c r="BT7" s="522" t="n"/>
      <c r="BU7" s="522" t="n"/>
      <c r="BV7" s="522" t="n"/>
      <c r="BW7" s="522" t="n"/>
      <c r="BX7" s="523" t="n"/>
      <c r="BY7" s="156">
        <f>BY9/BY8</f>
        <v/>
      </c>
    </row>
    <row r="8" ht="27.5" customHeight="1" s="516">
      <c r="A8" s="35" t="inlineStr">
        <is>
          <t>Zippy required</t>
        </is>
      </c>
      <c r="B8" s="53">
        <f>ROUNDUP(((B15/B7)*(1+B16))*(1+B17),)</f>
        <v/>
      </c>
      <c r="G8" s="528" t="n"/>
      <c r="H8" s="530" t="inlineStr">
        <is>
          <t>Equipment Utilization</t>
        </is>
      </c>
      <c r="I8" s="522" t="n"/>
      <c r="J8" s="522" t="n"/>
      <c r="K8" s="522" t="n"/>
      <c r="L8" s="522" t="n"/>
      <c r="M8" s="522" t="n"/>
      <c r="N8" s="522" t="n"/>
      <c r="O8" s="522" t="n"/>
      <c r="P8" s="522" t="n"/>
      <c r="Q8" s="522" t="n"/>
      <c r="R8" s="522" t="n"/>
      <c r="S8" s="522" t="n"/>
      <c r="T8" s="522" t="n"/>
      <c r="U8" s="522" t="n"/>
      <c r="V8" s="523" t="n"/>
      <c r="W8" s="157">
        <f>'Master List'!$G$1</f>
        <v/>
      </c>
      <c r="Y8" s="528" t="n"/>
      <c r="Z8" s="530" t="inlineStr">
        <is>
          <t>Equipment Utilization</t>
        </is>
      </c>
      <c r="AA8" s="522" t="n"/>
      <c r="AB8" s="522" t="n"/>
      <c r="AC8" s="522" t="n"/>
      <c r="AD8" s="522" t="n"/>
      <c r="AE8" s="522" t="n"/>
      <c r="AF8" s="522" t="n"/>
      <c r="AG8" s="522" t="n"/>
      <c r="AH8" s="522" t="n"/>
      <c r="AI8" s="522" t="n"/>
      <c r="AJ8" s="522" t="n"/>
      <c r="AK8" s="522" t="n"/>
      <c r="AL8" s="522" t="n"/>
      <c r="AM8" s="522" t="n"/>
      <c r="AN8" s="523" t="n"/>
      <c r="AO8" s="157">
        <f>'Master List'!$G$1</f>
        <v/>
      </c>
      <c r="AQ8" s="528" t="n"/>
      <c r="AR8" s="530" t="inlineStr">
        <is>
          <t>Equipment Utilization</t>
        </is>
      </c>
      <c r="AS8" s="522" t="n"/>
      <c r="AT8" s="522" t="n"/>
      <c r="AU8" s="522" t="n"/>
      <c r="AV8" s="522" t="n"/>
      <c r="AW8" s="522" t="n"/>
      <c r="AX8" s="522" t="n"/>
      <c r="AY8" s="522" t="n"/>
      <c r="AZ8" s="522" t="n"/>
      <c r="BA8" s="522" t="n"/>
      <c r="BB8" s="522" t="n"/>
      <c r="BC8" s="522" t="n"/>
      <c r="BD8" s="522" t="n"/>
      <c r="BE8" s="522" t="n"/>
      <c r="BF8" s="523" t="n"/>
      <c r="BG8" s="157">
        <f>'Master List'!$G$1</f>
        <v/>
      </c>
      <c r="BI8" s="528" t="n"/>
      <c r="BJ8" s="530" t="inlineStr">
        <is>
          <t>Equipment Utilization</t>
        </is>
      </c>
      <c r="BK8" s="522" t="n"/>
      <c r="BL8" s="522" t="n"/>
      <c r="BM8" s="522" t="n"/>
      <c r="BN8" s="522" t="n"/>
      <c r="BO8" s="522" t="n"/>
      <c r="BP8" s="522" t="n"/>
      <c r="BQ8" s="522" t="n"/>
      <c r="BR8" s="522" t="n"/>
      <c r="BS8" s="522" t="n"/>
      <c r="BT8" s="522" t="n"/>
      <c r="BU8" s="522" t="n"/>
      <c r="BV8" s="522" t="n"/>
      <c r="BW8" s="522" t="n"/>
      <c r="BX8" s="523" t="n"/>
      <c r="BY8" s="157">
        <f>'Master List'!$G$1</f>
        <v/>
      </c>
    </row>
    <row r="9" ht="18" customHeight="1" s="516">
      <c r="G9" s="528" t="n"/>
      <c r="H9" s="530" t="inlineStr">
        <is>
          <t>Cycle Time</t>
        </is>
      </c>
      <c r="I9" s="522" t="n"/>
      <c r="J9" s="522" t="n"/>
      <c r="K9" s="522" t="n"/>
      <c r="L9" s="522" t="n"/>
      <c r="M9" s="522" t="n"/>
      <c r="N9" s="522" t="n"/>
      <c r="O9" s="522" t="n"/>
      <c r="P9" s="522" t="n"/>
      <c r="Q9" s="522" t="n"/>
      <c r="R9" s="522" t="n"/>
      <c r="S9" s="522" t="n"/>
      <c r="T9" s="522" t="n"/>
      <c r="U9" s="522" t="n"/>
      <c r="V9" s="523" t="n"/>
      <c r="W9" s="158">
        <f>SUM(W11:W96)</f>
        <v/>
      </c>
      <c r="Y9" s="528" t="n"/>
      <c r="Z9" s="530" t="inlineStr">
        <is>
          <t>Cycle Time</t>
        </is>
      </c>
      <c r="AA9" s="522" t="n"/>
      <c r="AB9" s="522" t="n"/>
      <c r="AC9" s="522" t="n"/>
      <c r="AD9" s="522" t="n"/>
      <c r="AE9" s="522" t="n"/>
      <c r="AF9" s="522" t="n"/>
      <c r="AG9" s="522" t="n"/>
      <c r="AH9" s="522" t="n"/>
      <c r="AI9" s="522" t="n"/>
      <c r="AJ9" s="522" t="n"/>
      <c r="AK9" s="522" t="n"/>
      <c r="AL9" s="522" t="n"/>
      <c r="AM9" s="522" t="n"/>
      <c r="AN9" s="523" t="n"/>
      <c r="AO9" s="158">
        <f>SUM(AO11:AO96)</f>
        <v/>
      </c>
      <c r="AQ9" s="528" t="n"/>
      <c r="AR9" s="530" t="inlineStr">
        <is>
          <t>Cycle Time</t>
        </is>
      </c>
      <c r="AS9" s="522" t="n"/>
      <c r="AT9" s="522" t="n"/>
      <c r="AU9" s="522" t="n"/>
      <c r="AV9" s="522" t="n"/>
      <c r="AW9" s="522" t="n"/>
      <c r="AX9" s="522" t="n"/>
      <c r="AY9" s="522" t="n"/>
      <c r="AZ9" s="522" t="n"/>
      <c r="BA9" s="522" t="n"/>
      <c r="BB9" s="522" t="n"/>
      <c r="BC9" s="522" t="n"/>
      <c r="BD9" s="522" t="n"/>
      <c r="BE9" s="522" t="n"/>
      <c r="BF9" s="523" t="n"/>
      <c r="BG9" s="158">
        <f>SUM(BG11:BG96)</f>
        <v/>
      </c>
      <c r="BI9" s="528" t="n"/>
      <c r="BJ9" s="530" t="inlineStr">
        <is>
          <t>Cycle Time</t>
        </is>
      </c>
      <c r="BK9" s="522" t="n"/>
      <c r="BL9" s="522" t="n"/>
      <c r="BM9" s="522" t="n"/>
      <c r="BN9" s="522" t="n"/>
      <c r="BO9" s="522" t="n"/>
      <c r="BP9" s="522" t="n"/>
      <c r="BQ9" s="522" t="n"/>
      <c r="BR9" s="522" t="n"/>
      <c r="BS9" s="522" t="n"/>
      <c r="BT9" s="522" t="n"/>
      <c r="BU9" s="522" t="n"/>
      <c r="BV9" s="522" t="n"/>
      <c r="BW9" s="522" t="n"/>
      <c r="BX9" s="523" t="n"/>
      <c r="BY9" s="158">
        <f>SUM(BY11:BY96)</f>
        <v/>
      </c>
    </row>
    <row r="10" ht="17.75" customFormat="1" customHeight="1" s="6">
      <c r="A10" s="33" t="inlineStr">
        <is>
          <t>Zippy to barcode ratio</t>
        </is>
      </c>
      <c r="B10" s="49">
        <f>B18/B8</f>
        <v/>
      </c>
      <c r="C10" s="1" t="inlineStr">
        <is>
          <t>&lt;&lt;-If this cell becomes red then increase the number of barcodes on the layout</t>
        </is>
      </c>
      <c r="D10" s="1" t="n"/>
      <c r="E10" s="1" t="n"/>
      <c r="F10" s="147" t="n"/>
      <c r="G10" s="529" t="n"/>
      <c r="H10" s="531" t="inlineStr">
        <is>
          <t>Activity Type</t>
        </is>
      </c>
      <c r="I10" s="159" t="inlineStr">
        <is>
          <t>Steps</t>
        </is>
      </c>
      <c r="J10" s="159" t="inlineStr">
        <is>
          <t>Time to consider in absence of data (sec)</t>
        </is>
      </c>
      <c r="K10" s="159" t="inlineStr">
        <is>
          <t>Speed (m / sec)</t>
        </is>
      </c>
      <c r="L10" s="159" t="inlineStr">
        <is>
          <t>Acceleration (m / sec^2)</t>
        </is>
      </c>
      <c r="M10" s="159" t="inlineStr">
        <is>
          <t>Total Distance (m)</t>
        </is>
      </c>
      <c r="N10" s="159" t="inlineStr">
        <is>
          <t>Time to Reach Max Speed (sec)</t>
        </is>
      </c>
      <c r="O10" s="159" t="inlineStr">
        <is>
          <t>Distance in accerlaration (m)</t>
        </is>
      </c>
      <c r="P10" s="159" t="inlineStr">
        <is>
          <t>Distance in Max speed (m)</t>
        </is>
      </c>
      <c r="Q10" s="159" t="inlineStr">
        <is>
          <t>Distance in de-acceleration (m)</t>
        </is>
      </c>
      <c r="R10" s="159" t="inlineStr">
        <is>
          <t>Time in acceleration (sec)</t>
        </is>
      </c>
      <c r="S10" s="159" t="inlineStr">
        <is>
          <t>Time in full speed (sec)</t>
        </is>
      </c>
      <c r="T10" s="159" t="inlineStr">
        <is>
          <t>Time in de-acceleration (sec)</t>
        </is>
      </c>
      <c r="U10" s="159" t="inlineStr">
        <is>
          <t>Time (sec)</t>
        </is>
      </c>
      <c r="V10" s="159" t="inlineStr">
        <is>
          <t>Units</t>
        </is>
      </c>
      <c r="W10" s="159" t="inlineStr">
        <is>
          <t>Total Time</t>
        </is>
      </c>
      <c r="X10" s="154" t="n"/>
      <c r="Y10" s="529" t="n"/>
      <c r="Z10" s="531" t="inlineStr">
        <is>
          <t>Activity Type</t>
        </is>
      </c>
      <c r="AA10" s="159" t="inlineStr">
        <is>
          <t>Steps</t>
        </is>
      </c>
      <c r="AB10" s="159" t="inlineStr">
        <is>
          <t>Time to consider in absence of data (sec)</t>
        </is>
      </c>
      <c r="AC10" s="159" t="inlineStr">
        <is>
          <t>Speed (m / sec)</t>
        </is>
      </c>
      <c r="AD10" s="159" t="inlineStr">
        <is>
          <t>Acceleration (m / sec^2)</t>
        </is>
      </c>
      <c r="AE10" s="159" t="inlineStr">
        <is>
          <t>Total Distance (m)</t>
        </is>
      </c>
      <c r="AF10" s="159" t="inlineStr">
        <is>
          <t>Time to Reach Max Speed (sec)</t>
        </is>
      </c>
      <c r="AG10" s="159" t="inlineStr">
        <is>
          <t>Distance in accerlaration (m)</t>
        </is>
      </c>
      <c r="AH10" s="159" t="inlineStr">
        <is>
          <t>Distance in Max speed (m)</t>
        </is>
      </c>
      <c r="AI10" s="159" t="inlineStr">
        <is>
          <t>Distance in de-acceleration (m)</t>
        </is>
      </c>
      <c r="AJ10" s="159" t="inlineStr">
        <is>
          <t>Time in acceleration (sec)</t>
        </is>
      </c>
      <c r="AK10" s="159" t="inlineStr">
        <is>
          <t>Time in full speed (sec)</t>
        </is>
      </c>
      <c r="AL10" s="159" t="inlineStr">
        <is>
          <t>Time in de-acceleration (sec)</t>
        </is>
      </c>
      <c r="AM10" s="159" t="inlineStr">
        <is>
          <t>Time (sec)</t>
        </is>
      </c>
      <c r="AN10" s="159" t="inlineStr">
        <is>
          <t>Units</t>
        </is>
      </c>
      <c r="AO10" s="159" t="inlineStr">
        <is>
          <t>Total Time</t>
        </is>
      </c>
      <c r="AP10" s="154" t="n"/>
      <c r="AQ10" s="529" t="n"/>
      <c r="AR10" s="531" t="inlineStr">
        <is>
          <t>Activity Type</t>
        </is>
      </c>
      <c r="AS10" s="159" t="inlineStr">
        <is>
          <t>Steps</t>
        </is>
      </c>
      <c r="AT10" s="159" t="inlineStr">
        <is>
          <t>Time to consider in absence of data (sec)</t>
        </is>
      </c>
      <c r="AU10" s="159" t="inlineStr">
        <is>
          <t>Speed (m / sec)</t>
        </is>
      </c>
      <c r="AV10" s="159" t="inlineStr">
        <is>
          <t>Acceleration (m / sec^2)</t>
        </is>
      </c>
      <c r="AW10" s="159" t="inlineStr">
        <is>
          <t>Total Distance (m)</t>
        </is>
      </c>
      <c r="AX10" s="159" t="inlineStr">
        <is>
          <t>Time to Reach Max Speed (sec)</t>
        </is>
      </c>
      <c r="AY10" s="159" t="inlineStr">
        <is>
          <t>Distance in accerlaration (m)</t>
        </is>
      </c>
      <c r="AZ10" s="159" t="inlineStr">
        <is>
          <t>Distance in Max speed (m)</t>
        </is>
      </c>
      <c r="BA10" s="159" t="inlineStr">
        <is>
          <t>Distance in de-acceleration (m)</t>
        </is>
      </c>
      <c r="BB10" s="159" t="inlineStr">
        <is>
          <t>Time in acceleration (sec)</t>
        </is>
      </c>
      <c r="BC10" s="159" t="inlineStr">
        <is>
          <t>Time in full speed (sec)</t>
        </is>
      </c>
      <c r="BD10" s="159" t="inlineStr">
        <is>
          <t>Time in de-acceleration (sec)</t>
        </is>
      </c>
      <c r="BE10" s="159" t="inlineStr">
        <is>
          <t>Time (sec)</t>
        </is>
      </c>
      <c r="BF10" s="159" t="inlineStr">
        <is>
          <t>Units</t>
        </is>
      </c>
      <c r="BG10" s="159" t="inlineStr">
        <is>
          <t>Total Time</t>
        </is>
      </c>
      <c r="BH10" s="154" t="n"/>
      <c r="BI10" s="529" t="n"/>
      <c r="BJ10" s="531" t="inlineStr">
        <is>
          <t>Activity Type</t>
        </is>
      </c>
      <c r="BK10" s="159" t="inlineStr">
        <is>
          <t>Steps</t>
        </is>
      </c>
      <c r="BL10" s="159" t="inlineStr">
        <is>
          <t>Time to consider in absence of data (sec)</t>
        </is>
      </c>
      <c r="BM10" s="159" t="inlineStr">
        <is>
          <t>Speed (m / sec)</t>
        </is>
      </c>
      <c r="BN10" s="159" t="inlineStr">
        <is>
          <t>Acceleration (m / sec^2)</t>
        </is>
      </c>
      <c r="BO10" s="159" t="inlineStr">
        <is>
          <t>Total Distance (m)</t>
        </is>
      </c>
      <c r="BP10" s="159" t="inlineStr">
        <is>
          <t>Time to Reach Max Speed (sec)</t>
        </is>
      </c>
      <c r="BQ10" s="159" t="inlineStr">
        <is>
          <t>Distance in accerlaration (m)</t>
        </is>
      </c>
      <c r="BR10" s="159" t="inlineStr">
        <is>
          <t>Distance in Max speed (m)</t>
        </is>
      </c>
      <c r="BS10" s="159" t="inlineStr">
        <is>
          <t>Distance in de-acceleration (m)</t>
        </is>
      </c>
      <c r="BT10" s="159" t="inlineStr">
        <is>
          <t>Time in acceleration (sec)</t>
        </is>
      </c>
      <c r="BU10" s="159" t="inlineStr">
        <is>
          <t>Time in full speed (sec)</t>
        </is>
      </c>
      <c r="BV10" s="159" t="inlineStr">
        <is>
          <t>Time in de-acceleration (sec)</t>
        </is>
      </c>
      <c r="BW10" s="159" t="inlineStr">
        <is>
          <t>Time (sec)</t>
        </is>
      </c>
      <c r="BX10" s="159" t="inlineStr">
        <is>
          <t>Units</t>
        </is>
      </c>
      <c r="BY10" s="159" t="inlineStr">
        <is>
          <t>Total Time</t>
        </is>
      </c>
      <c r="BZ10" s="151" t="n"/>
      <c r="CA10" s="151" t="n"/>
    </row>
    <row r="11" ht="15" customHeight="1" s="516">
      <c r="G11" s="160" t="n">
        <v>1</v>
      </c>
      <c r="H11" s="161" t="inlineStr">
        <is>
          <t>Zippy 40 Running</t>
        </is>
      </c>
      <c r="I11" s="162" t="inlineStr">
        <is>
          <t>Reach induction station</t>
        </is>
      </c>
      <c r="J11" s="163">
        <f>IFERROR(VLOOKUP(H11,'Master List'!$A:$D,2,0),0)</f>
        <v/>
      </c>
      <c r="K11" s="163">
        <f>IFERROR(VLOOKUP(H11,'Master List'!$A:$D,3,0),0)</f>
        <v/>
      </c>
      <c r="L11" s="163">
        <f>IFERROR(VLOOKUP(H11,'Master List'!$A:$D,4,0),0)</f>
        <v/>
      </c>
      <c r="M11" s="163">
        <f>$B$32</f>
        <v/>
      </c>
      <c r="N11" s="163">
        <f>IFERROR(K11/L11,0)</f>
        <v/>
      </c>
      <c r="O11" s="163">
        <f>IFERROR(IF(M11&lt;((1/2*L11*N11^2)*2),1/2*L11*SQRT((M11/2)*2/L11)^2,1/2*L11*N11^2),0)</f>
        <v/>
      </c>
      <c r="P11" s="163">
        <f>IFERROR(IF(M11-O11-Q11&lt;=0,0,M11-O11-Q11),0)</f>
        <v/>
      </c>
      <c r="Q11" s="163">
        <f>O11</f>
        <v/>
      </c>
      <c r="R11" s="163">
        <f>IFERROR(IF(M11&lt;((1/2*L11*N11^2)*2),SQRT((M11/2)*2/L11),N11),0)</f>
        <v/>
      </c>
      <c r="S11" s="163">
        <f>IFERROR(P11/K11,0)</f>
        <v/>
      </c>
      <c r="T11" s="163">
        <f>R11</f>
        <v/>
      </c>
      <c r="U11" s="163">
        <f>IF(J11&gt;0,J11,SUM(R11:T11))</f>
        <v/>
      </c>
      <c r="V11" s="163" t="n">
        <v>1</v>
      </c>
      <c r="W11" s="163">
        <f>U11*V11</f>
        <v/>
      </c>
      <c r="Y11" s="160" t="n">
        <v>1</v>
      </c>
      <c r="Z11" s="161" t="inlineStr">
        <is>
          <t>Zippy 40 Running</t>
        </is>
      </c>
      <c r="AA11" s="162" t="n"/>
      <c r="AB11" s="163">
        <f>IFERROR(VLOOKUP(Z11,'Master List'!$A:$D,2,0),0)</f>
        <v/>
      </c>
      <c r="AC11" s="163">
        <f>IFERROR(VLOOKUP(Z11,'Master List'!$A:$D,3,0),0)</f>
        <v/>
      </c>
      <c r="AD11" s="163">
        <f>IFERROR(VLOOKUP(Z11,'Master List'!$A:$D,4,0),0)</f>
        <v/>
      </c>
      <c r="AE11" s="163">
        <f>$B$32</f>
        <v/>
      </c>
      <c r="AF11" s="163">
        <f>IFERROR(AC11/AD11,0)</f>
        <v/>
      </c>
      <c r="AG11" s="163">
        <f>IFERROR(IF(AE11&lt;((1/2*AD11*AF11^2)*2),1/2*AD11*SQRT((AE11/2)*2/AD11)^2,1/2*AD11*AF11^2),0)</f>
        <v/>
      </c>
      <c r="AH11" s="163">
        <f>IFERROR(IF(AE11-AG11-AI11&lt;=0,0,AE11-AG11-AI11),0)</f>
        <v/>
      </c>
      <c r="AI11" s="163">
        <f>AG11</f>
        <v/>
      </c>
      <c r="AJ11" s="163">
        <f>IFERROR(IF(AE11&lt;((1/2*AD11*AF11^2)*2),SQRT((AE11/2)*2/AD11),AF11),0)</f>
        <v/>
      </c>
      <c r="AK11" s="163">
        <f>IFERROR(AH11/AC11,0)</f>
        <v/>
      </c>
      <c r="AL11" s="163">
        <f>AJ11</f>
        <v/>
      </c>
      <c r="AM11" s="163">
        <f>IF(AB11&gt;0,AB11,SUM(AJ11:AL11))</f>
        <v/>
      </c>
      <c r="AN11" s="163" t="n">
        <v>1</v>
      </c>
      <c r="AO11" s="163">
        <f>AM11*AN11</f>
        <v/>
      </c>
      <c r="AQ11" s="160" t="n">
        <v>1</v>
      </c>
      <c r="AR11" s="161" t="inlineStr">
        <is>
          <t>Zippy 40 Running</t>
        </is>
      </c>
      <c r="AS11" s="162" t="n"/>
      <c r="AT11" s="163">
        <f>IFERROR(VLOOKUP(AR11,'Master List'!$A:$D,2,0),0)</f>
        <v/>
      </c>
      <c r="AU11" s="163">
        <f>IFERROR(VLOOKUP(AR11,'Master List'!$A:$D,3,0),0)</f>
        <v/>
      </c>
      <c r="AV11" s="163">
        <f>IFERROR(VLOOKUP(AR11,'Master List'!$A:$D,4,0),0)</f>
        <v/>
      </c>
      <c r="AW11" s="163">
        <f>$B$32</f>
        <v/>
      </c>
      <c r="AX11" s="163">
        <f>IFERROR(AU11/AV11,0)</f>
        <v/>
      </c>
      <c r="AY11" s="163">
        <f>IFERROR(IF(AW11&lt;((1/2*AV11*AX11^2)*2),1/2*AV11*SQRT((AW11/2)*2/AV11)^2,1/2*AV11*AX11^2),0)</f>
        <v/>
      </c>
      <c r="AZ11" s="163">
        <f>IFERROR(IF(AW11-AY11-BA11&lt;=0,0,AW11-AY11-BA11),0)</f>
        <v/>
      </c>
      <c r="BA11" s="163">
        <f>AY11</f>
        <v/>
      </c>
      <c r="BB11" s="163">
        <f>IFERROR(IF(AW11&lt;((1/2*AV11*AX11^2)*2),SQRT((AW11/2)*2/AV11),AX11),0)</f>
        <v/>
      </c>
      <c r="BC11" s="163">
        <f>IFERROR(AZ11/AU11,0)</f>
        <v/>
      </c>
      <c r="BD11" s="163">
        <f>BB11</f>
        <v/>
      </c>
      <c r="BE11" s="163">
        <f>IF(AT11&gt;0,AT11,SUM(BB11:BD11))</f>
        <v/>
      </c>
      <c r="BF11" s="163" t="n">
        <v>1</v>
      </c>
      <c r="BG11" s="163">
        <f>BE11*BF11</f>
        <v/>
      </c>
      <c r="BI11" s="160" t="n">
        <v>1</v>
      </c>
      <c r="BJ11" s="161" t="inlineStr">
        <is>
          <t>Zippy 40 Running</t>
        </is>
      </c>
      <c r="BK11" s="162" t="n"/>
      <c r="BL11" s="163">
        <f>IFERROR(VLOOKUP(BJ11,'Master List'!$A:$D,2,0),0)</f>
        <v/>
      </c>
      <c r="BM11" s="163">
        <f>IFERROR(VLOOKUP(BJ11,'Master List'!$A:$D,3,0),0)</f>
        <v/>
      </c>
      <c r="BN11" s="163">
        <f>IFERROR(VLOOKUP(BJ11,'Master List'!$A:$D,4,0),0)</f>
        <v/>
      </c>
      <c r="BO11" s="163">
        <f>$B$32</f>
        <v/>
      </c>
      <c r="BP11" s="163">
        <f>IFERROR(BM11/BN11,0)</f>
        <v/>
      </c>
      <c r="BQ11" s="163">
        <f>IFERROR(IF(BO11&lt;((1/2*BN11*BP11^2)*2),1/2*BN11*SQRT((BO11/2)*2/BN11)^2,1/2*BN11*BP11^2),0)</f>
        <v/>
      </c>
      <c r="BR11" s="163">
        <f>IFERROR(IF(BO11-BQ11-BS11&lt;=0,0,BO11-BQ11-BS11),0)</f>
        <v/>
      </c>
      <c r="BS11" s="163">
        <f>BQ11</f>
        <v/>
      </c>
      <c r="BT11" s="163">
        <f>IFERROR(IF(BO11&lt;((1/2*BN11*BP11^2)*2),SQRT((BO11/2)*2/BN11),BP11),0)</f>
        <v/>
      </c>
      <c r="BU11" s="163">
        <f>IFERROR(BR11/BM11,0)</f>
        <v/>
      </c>
      <c r="BV11" s="163">
        <f>BT11</f>
        <v/>
      </c>
      <c r="BW11" s="163">
        <f>IF(BL11&gt;0,BL11,SUM(BT11:BV11))</f>
        <v/>
      </c>
      <c r="BX11" s="163" t="n">
        <v>1</v>
      </c>
      <c r="BY11" s="163">
        <f>BW11*BX11</f>
        <v/>
      </c>
    </row>
    <row r="12" ht="45" customHeight="1" s="516">
      <c r="A12" s="33" t="inlineStr">
        <is>
          <t>Count of Max Barcodes in L in sorting area</t>
        </is>
      </c>
      <c r="B12" s="26" t="n">
        <v>200</v>
      </c>
      <c r="C12" s="212" t="inlineStr">
        <is>
          <t>Number of barcodes along the side of induction stations</t>
        </is>
      </c>
      <c r="D12" s="1">
        <f>B12*$B$32</f>
        <v/>
      </c>
      <c r="E12" s="1" t="inlineStr">
        <is>
          <t>Meters</t>
        </is>
      </c>
      <c r="G12" s="160">
        <f>G11+1</f>
        <v/>
      </c>
      <c r="H12" s="161" t="inlineStr">
        <is>
          <t>Zippy 40 90 degree Turn</t>
        </is>
      </c>
      <c r="I12" s="162" t="inlineStr">
        <is>
          <t>Turn and align to get inducted</t>
        </is>
      </c>
      <c r="J12" s="163">
        <f>IFERROR(VLOOKUP(H12,'Master List'!$A:$D,2,0),0)</f>
        <v/>
      </c>
      <c r="K12" s="163">
        <f>IFERROR(VLOOKUP(H12,'Master List'!$A:$D,3,0),0)</f>
        <v/>
      </c>
      <c r="L12" s="163">
        <f>IFERROR(VLOOKUP(H12,'Master List'!$A:$D,4,0),0)</f>
        <v/>
      </c>
      <c r="M12" s="163" t="n"/>
      <c r="N12" s="163">
        <f>IFERROR(K12/L12,0)</f>
        <v/>
      </c>
      <c r="O12" s="163">
        <f>IFERROR(IF(M12&lt;((1/2*L12*N12^2)*2),1/2*L12*SQRT((M12/2)*2/L12)^2,1/2*L12*N12^2),0)</f>
        <v/>
      </c>
      <c r="P12" s="163">
        <f>IFERROR(IF(M12-O12-Q12&lt;=0,0,M12-O12-Q12),0)</f>
        <v/>
      </c>
      <c r="Q12" s="163">
        <f>O12</f>
        <v/>
      </c>
      <c r="R12" s="163">
        <f>IFERROR(IF(M12&lt;((1/2*L12*N12^2)*2),SQRT((M12/2)*2/L12),N12),0)</f>
        <v/>
      </c>
      <c r="S12" s="163">
        <f>IFERROR(P12/K12,0)</f>
        <v/>
      </c>
      <c r="T12" s="163">
        <f>R12</f>
        <v/>
      </c>
      <c r="U12" s="163">
        <f>IF(J12&gt;0,J12,SUM(R12:T12))</f>
        <v/>
      </c>
      <c r="V12" s="163" t="n">
        <v>1</v>
      </c>
      <c r="W12" s="163">
        <f>U12*V12</f>
        <v/>
      </c>
      <c r="Y12" s="160">
        <f>Y11+1</f>
        <v/>
      </c>
      <c r="Z12" s="161" t="inlineStr">
        <is>
          <t>Zippy 40 90 degree Turn</t>
        </is>
      </c>
      <c r="AA12" s="162" t="n"/>
      <c r="AB12" s="163">
        <f>IFERROR(VLOOKUP(Z12,'Master List'!$A:$D,2,0),0)</f>
        <v/>
      </c>
      <c r="AC12" s="163">
        <f>IFERROR(VLOOKUP(Z12,'Master List'!$A:$D,3,0),0)</f>
        <v/>
      </c>
      <c r="AD12" s="163">
        <f>IFERROR(VLOOKUP(Z12,'Master List'!$A:$D,4,0),0)</f>
        <v/>
      </c>
      <c r="AE12" s="163" t="n"/>
      <c r="AF12" s="163">
        <f>IFERROR(AC12/AD12,0)</f>
        <v/>
      </c>
      <c r="AG12" s="163">
        <f>IFERROR(IF(AE12&lt;((1/2*AD12*AF12^2)*2),1/2*AD12*SQRT((AE12/2)*2/AD12)^2,1/2*AD12*AF12^2),0)</f>
        <v/>
      </c>
      <c r="AH12" s="163">
        <f>IFERROR(IF(AE12-AG12-AI12&lt;=0,0,AE12-AG12-AI12),0)</f>
        <v/>
      </c>
      <c r="AI12" s="163">
        <f>AG12</f>
        <v/>
      </c>
      <c r="AJ12" s="163">
        <f>IFERROR(IF(AE12&lt;((1/2*AD12*AF12^2)*2),SQRT((AE12/2)*2/AD12),AF12),0)</f>
        <v/>
      </c>
      <c r="AK12" s="163">
        <f>IFERROR(AH12/AC12,0)</f>
        <v/>
      </c>
      <c r="AL12" s="163">
        <f>AJ12</f>
        <v/>
      </c>
      <c r="AM12" s="163">
        <f>IF(AB12&gt;0,AB12,SUM(AJ12:AL12))</f>
        <v/>
      </c>
      <c r="AN12" s="163" t="n">
        <v>1</v>
      </c>
      <c r="AO12" s="163">
        <f>AM12*AN12</f>
        <v/>
      </c>
      <c r="AQ12" s="160">
        <f>AQ11+1</f>
        <v/>
      </c>
      <c r="AR12" s="161" t="inlineStr">
        <is>
          <t>Zippy 40 90 degree Turn</t>
        </is>
      </c>
      <c r="AS12" s="162" t="n"/>
      <c r="AT12" s="163">
        <f>IFERROR(VLOOKUP(AR12,'Master List'!$A:$D,2,0),0)</f>
        <v/>
      </c>
      <c r="AU12" s="163">
        <f>IFERROR(VLOOKUP(AR12,'Master List'!$A:$D,3,0),0)</f>
        <v/>
      </c>
      <c r="AV12" s="163">
        <f>IFERROR(VLOOKUP(AR12,'Master List'!$A:$D,4,0),0)</f>
        <v/>
      </c>
      <c r="AW12" s="163" t="n"/>
      <c r="AX12" s="163">
        <f>IFERROR(AU12/AV12,0)</f>
        <v/>
      </c>
      <c r="AY12" s="163">
        <f>IFERROR(IF(AW12&lt;((1/2*AV12*AX12^2)*2),1/2*AV12*SQRT((AW12/2)*2/AV12)^2,1/2*AV12*AX12^2),0)</f>
        <v/>
      </c>
      <c r="AZ12" s="163">
        <f>IFERROR(IF(AW12-AY12-BA12&lt;=0,0,AW12-AY12-BA12),0)</f>
        <v/>
      </c>
      <c r="BA12" s="163">
        <f>AY12</f>
        <v/>
      </c>
      <c r="BB12" s="163">
        <f>IFERROR(IF(AW12&lt;((1/2*AV12*AX12^2)*2),SQRT((AW12/2)*2/AV12),AX12),0)</f>
        <v/>
      </c>
      <c r="BC12" s="163">
        <f>IFERROR(AZ12/AU12,0)</f>
        <v/>
      </c>
      <c r="BD12" s="163">
        <f>BB12</f>
        <v/>
      </c>
      <c r="BE12" s="163">
        <f>IF(AT12&gt;0,AT12,SUM(BB12:BD12))</f>
        <v/>
      </c>
      <c r="BF12" s="163" t="n">
        <v>1</v>
      </c>
      <c r="BG12" s="163">
        <f>BE12*BF12</f>
        <v/>
      </c>
      <c r="BI12" s="160">
        <f>BI11+1</f>
        <v/>
      </c>
      <c r="BJ12" s="161" t="inlineStr">
        <is>
          <t>Zippy 40 90 degree Turn</t>
        </is>
      </c>
      <c r="BK12" s="162" t="n"/>
      <c r="BL12" s="163">
        <f>IFERROR(VLOOKUP(BJ12,'Master List'!$A:$D,2,0),0)</f>
        <v/>
      </c>
      <c r="BM12" s="163">
        <f>IFERROR(VLOOKUP(BJ12,'Master List'!$A:$D,3,0),0)</f>
        <v/>
      </c>
      <c r="BN12" s="163">
        <f>IFERROR(VLOOKUP(BJ12,'Master List'!$A:$D,4,0),0)</f>
        <v/>
      </c>
      <c r="BO12" s="163" t="n"/>
      <c r="BP12" s="163">
        <f>IFERROR(BM12/BN12,0)</f>
        <v/>
      </c>
      <c r="BQ12" s="163">
        <f>IFERROR(IF(BO12&lt;((1/2*BN12*BP12^2)*2),1/2*BN12*SQRT((BO12/2)*2/BN12)^2,1/2*BN12*BP12^2),0)</f>
        <v/>
      </c>
      <c r="BR12" s="163">
        <f>IFERROR(IF(BO12-BQ12-BS12&lt;=0,0,BO12-BQ12-BS12),0)</f>
        <v/>
      </c>
      <c r="BS12" s="163">
        <f>BQ12</f>
        <v/>
      </c>
      <c r="BT12" s="163">
        <f>IFERROR(IF(BO12&lt;((1/2*BN12*BP12^2)*2),SQRT((BO12/2)*2/BN12),BP12),0)</f>
        <v/>
      </c>
      <c r="BU12" s="163">
        <f>IFERROR(BR12/BM12,0)</f>
        <v/>
      </c>
      <c r="BV12" s="163">
        <f>BT12</f>
        <v/>
      </c>
      <c r="BW12" s="163">
        <f>IF(BL12&gt;0,BL12,SUM(BT12:BV12))</f>
        <v/>
      </c>
      <c r="BX12" s="163" t="n">
        <v>1</v>
      </c>
      <c r="BY12" s="163">
        <f>BW12*BX12</f>
        <v/>
      </c>
    </row>
    <row r="13" ht="45" customHeight="1" s="516">
      <c r="A13" s="33" t="inlineStr">
        <is>
          <t>Count of Max Barcodes in W in sorting area</t>
        </is>
      </c>
      <c r="B13" s="26" t="n">
        <v>200</v>
      </c>
      <c r="C13" s="212" t="inlineStr">
        <is>
          <t>Number of barcodes perpendicular to of induction stations</t>
        </is>
      </c>
      <c r="D13" s="1">
        <f>B13*$B$32</f>
        <v/>
      </c>
      <c r="E13" s="1" t="inlineStr">
        <is>
          <t>Meters</t>
        </is>
      </c>
      <c r="G13" s="160">
        <f>G12+1</f>
        <v/>
      </c>
      <c r="H13" s="161" t="inlineStr">
        <is>
          <t>Zippy 40 Running</t>
        </is>
      </c>
      <c r="I13" s="162" t="inlineStr">
        <is>
          <t>Distance travelled in X direction</t>
        </is>
      </c>
      <c r="J13" s="163">
        <f>IFERROR(VLOOKUP(H13,'Master List'!$A:$D,2,0),0)</f>
        <v/>
      </c>
      <c r="K13" s="163">
        <f>IFERROR(VLOOKUP(H13,'Master List'!$A:$D,3,0),0)</f>
        <v/>
      </c>
      <c r="L13" s="163">
        <f>IFERROR(VLOOKUP(H13,'Master List'!$A:$D,4,0),0)</f>
        <v/>
      </c>
      <c r="M13" s="163">
        <f>$C$21</f>
        <v/>
      </c>
      <c r="N13" s="163">
        <f>IFERROR(K13/L13,0)</f>
        <v/>
      </c>
      <c r="O13" s="163">
        <f>IFERROR(IF(M13&lt;((1/2*L13*N13^2)*2),1/2*L13*SQRT((M13/2)*2/L13)^2,1/2*L13*N13^2),0)</f>
        <v/>
      </c>
      <c r="P13" s="163">
        <f>IFERROR(IF(M13-O13-Q13&lt;=0,0,M13-O13-Q13),0)</f>
        <v/>
      </c>
      <c r="Q13" s="163">
        <f>O13</f>
        <v/>
      </c>
      <c r="R13" s="163">
        <f>IFERROR(IF(M13&lt;((1/2*L13*N13^2)*2),SQRT((M13/2)*2/L13),N13),0)</f>
        <v/>
      </c>
      <c r="S13" s="163">
        <f>IFERROR(P13/K13,0)</f>
        <v/>
      </c>
      <c r="T13" s="163">
        <f>R13</f>
        <v/>
      </c>
      <c r="U13" s="163">
        <f>IF(J13&gt;0,J13,SUM(R13:T13))</f>
        <v/>
      </c>
      <c r="V13" s="163" t="n">
        <v>1</v>
      </c>
      <c r="W13" s="163">
        <f>U13*V13</f>
        <v/>
      </c>
      <c r="Y13" s="160">
        <f>Y12+1</f>
        <v/>
      </c>
      <c r="Z13" s="161" t="inlineStr">
        <is>
          <t>Zippy 40 Running</t>
        </is>
      </c>
      <c r="AA13" s="162" t="n"/>
      <c r="AB13" s="163">
        <f>IFERROR(VLOOKUP(Z13,'Master List'!$A:$D,2,0),0)</f>
        <v/>
      </c>
      <c r="AC13" s="163">
        <f>IFERROR(VLOOKUP(Z13,'Master List'!$A:$D,3,0),0)</f>
        <v/>
      </c>
      <c r="AD13" s="163">
        <f>IFERROR(VLOOKUP(Z13,'Master List'!$A:$D,4,0),0)</f>
        <v/>
      </c>
      <c r="AE13" s="163">
        <f>$C$22</f>
        <v/>
      </c>
      <c r="AF13" s="163">
        <f>IFERROR(AC13/AD13,0)</f>
        <v/>
      </c>
      <c r="AG13" s="163">
        <f>IFERROR(IF(AE13&lt;((1/2*AD13*AF13^2)*2),1/2*AD13*SQRT((AE13/2)*2/AD13)^2,1/2*AD13*AF13^2),0)</f>
        <v/>
      </c>
      <c r="AH13" s="163">
        <f>IFERROR(IF(AE13-AG13-AI13&lt;=0,0,AE13-AG13-AI13),0)</f>
        <v/>
      </c>
      <c r="AI13" s="163">
        <f>AG13</f>
        <v/>
      </c>
      <c r="AJ13" s="163">
        <f>IFERROR(IF(AE13&lt;((1/2*AD13*AF13^2)*2),SQRT((AE13/2)*2/AD13),AF13),0)</f>
        <v/>
      </c>
      <c r="AK13" s="163">
        <f>IFERROR(AH13/AC13,0)</f>
        <v/>
      </c>
      <c r="AL13" s="163">
        <f>AJ13</f>
        <v/>
      </c>
      <c r="AM13" s="163">
        <f>IF(AB13&gt;0,AB13,SUM(AJ13:AL13))</f>
        <v/>
      </c>
      <c r="AN13" s="163" t="n">
        <v>1</v>
      </c>
      <c r="AO13" s="163">
        <f>AM13*AN13</f>
        <v/>
      </c>
      <c r="AQ13" s="160">
        <f>AQ12+1</f>
        <v/>
      </c>
      <c r="AR13" s="161" t="inlineStr">
        <is>
          <t>Zippy 40 Running</t>
        </is>
      </c>
      <c r="AS13" s="162" t="n"/>
      <c r="AT13" s="163">
        <f>IFERROR(VLOOKUP(AR13,'Master List'!$A:$D,2,0),0)</f>
        <v/>
      </c>
      <c r="AU13" s="163">
        <f>IFERROR(VLOOKUP(AR13,'Master List'!$A:$D,3,0),0)</f>
        <v/>
      </c>
      <c r="AV13" s="163">
        <f>IFERROR(VLOOKUP(AR13,'Master List'!$A:$D,4,0),0)</f>
        <v/>
      </c>
      <c r="AW13" s="163">
        <f>$C$23</f>
        <v/>
      </c>
      <c r="AX13" s="163">
        <f>IFERROR(AU13/AV13,0)</f>
        <v/>
      </c>
      <c r="AY13" s="163">
        <f>IFERROR(IF(AW13&lt;((1/2*AV13*AX13^2)*2),1/2*AV13*SQRT((AW13/2)*2/AV13)^2,1/2*AV13*AX13^2),0)</f>
        <v/>
      </c>
      <c r="AZ13" s="163">
        <f>IFERROR(IF(AW13-AY13-BA13&lt;=0,0,AW13-AY13-BA13),0)</f>
        <v/>
      </c>
      <c r="BA13" s="163">
        <f>AY13</f>
        <v/>
      </c>
      <c r="BB13" s="163">
        <f>IFERROR(IF(AW13&lt;((1/2*AV13*AX13^2)*2),SQRT((AW13/2)*2/AV13),AX13),0)</f>
        <v/>
      </c>
      <c r="BC13" s="163">
        <f>IFERROR(AZ13/AU13,0)</f>
        <v/>
      </c>
      <c r="BD13" s="163">
        <f>BB13</f>
        <v/>
      </c>
      <c r="BE13" s="163">
        <f>IF(AT13&gt;0,AT13,SUM(BB13:BD13))</f>
        <v/>
      </c>
      <c r="BF13" s="163" t="n">
        <v>1</v>
      </c>
      <c r="BG13" s="163">
        <f>BE13*BF13</f>
        <v/>
      </c>
      <c r="BI13" s="160">
        <f>BI12+1</f>
        <v/>
      </c>
      <c r="BJ13" s="161" t="inlineStr">
        <is>
          <t>Zippy 40 Running</t>
        </is>
      </c>
      <c r="BK13" s="162" t="n"/>
      <c r="BL13" s="163">
        <f>IFERROR(VLOOKUP(BJ13,'Master List'!$A:$D,2,0),0)</f>
        <v/>
      </c>
      <c r="BM13" s="163">
        <f>IFERROR(VLOOKUP(BJ13,'Master List'!$A:$D,3,0),0)</f>
        <v/>
      </c>
      <c r="BN13" s="163">
        <f>IFERROR(VLOOKUP(BJ13,'Master List'!$A:$D,4,0),0)</f>
        <v/>
      </c>
      <c r="BO13" s="163">
        <f>$C$24</f>
        <v/>
      </c>
      <c r="BP13" s="163">
        <f>IFERROR(BM13/BN13,0)</f>
        <v/>
      </c>
      <c r="BQ13" s="163">
        <f>IFERROR(IF(BO13&lt;((1/2*BN13*BP13^2)*2),1/2*BN13*SQRT((BO13/2)*2/BN13)^2,1/2*BN13*BP13^2),0)</f>
        <v/>
      </c>
      <c r="BR13" s="163">
        <f>IFERROR(IF(BO13-BQ13-BS13&lt;=0,0,BO13-BQ13-BS13),0)</f>
        <v/>
      </c>
      <c r="BS13" s="163">
        <f>BQ13</f>
        <v/>
      </c>
      <c r="BT13" s="163">
        <f>IFERROR(IF(BO13&lt;((1/2*BN13*BP13^2)*2),SQRT((BO13/2)*2/BN13),BP13),0)</f>
        <v/>
      </c>
      <c r="BU13" s="163">
        <f>IFERROR(BR13/BM13,0)</f>
        <v/>
      </c>
      <c r="BV13" s="163">
        <f>BT13</f>
        <v/>
      </c>
      <c r="BW13" s="163">
        <f>IF(BL13&gt;0,BL13,SUM(BT13:BV13))</f>
        <v/>
      </c>
      <c r="BX13" s="163" t="n">
        <v>1</v>
      </c>
      <c r="BY13" s="163">
        <f>BW13*BX13</f>
        <v/>
      </c>
    </row>
    <row r="14" ht="30" customHeight="1" s="516">
      <c r="A14" s="178" t="inlineStr">
        <is>
          <t>Distance between induction station and first sort point in M</t>
        </is>
      </c>
      <c r="B14" s="48" t="n">
        <v>7</v>
      </c>
      <c r="C14" s="33" t="n"/>
      <c r="G14" s="160">
        <f>G13+1</f>
        <v/>
      </c>
      <c r="H14" s="161" t="inlineStr">
        <is>
          <t>Zippy 40 90 degree Turn</t>
        </is>
      </c>
      <c r="I14" s="162" t="inlineStr">
        <is>
          <t>Turn to start travelling in Y direction</t>
        </is>
      </c>
      <c r="J14" s="163">
        <f>IFERROR(VLOOKUP(H14,'Master List'!$A:$D,2,0),0)</f>
        <v/>
      </c>
      <c r="K14" s="163">
        <f>IFERROR(VLOOKUP(H14,'Master List'!$A:$D,3,0),0)</f>
        <v/>
      </c>
      <c r="L14" s="163">
        <f>IFERROR(VLOOKUP(H14,'Master List'!$A:$D,4,0),0)</f>
        <v/>
      </c>
      <c r="M14" s="163" t="n"/>
      <c r="N14" s="163">
        <f>IFERROR(K14/L14,0)</f>
        <v/>
      </c>
      <c r="O14" s="163">
        <f>IFERROR(IF(M14&lt;((1/2*L14*N14^2)*2),1/2*L14*SQRT((M14/2)*2/L14)^2,1/2*L14*N14^2),0)</f>
        <v/>
      </c>
      <c r="P14" s="163">
        <f>IFERROR(IF(M14-O14-Q14&lt;=0,0,M14-O14-Q14),0)</f>
        <v/>
      </c>
      <c r="Q14" s="163">
        <f>O14</f>
        <v/>
      </c>
      <c r="R14" s="163">
        <f>IFERROR(IF(M14&lt;((1/2*L14*N14^2)*2),SQRT((M14/2)*2/L14),N14),0)</f>
        <v/>
      </c>
      <c r="S14" s="163">
        <f>IFERROR(P14/K14,0)</f>
        <v/>
      </c>
      <c r="T14" s="163">
        <f>R14</f>
        <v/>
      </c>
      <c r="U14" s="163">
        <f>IF(J14&gt;0,J14,SUM(R14:T14))</f>
        <v/>
      </c>
      <c r="V14" s="163" t="n">
        <v>1</v>
      </c>
      <c r="W14" s="163">
        <f>U14*V14</f>
        <v/>
      </c>
      <c r="Y14" s="160">
        <f>Y13+1</f>
        <v/>
      </c>
      <c r="Z14" s="161" t="inlineStr">
        <is>
          <t>Zippy 40 90 degree Turn</t>
        </is>
      </c>
      <c r="AA14" s="162" t="n"/>
      <c r="AB14" s="163">
        <f>IFERROR(VLOOKUP(Z14,'Master List'!$A:$D,2,0),0)</f>
        <v/>
      </c>
      <c r="AC14" s="163">
        <f>IFERROR(VLOOKUP(Z14,'Master List'!$A:$D,3,0),0)</f>
        <v/>
      </c>
      <c r="AD14" s="163">
        <f>IFERROR(VLOOKUP(Z14,'Master List'!$A:$D,4,0),0)</f>
        <v/>
      </c>
      <c r="AE14" s="163" t="n"/>
      <c r="AF14" s="163">
        <f>IFERROR(AC14/AD14,0)</f>
        <v/>
      </c>
      <c r="AG14" s="163">
        <f>IFERROR(IF(AE14&lt;((1/2*AD14*AF14^2)*2),1/2*AD14*SQRT((AE14/2)*2/AD14)^2,1/2*AD14*AF14^2),0)</f>
        <v/>
      </c>
      <c r="AH14" s="163">
        <f>IFERROR(IF(AE14-AG14-AI14&lt;=0,0,AE14-AG14-AI14),0)</f>
        <v/>
      </c>
      <c r="AI14" s="163">
        <f>AG14</f>
        <v/>
      </c>
      <c r="AJ14" s="163">
        <f>IFERROR(IF(AE14&lt;((1/2*AD14*AF14^2)*2),SQRT((AE14/2)*2/AD14),AF14),0)</f>
        <v/>
      </c>
      <c r="AK14" s="163">
        <f>IFERROR(AH14/AC14,0)</f>
        <v/>
      </c>
      <c r="AL14" s="163">
        <f>AJ14</f>
        <v/>
      </c>
      <c r="AM14" s="163">
        <f>IF(AB14&gt;0,AB14,SUM(AJ14:AL14))</f>
        <v/>
      </c>
      <c r="AN14" s="163" t="n">
        <v>1</v>
      </c>
      <c r="AO14" s="163">
        <f>AM14*AN14</f>
        <v/>
      </c>
      <c r="AQ14" s="160">
        <f>AQ13+1</f>
        <v/>
      </c>
      <c r="AR14" s="161" t="inlineStr">
        <is>
          <t>Zippy 40 90 degree Turn</t>
        </is>
      </c>
      <c r="AS14" s="162" t="n"/>
      <c r="AT14" s="163">
        <f>IFERROR(VLOOKUP(AR14,'Master List'!$A:$D,2,0),0)</f>
        <v/>
      </c>
      <c r="AU14" s="163">
        <f>IFERROR(VLOOKUP(AR14,'Master List'!$A:$D,3,0),0)</f>
        <v/>
      </c>
      <c r="AV14" s="163">
        <f>IFERROR(VLOOKUP(AR14,'Master List'!$A:$D,4,0),0)</f>
        <v/>
      </c>
      <c r="AW14" s="163" t="n"/>
      <c r="AX14" s="163">
        <f>IFERROR(AU14/AV14,0)</f>
        <v/>
      </c>
      <c r="AY14" s="163">
        <f>IFERROR(IF(AW14&lt;((1/2*AV14*AX14^2)*2),1/2*AV14*SQRT((AW14/2)*2/AV14)^2,1/2*AV14*AX14^2),0)</f>
        <v/>
      </c>
      <c r="AZ14" s="163">
        <f>IFERROR(IF(AW14-AY14-BA14&lt;=0,0,AW14-AY14-BA14),0)</f>
        <v/>
      </c>
      <c r="BA14" s="163">
        <f>AY14</f>
        <v/>
      </c>
      <c r="BB14" s="163">
        <f>IFERROR(IF(AW14&lt;((1/2*AV14*AX14^2)*2),SQRT((AW14/2)*2/AV14),AX14),0)</f>
        <v/>
      </c>
      <c r="BC14" s="163">
        <f>IFERROR(AZ14/AU14,0)</f>
        <v/>
      </c>
      <c r="BD14" s="163">
        <f>BB14</f>
        <v/>
      </c>
      <c r="BE14" s="163">
        <f>IF(AT14&gt;0,AT14,SUM(BB14:BD14))</f>
        <v/>
      </c>
      <c r="BF14" s="163" t="n">
        <v>1</v>
      </c>
      <c r="BG14" s="163">
        <f>BE14*BF14</f>
        <v/>
      </c>
      <c r="BI14" s="160">
        <f>BI13+1</f>
        <v/>
      </c>
      <c r="BJ14" s="161" t="inlineStr">
        <is>
          <t>Zippy 40 90 degree Turn</t>
        </is>
      </c>
      <c r="BK14" s="162" t="n"/>
      <c r="BL14" s="163">
        <f>IFERROR(VLOOKUP(BJ14,'Master List'!$A:$D,2,0),0)</f>
        <v/>
      </c>
      <c r="BM14" s="163">
        <f>IFERROR(VLOOKUP(BJ14,'Master List'!$A:$D,3,0),0)</f>
        <v/>
      </c>
      <c r="BN14" s="163">
        <f>IFERROR(VLOOKUP(BJ14,'Master List'!$A:$D,4,0),0)</f>
        <v/>
      </c>
      <c r="BO14" s="163" t="n"/>
      <c r="BP14" s="163">
        <f>IFERROR(BM14/BN14,0)</f>
        <v/>
      </c>
      <c r="BQ14" s="163">
        <f>IFERROR(IF(BO14&lt;((1/2*BN14*BP14^2)*2),1/2*BN14*SQRT((BO14/2)*2/BN14)^2,1/2*BN14*BP14^2),0)</f>
        <v/>
      </c>
      <c r="BR14" s="163">
        <f>IFERROR(IF(BO14-BQ14-BS14&lt;=0,0,BO14-BQ14-BS14),0)</f>
        <v/>
      </c>
      <c r="BS14" s="163">
        <f>BQ14</f>
        <v/>
      </c>
      <c r="BT14" s="163">
        <f>IFERROR(IF(BO14&lt;((1/2*BN14*BP14^2)*2),SQRT((BO14/2)*2/BN14),BP14),0)</f>
        <v/>
      </c>
      <c r="BU14" s="163">
        <f>IFERROR(BR14/BM14,0)</f>
        <v/>
      </c>
      <c r="BV14" s="163">
        <f>BT14</f>
        <v/>
      </c>
      <c r="BW14" s="163">
        <f>IF(BL14&gt;0,BL14,SUM(BT14:BV14))</f>
        <v/>
      </c>
      <c r="BX14" s="163" t="n">
        <v>1</v>
      </c>
      <c r="BY14" s="163">
        <f>BW14*BX14</f>
        <v/>
      </c>
    </row>
    <row r="15" ht="15" customHeight="1" s="516">
      <c r="A15" s="33" t="inlineStr">
        <is>
          <t>Throughput (Sorts per hour)</t>
        </is>
      </c>
      <c r="B15" s="48" t="n">
        <v>500</v>
      </c>
      <c r="C15" s="212" t="inlineStr">
        <is>
          <t>Sorts per Hr</t>
        </is>
      </c>
      <c r="G15" s="160">
        <f>G14+1</f>
        <v/>
      </c>
      <c r="H15" s="161" t="inlineStr">
        <is>
          <t>Zippy 40 Running</t>
        </is>
      </c>
      <c r="I15" s="162" t="inlineStr">
        <is>
          <t>Distance travelled in Y direction</t>
        </is>
      </c>
      <c r="J15" s="163">
        <f>IFERROR(VLOOKUP(H15,'Master List'!$A:$D,2,0),0)</f>
        <v/>
      </c>
      <c r="K15" s="163">
        <f>IFERROR(VLOOKUP(H15,'Master List'!$A:$D,3,0),0)</f>
        <v/>
      </c>
      <c r="L15" s="163">
        <f>IFERROR(VLOOKUP(H15,'Master List'!$A:$D,4,0),0)</f>
        <v/>
      </c>
      <c r="M15" s="163">
        <f>$C$27</f>
        <v/>
      </c>
      <c r="N15" s="163">
        <f>IFERROR(K15/L15,0)</f>
        <v/>
      </c>
      <c r="O15" s="163">
        <f>IFERROR(IF(M15&lt;((1/2*L15*N15^2)*2),1/2*L15*SQRT((M15/2)*2/L15)^2,1/2*L15*N15^2),0)</f>
        <v/>
      </c>
      <c r="P15" s="163">
        <f>IFERROR(IF(M15-O15-Q15&lt;=0,0,M15-O15-Q15),0)</f>
        <v/>
      </c>
      <c r="Q15" s="163">
        <f>O15</f>
        <v/>
      </c>
      <c r="R15" s="163">
        <f>IFERROR(IF(M15&lt;((1/2*L15*N15^2)*2),SQRT((M15/2)*2/L15),N15),0)</f>
        <v/>
      </c>
      <c r="S15" s="163">
        <f>IFERROR(P15/K15,0)</f>
        <v/>
      </c>
      <c r="T15" s="163">
        <f>R15</f>
        <v/>
      </c>
      <c r="U15" s="163">
        <f>IF(J15&gt;0,J15,SUM(R15:T15))</f>
        <v/>
      </c>
      <c r="V15" s="163" t="n">
        <v>1</v>
      </c>
      <c r="W15" s="163">
        <f>U15*V15</f>
        <v/>
      </c>
      <c r="Y15" s="160">
        <f>Y14+1</f>
        <v/>
      </c>
      <c r="Z15" s="161" t="inlineStr">
        <is>
          <t>Zippy 40 Running</t>
        </is>
      </c>
      <c r="AA15" s="162" t="n"/>
      <c r="AB15" s="163">
        <f>IFERROR(VLOOKUP(Z15,'Master List'!$A:$D,2,0),0)</f>
        <v/>
      </c>
      <c r="AC15" s="163">
        <f>IFERROR(VLOOKUP(Z15,'Master List'!$A:$D,3,0),0)</f>
        <v/>
      </c>
      <c r="AD15" s="163">
        <f>IFERROR(VLOOKUP(Z15,'Master List'!$A:$D,4,0),0)</f>
        <v/>
      </c>
      <c r="AE15" s="163">
        <f>$C$28</f>
        <v/>
      </c>
      <c r="AF15" s="163">
        <f>IFERROR(AC15/AD15,0)</f>
        <v/>
      </c>
      <c r="AG15" s="163">
        <f>IFERROR(IF(AE15&lt;((1/2*AD15*AF15^2)*2),1/2*AD15*SQRT((AE15/2)*2/AD15)^2,1/2*AD15*AF15^2),0)</f>
        <v/>
      </c>
      <c r="AH15" s="163">
        <f>IFERROR(IF(AE15-AG15-AI15&lt;=0,0,AE15-AG15-AI15),0)</f>
        <v/>
      </c>
      <c r="AI15" s="163">
        <f>AG15</f>
        <v/>
      </c>
      <c r="AJ15" s="163">
        <f>IFERROR(IF(AE15&lt;((1/2*AD15*AF15^2)*2),SQRT((AE15/2)*2/AD15),AF15),0)</f>
        <v/>
      </c>
      <c r="AK15" s="163">
        <f>IFERROR(AH15/AC15,0)</f>
        <v/>
      </c>
      <c r="AL15" s="163">
        <f>AJ15</f>
        <v/>
      </c>
      <c r="AM15" s="163">
        <f>IF(AB15&gt;0,AB15,SUM(AJ15:AL15))</f>
        <v/>
      </c>
      <c r="AN15" s="163" t="n">
        <v>1</v>
      </c>
      <c r="AO15" s="163">
        <f>AM15*AN15</f>
        <v/>
      </c>
      <c r="AQ15" s="160">
        <f>AQ14+1</f>
        <v/>
      </c>
      <c r="AR15" s="161" t="inlineStr">
        <is>
          <t>Zippy 40 Running</t>
        </is>
      </c>
      <c r="AS15" s="162" t="n"/>
      <c r="AT15" s="163">
        <f>IFERROR(VLOOKUP(AR15,'Master List'!$A:$D,2,0),0)</f>
        <v/>
      </c>
      <c r="AU15" s="163">
        <f>IFERROR(VLOOKUP(AR15,'Master List'!$A:$D,3,0),0)</f>
        <v/>
      </c>
      <c r="AV15" s="163">
        <f>IFERROR(VLOOKUP(AR15,'Master List'!$A:$D,4,0),0)</f>
        <v/>
      </c>
      <c r="AW15" s="163">
        <f>$C$29</f>
        <v/>
      </c>
      <c r="AX15" s="163">
        <f>IFERROR(AU15/AV15,0)</f>
        <v/>
      </c>
      <c r="AY15" s="163">
        <f>IFERROR(IF(AW15&lt;((1/2*AV15*AX15^2)*2),1/2*AV15*SQRT((AW15/2)*2/AV15)^2,1/2*AV15*AX15^2),0)</f>
        <v/>
      </c>
      <c r="AZ15" s="163">
        <f>IFERROR(IF(AW15-AY15-BA15&lt;=0,0,AW15-AY15-BA15),0)</f>
        <v/>
      </c>
      <c r="BA15" s="163">
        <f>AY15</f>
        <v/>
      </c>
      <c r="BB15" s="163">
        <f>IFERROR(IF(AW15&lt;((1/2*AV15*AX15^2)*2),SQRT((AW15/2)*2/AV15),AX15),0)</f>
        <v/>
      </c>
      <c r="BC15" s="163">
        <f>IFERROR(AZ15/AU15,0)</f>
        <v/>
      </c>
      <c r="BD15" s="163">
        <f>BB15</f>
        <v/>
      </c>
      <c r="BE15" s="163">
        <f>IF(AT15&gt;0,AT15,SUM(BB15:BD15))</f>
        <v/>
      </c>
      <c r="BF15" s="163" t="n">
        <v>1</v>
      </c>
      <c r="BG15" s="163">
        <f>BE15*BF15</f>
        <v/>
      </c>
      <c r="BI15" s="160">
        <f>BI14+1</f>
        <v/>
      </c>
      <c r="BJ15" s="161" t="inlineStr">
        <is>
          <t>Zippy 40 Running</t>
        </is>
      </c>
      <c r="BK15" s="162" t="n"/>
      <c r="BL15" s="163">
        <f>IFERROR(VLOOKUP(BJ15,'Master List'!$A:$D,2,0),0)</f>
        <v/>
      </c>
      <c r="BM15" s="163">
        <f>IFERROR(VLOOKUP(BJ15,'Master List'!$A:$D,3,0),0)</f>
        <v/>
      </c>
      <c r="BN15" s="163">
        <f>IFERROR(VLOOKUP(BJ15,'Master List'!$A:$D,4,0),0)</f>
        <v/>
      </c>
      <c r="BO15" s="163">
        <f>$C$30</f>
        <v/>
      </c>
      <c r="BP15" s="163">
        <f>IFERROR(BM15/BN15,0)</f>
        <v/>
      </c>
      <c r="BQ15" s="163">
        <f>IFERROR(IF(BO15&lt;((1/2*BN15*BP15^2)*2),1/2*BN15*SQRT((BO15/2)*2/BN15)^2,1/2*BN15*BP15^2),0)</f>
        <v/>
      </c>
      <c r="BR15" s="163">
        <f>IFERROR(IF(BO15-BQ15-BS15&lt;=0,0,BO15-BQ15-BS15),0)</f>
        <v/>
      </c>
      <c r="BS15" s="163">
        <f>BQ15</f>
        <v/>
      </c>
      <c r="BT15" s="163">
        <f>IFERROR(IF(BO15&lt;((1/2*BN15*BP15^2)*2),SQRT((BO15/2)*2/BN15),BP15),0)</f>
        <v/>
      </c>
      <c r="BU15" s="163">
        <f>IFERROR(BR15/BM15,0)</f>
        <v/>
      </c>
      <c r="BV15" s="163">
        <f>BT15</f>
        <v/>
      </c>
      <c r="BW15" s="163">
        <f>IF(BL15&gt;0,BL15,SUM(BT15:BV15))</f>
        <v/>
      </c>
      <c r="BX15" s="163" t="n">
        <v>1</v>
      </c>
      <c r="BY15" s="163">
        <f>BW15*BX15</f>
        <v/>
      </c>
    </row>
    <row r="16" ht="15" customHeight="1" s="516">
      <c r="A16" s="33" t="inlineStr">
        <is>
          <t>Traffic factor</t>
        </is>
      </c>
      <c r="B16" s="36" t="n">
        <v>0.1</v>
      </c>
      <c r="C16" s="212" t="inlineStr">
        <is>
          <t>Variable</t>
        </is>
      </c>
      <c r="G16" s="160">
        <f>G15+1</f>
        <v/>
      </c>
      <c r="H16" s="161" t="inlineStr">
        <is>
          <t>Zippy 40 90 degree Turn</t>
        </is>
      </c>
      <c r="I16" s="162" t="inlineStr">
        <is>
          <t>Turn to move towards sorting point</t>
        </is>
      </c>
      <c r="J16" s="163">
        <f>IFERROR(VLOOKUP(H16,'Master List'!$A:$D,2,0),0)</f>
        <v/>
      </c>
      <c r="K16" s="163">
        <f>IFERROR(VLOOKUP(H16,'Master List'!$A:$D,3,0),0)</f>
        <v/>
      </c>
      <c r="L16" s="163">
        <f>IFERROR(VLOOKUP(H16,'Master List'!$A:$D,4,0),0)</f>
        <v/>
      </c>
      <c r="M16" s="163" t="n"/>
      <c r="N16" s="163">
        <f>IFERROR(K16/L16,0)</f>
        <v/>
      </c>
      <c r="O16" s="163">
        <f>IFERROR(IF(M16&lt;((1/2*L16*N16^2)*2),1/2*L16*SQRT((M16/2)*2/L16)^2,1/2*L16*N16^2),0)</f>
        <v/>
      </c>
      <c r="P16" s="163">
        <f>IFERROR(IF(M16-O16-Q16&lt;=0,0,M16-O16-Q16),0)</f>
        <v/>
      </c>
      <c r="Q16" s="163">
        <f>O16</f>
        <v/>
      </c>
      <c r="R16" s="163">
        <f>IFERROR(IF(M16&lt;((1/2*L16*N16^2)*2),SQRT((M16/2)*2/L16),N16),0)</f>
        <v/>
      </c>
      <c r="S16" s="163">
        <f>IFERROR(P16/K16,0)</f>
        <v/>
      </c>
      <c r="T16" s="163">
        <f>R16</f>
        <v/>
      </c>
      <c r="U16" s="163">
        <f>IF(J16&gt;0,J16,SUM(R16:T16))</f>
        <v/>
      </c>
      <c r="V16" s="163" t="n">
        <v>1</v>
      </c>
      <c r="W16" s="163">
        <f>U16*V16</f>
        <v/>
      </c>
      <c r="Y16" s="160">
        <f>Y15+1</f>
        <v/>
      </c>
      <c r="Z16" s="161" t="inlineStr">
        <is>
          <t>Zippy 40 90 degree Turn</t>
        </is>
      </c>
      <c r="AA16" s="162" t="n"/>
      <c r="AB16" s="163">
        <f>IFERROR(VLOOKUP(Z16,'Master List'!$A:$D,2,0),0)</f>
        <v/>
      </c>
      <c r="AC16" s="163">
        <f>IFERROR(VLOOKUP(Z16,'Master List'!$A:$D,3,0),0)</f>
        <v/>
      </c>
      <c r="AD16" s="163">
        <f>IFERROR(VLOOKUP(Z16,'Master List'!$A:$D,4,0),0)</f>
        <v/>
      </c>
      <c r="AE16" s="163" t="n"/>
      <c r="AF16" s="163">
        <f>IFERROR(AC16/AD16,0)</f>
        <v/>
      </c>
      <c r="AG16" s="163">
        <f>IFERROR(IF(AE16&lt;((1/2*AD16*AF16^2)*2),1/2*AD16*SQRT((AE16/2)*2/AD16)^2,1/2*AD16*AF16^2),0)</f>
        <v/>
      </c>
      <c r="AH16" s="163">
        <f>IFERROR(IF(AE16-AG16-AI16&lt;=0,0,AE16-AG16-AI16),0)</f>
        <v/>
      </c>
      <c r="AI16" s="163">
        <f>AG16</f>
        <v/>
      </c>
      <c r="AJ16" s="163">
        <f>IFERROR(IF(AE16&lt;((1/2*AD16*AF16^2)*2),SQRT((AE16/2)*2/AD16),AF16),0)</f>
        <v/>
      </c>
      <c r="AK16" s="163">
        <f>IFERROR(AH16/AC16,0)</f>
        <v/>
      </c>
      <c r="AL16" s="163">
        <f>AJ16</f>
        <v/>
      </c>
      <c r="AM16" s="163">
        <f>IF(AB16&gt;0,AB16,SUM(AJ16:AL16))</f>
        <v/>
      </c>
      <c r="AN16" s="163" t="n">
        <v>1</v>
      </c>
      <c r="AO16" s="163">
        <f>AM16*AN16</f>
        <v/>
      </c>
      <c r="AQ16" s="160">
        <f>AQ15+1</f>
        <v/>
      </c>
      <c r="AR16" s="161" t="inlineStr">
        <is>
          <t>Zippy 40 90 degree Turn</t>
        </is>
      </c>
      <c r="AS16" s="162" t="n"/>
      <c r="AT16" s="163">
        <f>IFERROR(VLOOKUP(AR16,'Master List'!$A:$D,2,0),0)</f>
        <v/>
      </c>
      <c r="AU16" s="163">
        <f>IFERROR(VLOOKUP(AR16,'Master List'!$A:$D,3,0),0)</f>
        <v/>
      </c>
      <c r="AV16" s="163">
        <f>IFERROR(VLOOKUP(AR16,'Master List'!$A:$D,4,0),0)</f>
        <v/>
      </c>
      <c r="AW16" s="163" t="n"/>
      <c r="AX16" s="163">
        <f>IFERROR(AU16/AV16,0)</f>
        <v/>
      </c>
      <c r="AY16" s="163">
        <f>IFERROR(IF(AW16&lt;((1/2*AV16*AX16^2)*2),1/2*AV16*SQRT((AW16/2)*2/AV16)^2,1/2*AV16*AX16^2),0)</f>
        <v/>
      </c>
      <c r="AZ16" s="163">
        <f>IFERROR(IF(AW16-AY16-BA16&lt;=0,0,AW16-AY16-BA16),0)</f>
        <v/>
      </c>
      <c r="BA16" s="163">
        <f>AY16</f>
        <v/>
      </c>
      <c r="BB16" s="163">
        <f>IFERROR(IF(AW16&lt;((1/2*AV16*AX16^2)*2),SQRT((AW16/2)*2/AV16),AX16),0)</f>
        <v/>
      </c>
      <c r="BC16" s="163">
        <f>IFERROR(AZ16/AU16,0)</f>
        <v/>
      </c>
      <c r="BD16" s="163">
        <f>BB16</f>
        <v/>
      </c>
      <c r="BE16" s="163">
        <f>IF(AT16&gt;0,AT16,SUM(BB16:BD16))</f>
        <v/>
      </c>
      <c r="BF16" s="163" t="n">
        <v>1</v>
      </c>
      <c r="BG16" s="163">
        <f>BE16*BF16</f>
        <v/>
      </c>
      <c r="BI16" s="160">
        <f>BI15+1</f>
        <v/>
      </c>
      <c r="BJ16" s="161" t="inlineStr">
        <is>
          <t>Zippy 40 90 degree Turn</t>
        </is>
      </c>
      <c r="BK16" s="162" t="n"/>
      <c r="BL16" s="163">
        <f>IFERROR(VLOOKUP(BJ16,'Master List'!$A:$D,2,0),0)</f>
        <v/>
      </c>
      <c r="BM16" s="163">
        <f>IFERROR(VLOOKUP(BJ16,'Master List'!$A:$D,3,0),0)</f>
        <v/>
      </c>
      <c r="BN16" s="163">
        <f>IFERROR(VLOOKUP(BJ16,'Master List'!$A:$D,4,0),0)</f>
        <v/>
      </c>
      <c r="BO16" s="163" t="n"/>
      <c r="BP16" s="163">
        <f>IFERROR(BM16/BN16,0)</f>
        <v/>
      </c>
      <c r="BQ16" s="163">
        <f>IFERROR(IF(BO16&lt;((1/2*BN16*BP16^2)*2),1/2*BN16*SQRT((BO16/2)*2/BN16)^2,1/2*BN16*BP16^2),0)</f>
        <v/>
      </c>
      <c r="BR16" s="163">
        <f>IFERROR(IF(BO16-BQ16-BS16&lt;=0,0,BO16-BQ16-BS16),0)</f>
        <v/>
      </c>
      <c r="BS16" s="163">
        <f>BQ16</f>
        <v/>
      </c>
      <c r="BT16" s="163">
        <f>IFERROR(IF(BO16&lt;((1/2*BN16*BP16^2)*2),SQRT((BO16/2)*2/BN16),BP16),0)</f>
        <v/>
      </c>
      <c r="BU16" s="163">
        <f>IFERROR(BR16/BM16,0)</f>
        <v/>
      </c>
      <c r="BV16" s="163">
        <f>BT16</f>
        <v/>
      </c>
      <c r="BW16" s="163">
        <f>IF(BL16&gt;0,BL16,SUM(BT16:BV16))</f>
        <v/>
      </c>
      <c r="BX16" s="163" t="n">
        <v>1</v>
      </c>
      <c r="BY16" s="163">
        <f>BW16*BX16</f>
        <v/>
      </c>
    </row>
    <row r="17" ht="15" customHeight="1" s="516">
      <c r="A17" s="33" t="inlineStr">
        <is>
          <t>Charging factor</t>
        </is>
      </c>
      <c r="B17" s="36" t="n">
        <v>0.1</v>
      </c>
      <c r="C17" s="212" t="inlineStr">
        <is>
          <t>Variable</t>
        </is>
      </c>
      <c r="G17" s="160">
        <f>G16+1</f>
        <v/>
      </c>
      <c r="H17" s="161" t="inlineStr">
        <is>
          <t>Zippy 25 Sorting Conveyor Running</t>
        </is>
      </c>
      <c r="I17" s="162" t="inlineStr">
        <is>
          <t>Sorting</t>
        </is>
      </c>
      <c r="J17" s="163">
        <f>IFERROR(VLOOKUP(H17,'Master List'!$A:$D,2,0),0)</f>
        <v/>
      </c>
      <c r="K17" s="163">
        <f>IFERROR(VLOOKUP(H17,'Master List'!$A:$D,3,0),0)</f>
        <v/>
      </c>
      <c r="L17" s="163">
        <f>IFERROR(VLOOKUP(H17,'Master List'!$A:$D,4,0),0)</f>
        <v/>
      </c>
      <c r="M17" s="163">
        <f>$B$32*2</f>
        <v/>
      </c>
      <c r="N17" s="163">
        <f>IFERROR(K17/L17,0)</f>
        <v/>
      </c>
      <c r="O17" s="163">
        <f>IFERROR(IF(M17&lt;((1/2*L17*N17^2)*2),1/2*L17*SQRT((M17/2)*2/L17)^2,1/2*L17*N17^2),0)</f>
        <v/>
      </c>
      <c r="P17" s="163">
        <f>IFERROR(IF(M17-O17-Q17&lt;=0,0,M17-O17-Q17),0)</f>
        <v/>
      </c>
      <c r="Q17" s="163">
        <f>O17</f>
        <v/>
      </c>
      <c r="R17" s="163">
        <f>IFERROR(IF(M17&lt;((1/2*L17*N17^2)*2),SQRT((M17/2)*2/L17),N17),0)</f>
        <v/>
      </c>
      <c r="S17" s="163">
        <f>IFERROR(P17/K17,0)</f>
        <v/>
      </c>
      <c r="T17" s="163">
        <f>R17</f>
        <v/>
      </c>
      <c r="U17" s="163">
        <f>IF(J17&gt;0,J17,SUM(R17:T17))</f>
        <v/>
      </c>
      <c r="V17" s="163" t="n">
        <v>1</v>
      </c>
      <c r="W17" s="163">
        <f>U17*V17</f>
        <v/>
      </c>
      <c r="Y17" s="160">
        <f>Y16+1</f>
        <v/>
      </c>
      <c r="Z17" s="161" t="inlineStr">
        <is>
          <t>Zippy 25 Sorting Conveyor Running</t>
        </is>
      </c>
      <c r="AA17" s="162" t="n"/>
      <c r="AB17" s="163">
        <f>IFERROR(VLOOKUP(Z17,'Master List'!$A:$D,2,0),0)</f>
        <v/>
      </c>
      <c r="AC17" s="163">
        <f>IFERROR(VLOOKUP(Z17,'Master List'!$A:$D,3,0),0)</f>
        <v/>
      </c>
      <c r="AD17" s="163">
        <f>IFERROR(VLOOKUP(Z17,'Master List'!$A:$D,4,0),0)</f>
        <v/>
      </c>
      <c r="AE17" s="163">
        <f>$B$32*2</f>
        <v/>
      </c>
      <c r="AF17" s="163">
        <f>IFERROR(AC17/AD17,0)</f>
        <v/>
      </c>
      <c r="AG17" s="163">
        <f>IFERROR(IF(AE17&lt;((1/2*AD17*AF17^2)*2),1/2*AD17*SQRT((AE17/2)*2/AD17)^2,1/2*AD17*AF17^2),0)</f>
        <v/>
      </c>
      <c r="AH17" s="163">
        <f>IFERROR(IF(AE17-AG17-AI17&lt;=0,0,AE17-AG17-AI17),0)</f>
        <v/>
      </c>
      <c r="AI17" s="163">
        <f>AG17</f>
        <v/>
      </c>
      <c r="AJ17" s="163">
        <f>IFERROR(IF(AE17&lt;((1/2*AD17*AF17^2)*2),SQRT((AE17/2)*2/AD17),AF17),0)</f>
        <v/>
      </c>
      <c r="AK17" s="163">
        <f>IFERROR(AH17/AC17,0)</f>
        <v/>
      </c>
      <c r="AL17" s="163">
        <f>AJ17</f>
        <v/>
      </c>
      <c r="AM17" s="163">
        <f>IF(AB17&gt;0,AB17,SUM(AJ17:AL17))</f>
        <v/>
      </c>
      <c r="AN17" s="163" t="n">
        <v>1</v>
      </c>
      <c r="AO17" s="163">
        <f>AM17*AN17</f>
        <v/>
      </c>
      <c r="AQ17" s="160">
        <f>AQ16+1</f>
        <v/>
      </c>
      <c r="AR17" s="161" t="inlineStr">
        <is>
          <t>Zippy 25 Sorting Conveyor Running</t>
        </is>
      </c>
      <c r="AS17" s="162" t="n"/>
      <c r="AT17" s="163">
        <f>IFERROR(VLOOKUP(AR17,'Master List'!$A:$D,2,0),0)</f>
        <v/>
      </c>
      <c r="AU17" s="163">
        <f>IFERROR(VLOOKUP(AR17,'Master List'!$A:$D,3,0),0)</f>
        <v/>
      </c>
      <c r="AV17" s="163">
        <f>IFERROR(VLOOKUP(AR17,'Master List'!$A:$D,4,0),0)</f>
        <v/>
      </c>
      <c r="AW17" s="163">
        <f>$B$32*2</f>
        <v/>
      </c>
      <c r="AX17" s="163">
        <f>IFERROR(AU17/AV17,0)</f>
        <v/>
      </c>
      <c r="AY17" s="163">
        <f>IFERROR(IF(AW17&lt;((1/2*AV17*AX17^2)*2),1/2*AV17*SQRT((AW17/2)*2/AV17)^2,1/2*AV17*AX17^2),0)</f>
        <v/>
      </c>
      <c r="AZ17" s="163">
        <f>IFERROR(IF(AW17-AY17-BA17&lt;=0,0,AW17-AY17-BA17),0)</f>
        <v/>
      </c>
      <c r="BA17" s="163">
        <f>AY17</f>
        <v/>
      </c>
      <c r="BB17" s="163">
        <f>IFERROR(IF(AW17&lt;((1/2*AV17*AX17^2)*2),SQRT((AW17/2)*2/AV17),AX17),0)</f>
        <v/>
      </c>
      <c r="BC17" s="163">
        <f>IFERROR(AZ17/AU17,0)</f>
        <v/>
      </c>
      <c r="BD17" s="163">
        <f>BB17</f>
        <v/>
      </c>
      <c r="BE17" s="163">
        <f>IF(AT17&gt;0,AT17,SUM(BB17:BD17))</f>
        <v/>
      </c>
      <c r="BF17" s="163" t="n">
        <v>1</v>
      </c>
      <c r="BG17" s="163">
        <f>BE17*BF17</f>
        <v/>
      </c>
      <c r="BI17" s="160">
        <f>BI16+1</f>
        <v/>
      </c>
      <c r="BJ17" s="161" t="inlineStr">
        <is>
          <t>Zippy 25 Sorting Conveyor Running</t>
        </is>
      </c>
      <c r="BK17" s="162" t="n"/>
      <c r="BL17" s="163">
        <f>IFERROR(VLOOKUP(BJ17,'Master List'!$A:$D,2,0),0)</f>
        <v/>
      </c>
      <c r="BM17" s="163">
        <f>IFERROR(VLOOKUP(BJ17,'Master List'!$A:$D,3,0),0)</f>
        <v/>
      </c>
      <c r="BN17" s="163">
        <f>IFERROR(VLOOKUP(BJ17,'Master List'!$A:$D,4,0),0)</f>
        <v/>
      </c>
      <c r="BO17" s="163">
        <f>$B$32*2</f>
        <v/>
      </c>
      <c r="BP17" s="163">
        <f>IFERROR(BM17/BN17,0)</f>
        <v/>
      </c>
      <c r="BQ17" s="163">
        <f>IFERROR(IF(BO17&lt;((1/2*BN17*BP17^2)*2),1/2*BN17*SQRT((BO17/2)*2/BN17)^2,1/2*BN17*BP17^2),0)</f>
        <v/>
      </c>
      <c r="BR17" s="163">
        <f>IFERROR(IF(BO17-BQ17-BS17&lt;=0,0,BO17-BQ17-BS17),0)</f>
        <v/>
      </c>
      <c r="BS17" s="163">
        <f>BQ17</f>
        <v/>
      </c>
      <c r="BT17" s="163">
        <f>IFERROR(IF(BO17&lt;((1/2*BN17*BP17^2)*2),SQRT((BO17/2)*2/BN17),BP17),0)</f>
        <v/>
      </c>
      <c r="BU17" s="163">
        <f>IFERROR(BR17/BM17,0)</f>
        <v/>
      </c>
      <c r="BV17" s="163">
        <f>BT17</f>
        <v/>
      </c>
      <c r="BW17" s="163">
        <f>IF(BL17&gt;0,BL17,SUM(BT17:BV17))</f>
        <v/>
      </c>
      <c r="BX17" s="163" t="n">
        <v>1</v>
      </c>
      <c r="BY17" s="163">
        <f>BW17*BX17</f>
        <v/>
      </c>
    </row>
    <row r="18" ht="30" customHeight="1" s="516">
      <c r="A18" s="33" t="inlineStr">
        <is>
          <t>Total barcodes in layout</t>
        </is>
      </c>
      <c r="B18" s="48" t="n">
        <v>1000</v>
      </c>
      <c r="C18" s="212" t="inlineStr">
        <is>
          <t>Input total number of barcodes in layout</t>
        </is>
      </c>
      <c r="G18" s="160">
        <f>G17+1</f>
        <v/>
      </c>
      <c r="H18" s="161" t="inlineStr">
        <is>
          <t>Zippy 40 Running</t>
        </is>
      </c>
      <c r="I18" s="162" t="inlineStr">
        <is>
          <t>Move one barcode ahead to make way for zippy behind if any</t>
        </is>
      </c>
      <c r="J18" s="163">
        <f>IFERROR(VLOOKUP(H18,'Master List'!$A:$D,2,0),0)</f>
        <v/>
      </c>
      <c r="K18" s="163">
        <f>IFERROR(VLOOKUP(H18,'Master List'!$A:$D,3,0),0)</f>
        <v/>
      </c>
      <c r="L18" s="163">
        <f>IFERROR(VLOOKUP(H18,'Master List'!$A:$D,4,0),0)</f>
        <v/>
      </c>
      <c r="M18" s="163">
        <f>$B$32</f>
        <v/>
      </c>
      <c r="N18" s="163">
        <f>IFERROR(K18/L18,0)</f>
        <v/>
      </c>
      <c r="O18" s="163">
        <f>IFERROR(IF(M18&lt;((1/2*L18*N18^2)*2),1/2*L18*SQRT((M18/2)*2/L18)^2,1/2*L18*N18^2),0)</f>
        <v/>
      </c>
      <c r="P18" s="163">
        <f>IFERROR(IF(M18-O18-Q18&lt;=0,0,M18-O18-Q18),0)</f>
        <v/>
      </c>
      <c r="Q18" s="163">
        <f>O18</f>
        <v/>
      </c>
      <c r="R18" s="163">
        <f>IFERROR(IF(M18&lt;((1/2*L18*N18^2)*2),SQRT((M18/2)*2/L18),N18),0)</f>
        <v/>
      </c>
      <c r="S18" s="163">
        <f>IFERROR(P18/K18,0)</f>
        <v/>
      </c>
      <c r="T18" s="163">
        <f>R18</f>
        <v/>
      </c>
      <c r="U18" s="163">
        <f>IF(J18&gt;0,J18,SUM(R18:T18))</f>
        <v/>
      </c>
      <c r="V18" s="163" t="n">
        <v>1</v>
      </c>
      <c r="W18" s="163">
        <f>U18*V18</f>
        <v/>
      </c>
      <c r="Y18" s="160">
        <f>Y17+1</f>
        <v/>
      </c>
      <c r="Z18" s="161" t="inlineStr">
        <is>
          <t>Zippy 40 Running</t>
        </is>
      </c>
      <c r="AA18" s="162" t="n"/>
      <c r="AB18" s="163">
        <f>IFERROR(VLOOKUP(Z18,'Master List'!$A:$D,2,0),0)</f>
        <v/>
      </c>
      <c r="AC18" s="163">
        <f>IFERROR(VLOOKUP(Z18,'Master List'!$A:$D,3,0),0)</f>
        <v/>
      </c>
      <c r="AD18" s="163">
        <f>IFERROR(VLOOKUP(Z18,'Master List'!$A:$D,4,0),0)</f>
        <v/>
      </c>
      <c r="AE18" s="163">
        <f>$B$32</f>
        <v/>
      </c>
      <c r="AF18" s="163">
        <f>IFERROR(AC18/AD18,0)</f>
        <v/>
      </c>
      <c r="AG18" s="163">
        <f>IFERROR(IF(AE18&lt;((1/2*AD18*AF18^2)*2),1/2*AD18*SQRT((AE18/2)*2/AD18)^2,1/2*AD18*AF18^2),0)</f>
        <v/>
      </c>
      <c r="AH18" s="163">
        <f>IFERROR(IF(AE18-AG18-AI18&lt;=0,0,AE18-AG18-AI18),0)</f>
        <v/>
      </c>
      <c r="AI18" s="163">
        <f>AG18</f>
        <v/>
      </c>
      <c r="AJ18" s="163">
        <f>IFERROR(IF(AE18&lt;((1/2*AD18*AF18^2)*2),SQRT((AE18/2)*2/AD18),AF18),0)</f>
        <v/>
      </c>
      <c r="AK18" s="163">
        <f>IFERROR(AH18/AC18,0)</f>
        <v/>
      </c>
      <c r="AL18" s="163">
        <f>AJ18</f>
        <v/>
      </c>
      <c r="AM18" s="163">
        <f>IF(AB18&gt;0,AB18,SUM(AJ18:AL18))</f>
        <v/>
      </c>
      <c r="AN18" s="163" t="n">
        <v>1</v>
      </c>
      <c r="AO18" s="163">
        <f>AM18*AN18</f>
        <v/>
      </c>
      <c r="AQ18" s="160">
        <f>AQ17+1</f>
        <v/>
      </c>
      <c r="AR18" s="161" t="inlineStr">
        <is>
          <t>Zippy 40 Running</t>
        </is>
      </c>
      <c r="AS18" s="162" t="n"/>
      <c r="AT18" s="163">
        <f>IFERROR(VLOOKUP(AR18,'Master List'!$A:$D,2,0),0)</f>
        <v/>
      </c>
      <c r="AU18" s="163">
        <f>IFERROR(VLOOKUP(AR18,'Master List'!$A:$D,3,0),0)</f>
        <v/>
      </c>
      <c r="AV18" s="163">
        <f>IFERROR(VLOOKUP(AR18,'Master List'!$A:$D,4,0),0)</f>
        <v/>
      </c>
      <c r="AW18" s="163">
        <f>$B$32</f>
        <v/>
      </c>
      <c r="AX18" s="163">
        <f>IFERROR(AU18/AV18,0)</f>
        <v/>
      </c>
      <c r="AY18" s="163">
        <f>IFERROR(IF(AW18&lt;((1/2*AV18*AX18^2)*2),1/2*AV18*SQRT((AW18/2)*2/AV18)^2,1/2*AV18*AX18^2),0)</f>
        <v/>
      </c>
      <c r="AZ18" s="163">
        <f>IFERROR(IF(AW18-AY18-BA18&lt;=0,0,AW18-AY18-BA18),0)</f>
        <v/>
      </c>
      <c r="BA18" s="163">
        <f>AY18</f>
        <v/>
      </c>
      <c r="BB18" s="163">
        <f>IFERROR(IF(AW18&lt;((1/2*AV18*AX18^2)*2),SQRT((AW18/2)*2/AV18),AX18),0)</f>
        <v/>
      </c>
      <c r="BC18" s="163">
        <f>IFERROR(AZ18/AU18,0)</f>
        <v/>
      </c>
      <c r="BD18" s="163">
        <f>BB18</f>
        <v/>
      </c>
      <c r="BE18" s="163">
        <f>IF(AT18&gt;0,AT18,SUM(BB18:BD18))</f>
        <v/>
      </c>
      <c r="BF18" s="163" t="n">
        <v>1</v>
      </c>
      <c r="BG18" s="163">
        <f>BE18*BF18</f>
        <v/>
      </c>
      <c r="BI18" s="160">
        <f>BI17+1</f>
        <v/>
      </c>
      <c r="BJ18" s="161" t="inlineStr">
        <is>
          <t>Zippy 40 Running</t>
        </is>
      </c>
      <c r="BK18" s="162" t="n"/>
      <c r="BL18" s="163">
        <f>IFERROR(VLOOKUP(BJ18,'Master List'!$A:$D,2,0),0)</f>
        <v/>
      </c>
      <c r="BM18" s="163">
        <f>IFERROR(VLOOKUP(BJ18,'Master List'!$A:$D,3,0),0)</f>
        <v/>
      </c>
      <c r="BN18" s="163">
        <f>IFERROR(VLOOKUP(BJ18,'Master List'!$A:$D,4,0),0)</f>
        <v/>
      </c>
      <c r="BO18" s="163">
        <f>$B$32</f>
        <v/>
      </c>
      <c r="BP18" s="163">
        <f>IFERROR(BM18/BN18,0)</f>
        <v/>
      </c>
      <c r="BQ18" s="163">
        <f>IFERROR(IF(BO18&lt;((1/2*BN18*BP18^2)*2),1/2*BN18*SQRT((BO18/2)*2/BN18)^2,1/2*BN18*BP18^2),0)</f>
        <v/>
      </c>
      <c r="BR18" s="163">
        <f>IFERROR(IF(BO18-BQ18-BS18&lt;=0,0,BO18-BQ18-BS18),0)</f>
        <v/>
      </c>
      <c r="BS18" s="163">
        <f>BQ18</f>
        <v/>
      </c>
      <c r="BT18" s="163">
        <f>IFERROR(IF(BO18&lt;((1/2*BN18*BP18^2)*2),SQRT((BO18/2)*2/BN18),BP18),0)</f>
        <v/>
      </c>
      <c r="BU18" s="163">
        <f>IFERROR(BR18/BM18,0)</f>
        <v/>
      </c>
      <c r="BV18" s="163">
        <f>BT18</f>
        <v/>
      </c>
      <c r="BW18" s="163">
        <f>IF(BL18&gt;0,BL18,SUM(BT18:BV18))</f>
        <v/>
      </c>
      <c r="BX18" s="163" t="n">
        <v>1</v>
      </c>
      <c r="BY18" s="163">
        <f>BW18*BX18</f>
        <v/>
      </c>
    </row>
    <row r="19" ht="15" customHeight="1" s="516">
      <c r="G19" s="160">
        <f>G18+1</f>
        <v/>
      </c>
      <c r="H19" s="161" t="inlineStr">
        <is>
          <t>Zippy 40 90 degree Turn</t>
        </is>
      </c>
      <c r="I19" s="162" t="inlineStr">
        <is>
          <t>Turn to move on highway</t>
        </is>
      </c>
      <c r="J19" s="163">
        <f>IFERROR(VLOOKUP(H19,'Master List'!$A:$D,2,0),0)</f>
        <v/>
      </c>
      <c r="K19" s="163">
        <f>IFERROR(VLOOKUP(H19,'Master List'!$A:$D,3,0),0)</f>
        <v/>
      </c>
      <c r="L19" s="163">
        <f>IFERROR(VLOOKUP(H19,'Master List'!$A:$D,4,0),0)</f>
        <v/>
      </c>
      <c r="M19" s="163" t="n"/>
      <c r="N19" s="163">
        <f>IFERROR(K19/L19,0)</f>
        <v/>
      </c>
      <c r="O19" s="163">
        <f>IFERROR(IF(M19&lt;((1/2*L19*N19^2)*2),1/2*L19*SQRT((M19/2)*2/L19)^2,1/2*L19*N19^2),0)</f>
        <v/>
      </c>
      <c r="P19" s="163">
        <f>IFERROR(IF(M19-O19-Q19&lt;=0,0,M19-O19-Q19),0)</f>
        <v/>
      </c>
      <c r="Q19" s="163">
        <f>O19</f>
        <v/>
      </c>
      <c r="R19" s="163">
        <f>IFERROR(IF(M19&lt;((1/2*L19*N19^2)*2),SQRT((M19/2)*2/L19),N19),0)</f>
        <v/>
      </c>
      <c r="S19" s="163">
        <f>IFERROR(P19/K19,0)</f>
        <v/>
      </c>
      <c r="T19" s="163">
        <f>R19</f>
        <v/>
      </c>
      <c r="U19" s="163">
        <f>IF(J19&gt;0,J19,SUM(R19:T19))</f>
        <v/>
      </c>
      <c r="V19" s="163" t="n">
        <v>1</v>
      </c>
      <c r="W19" s="163">
        <f>U19*V19</f>
        <v/>
      </c>
      <c r="Y19" s="160">
        <f>Y18+1</f>
        <v/>
      </c>
      <c r="Z19" s="161" t="inlineStr">
        <is>
          <t>Zippy 40 90 degree Turn</t>
        </is>
      </c>
      <c r="AA19" s="162" t="n"/>
      <c r="AB19" s="163">
        <f>IFERROR(VLOOKUP(Z19,'Master List'!$A:$D,2,0),0)</f>
        <v/>
      </c>
      <c r="AC19" s="163">
        <f>IFERROR(VLOOKUP(Z19,'Master List'!$A:$D,3,0),0)</f>
        <v/>
      </c>
      <c r="AD19" s="163">
        <f>IFERROR(VLOOKUP(Z19,'Master List'!$A:$D,4,0),0)</f>
        <v/>
      </c>
      <c r="AE19" s="163" t="n"/>
      <c r="AF19" s="163">
        <f>IFERROR(AC19/AD19,0)</f>
        <v/>
      </c>
      <c r="AG19" s="163">
        <f>IFERROR(IF(AE19&lt;((1/2*AD19*AF19^2)*2),1/2*AD19*SQRT((AE19/2)*2/AD19)^2,1/2*AD19*AF19^2),0)</f>
        <v/>
      </c>
      <c r="AH19" s="163">
        <f>IFERROR(IF(AE19-AG19-AI19&lt;=0,0,AE19-AG19-AI19),0)</f>
        <v/>
      </c>
      <c r="AI19" s="163">
        <f>AG19</f>
        <v/>
      </c>
      <c r="AJ19" s="163">
        <f>IFERROR(IF(AE19&lt;((1/2*AD19*AF19^2)*2),SQRT((AE19/2)*2/AD19),AF19),0)</f>
        <v/>
      </c>
      <c r="AK19" s="163">
        <f>IFERROR(AH19/AC19,0)</f>
        <v/>
      </c>
      <c r="AL19" s="163">
        <f>AJ19</f>
        <v/>
      </c>
      <c r="AM19" s="163">
        <f>IF(AB19&gt;0,AB19,SUM(AJ19:AL19))</f>
        <v/>
      </c>
      <c r="AN19" s="163" t="n">
        <v>1</v>
      </c>
      <c r="AO19" s="163">
        <f>AM19*AN19</f>
        <v/>
      </c>
      <c r="AQ19" s="160">
        <f>AQ18+1</f>
        <v/>
      </c>
      <c r="AR19" s="161" t="inlineStr">
        <is>
          <t>Zippy 40 90 degree Turn</t>
        </is>
      </c>
      <c r="AS19" s="162" t="n"/>
      <c r="AT19" s="163">
        <f>IFERROR(VLOOKUP(AR19,'Master List'!$A:$D,2,0),0)</f>
        <v/>
      </c>
      <c r="AU19" s="163">
        <f>IFERROR(VLOOKUP(AR19,'Master List'!$A:$D,3,0),0)</f>
        <v/>
      </c>
      <c r="AV19" s="163">
        <f>IFERROR(VLOOKUP(AR19,'Master List'!$A:$D,4,0),0)</f>
        <v/>
      </c>
      <c r="AW19" s="163" t="n"/>
      <c r="AX19" s="163">
        <f>IFERROR(AU19/AV19,0)</f>
        <v/>
      </c>
      <c r="AY19" s="163">
        <f>IFERROR(IF(AW19&lt;((1/2*AV19*AX19^2)*2),1/2*AV19*SQRT((AW19/2)*2/AV19)^2,1/2*AV19*AX19^2),0)</f>
        <v/>
      </c>
      <c r="AZ19" s="163">
        <f>IFERROR(IF(AW19-AY19-BA19&lt;=0,0,AW19-AY19-BA19),0)</f>
        <v/>
      </c>
      <c r="BA19" s="163">
        <f>AY19</f>
        <v/>
      </c>
      <c r="BB19" s="163">
        <f>IFERROR(IF(AW19&lt;((1/2*AV19*AX19^2)*2),SQRT((AW19/2)*2/AV19),AX19),0)</f>
        <v/>
      </c>
      <c r="BC19" s="163">
        <f>IFERROR(AZ19/AU19,0)</f>
        <v/>
      </c>
      <c r="BD19" s="163">
        <f>BB19</f>
        <v/>
      </c>
      <c r="BE19" s="163">
        <f>IF(AT19&gt;0,AT19,SUM(BB19:BD19))</f>
        <v/>
      </c>
      <c r="BF19" s="163" t="n">
        <v>1</v>
      </c>
      <c r="BG19" s="163">
        <f>BE19*BF19</f>
        <v/>
      </c>
      <c r="BI19" s="160">
        <f>BI18+1</f>
        <v/>
      </c>
      <c r="BJ19" s="161" t="inlineStr">
        <is>
          <t>Zippy 40 90 degree Turn</t>
        </is>
      </c>
      <c r="BK19" s="162" t="n"/>
      <c r="BL19" s="163">
        <f>IFERROR(VLOOKUP(BJ19,'Master List'!$A:$D,2,0),0)</f>
        <v/>
      </c>
      <c r="BM19" s="163">
        <f>IFERROR(VLOOKUP(BJ19,'Master List'!$A:$D,3,0),0)</f>
        <v/>
      </c>
      <c r="BN19" s="163">
        <f>IFERROR(VLOOKUP(BJ19,'Master List'!$A:$D,4,0),0)</f>
        <v/>
      </c>
      <c r="BO19" s="163" t="n"/>
      <c r="BP19" s="163">
        <f>IFERROR(BM19/BN19,0)</f>
        <v/>
      </c>
      <c r="BQ19" s="163">
        <f>IFERROR(IF(BO19&lt;((1/2*BN19*BP19^2)*2),1/2*BN19*SQRT((BO19/2)*2/BN19)^2,1/2*BN19*BP19^2),0)</f>
        <v/>
      </c>
      <c r="BR19" s="163">
        <f>IFERROR(IF(BO19-BQ19-BS19&lt;=0,0,BO19-BQ19-BS19),0)</f>
        <v/>
      </c>
      <c r="BS19" s="163">
        <f>BQ19</f>
        <v/>
      </c>
      <c r="BT19" s="163">
        <f>IFERROR(IF(BO19&lt;((1/2*BN19*BP19^2)*2),SQRT((BO19/2)*2/BN19),BP19),0)</f>
        <v/>
      </c>
      <c r="BU19" s="163">
        <f>IFERROR(BR19/BM19,0)</f>
        <v/>
      </c>
      <c r="BV19" s="163">
        <f>BT19</f>
        <v/>
      </c>
      <c r="BW19" s="163">
        <f>IF(BL19&gt;0,BL19,SUM(BT19:BV19))</f>
        <v/>
      </c>
      <c r="BX19" s="163" t="n">
        <v>1</v>
      </c>
      <c r="BY19" s="163">
        <f>BW19*BX19</f>
        <v/>
      </c>
    </row>
    <row r="20">
      <c r="A20" s="33" t="n"/>
      <c r="B20" s="34" t="inlineStr">
        <is>
          <t>% of distance travelled in X direction</t>
        </is>
      </c>
      <c r="C20" s="34" t="inlineStr">
        <is>
          <t>Distance travelled m</t>
        </is>
      </c>
      <c r="D20" s="34" t="inlineStr">
        <is>
          <t>Cycles/ Hr</t>
        </is>
      </c>
      <c r="E20" s="34" t="inlineStr">
        <is>
          <t>Weightage</t>
        </is>
      </c>
      <c r="G20" s="160">
        <f>G19+1</f>
        <v/>
      </c>
      <c r="H20" s="161" t="inlineStr">
        <is>
          <t>Zippy 40 Running</t>
        </is>
      </c>
      <c r="I20" s="162" t="inlineStr">
        <is>
          <t>Distance travlled to come back to induction station in Y direction</t>
        </is>
      </c>
      <c r="J20" s="163">
        <f>IFERROR(VLOOKUP(H20,'Master List'!$A:$D,2,0),0)</f>
        <v/>
      </c>
      <c r="K20" s="163">
        <f>IFERROR(VLOOKUP(H20,'Master List'!$A:$D,3,0),0)</f>
        <v/>
      </c>
      <c r="L20" s="163">
        <f>IFERROR(VLOOKUP(H20,'Master List'!$A:$D,4,0),0)</f>
        <v/>
      </c>
      <c r="M20" s="163">
        <f>$M$15+M24</f>
        <v/>
      </c>
      <c r="N20" s="163">
        <f>IFERROR(K20/L20,0)</f>
        <v/>
      </c>
      <c r="O20" s="163">
        <f>IFERROR(IF(M20&lt;((1/2*L20*N20^2)*2),1/2*L20*SQRT((M20/2)*2/L20)^2,1/2*L20*N20^2),0)</f>
        <v/>
      </c>
      <c r="P20" s="163">
        <f>IFERROR(IF(M20-O20-Q20&lt;=0,0,M20-O20-Q20),0)</f>
        <v/>
      </c>
      <c r="Q20" s="163">
        <f>O20</f>
        <v/>
      </c>
      <c r="R20" s="163">
        <f>IFERROR(IF(M20&lt;((1/2*L20*N20^2)*2),SQRT((M20/2)*2/L20),N20),0)</f>
        <v/>
      </c>
      <c r="S20" s="163">
        <f>IFERROR(P20/K20,0)</f>
        <v/>
      </c>
      <c r="T20" s="163">
        <f>R20</f>
        <v/>
      </c>
      <c r="U20" s="163">
        <f>IF(J20&gt;0,J20,SUM(R20:T20))</f>
        <v/>
      </c>
      <c r="V20" s="163" t="n">
        <v>1</v>
      </c>
      <c r="W20" s="163">
        <f>U20*V20</f>
        <v/>
      </c>
      <c r="Y20" s="160">
        <f>Y19+1</f>
        <v/>
      </c>
      <c r="Z20" s="161" t="inlineStr">
        <is>
          <t>Zippy 40 Running</t>
        </is>
      </c>
      <c r="AA20" s="162" t="n"/>
      <c r="AB20" s="163">
        <f>IFERROR(VLOOKUP(Z20,'Master List'!$A:$D,2,0),0)</f>
        <v/>
      </c>
      <c r="AC20" s="163">
        <f>IFERROR(VLOOKUP(Z20,'Master List'!$A:$D,3,0),0)</f>
        <v/>
      </c>
      <c r="AD20" s="163">
        <f>IFERROR(VLOOKUP(Z20,'Master List'!$A:$D,4,0),0)</f>
        <v/>
      </c>
      <c r="AE20" s="163">
        <f>AE15+AE24</f>
        <v/>
      </c>
      <c r="AF20" s="163">
        <f>IFERROR(AC20/AD20,0)</f>
        <v/>
      </c>
      <c r="AG20" s="163">
        <f>IFERROR(IF(AE20&lt;((1/2*AD20*AF20^2)*2),1/2*AD20*SQRT((AE20/2)*2/AD20)^2,1/2*AD20*AF20^2),0)</f>
        <v/>
      </c>
      <c r="AH20" s="163">
        <f>IFERROR(IF(AE20-AG20-AI20&lt;=0,0,AE20-AG20-AI20),0)</f>
        <v/>
      </c>
      <c r="AI20" s="163">
        <f>AG20</f>
        <v/>
      </c>
      <c r="AJ20" s="163">
        <f>IFERROR(IF(AE20&lt;((1/2*AD20*AF20^2)*2),SQRT((AE20/2)*2/AD20),AF20),0)</f>
        <v/>
      </c>
      <c r="AK20" s="163">
        <f>IFERROR(AH20/AC20,0)</f>
        <v/>
      </c>
      <c r="AL20" s="163">
        <f>AJ20</f>
        <v/>
      </c>
      <c r="AM20" s="163">
        <f>IF(AB20&gt;0,AB20,SUM(AJ20:AL20))</f>
        <v/>
      </c>
      <c r="AN20" s="163" t="n">
        <v>1</v>
      </c>
      <c r="AO20" s="163">
        <f>AM20*AN20</f>
        <v/>
      </c>
      <c r="AQ20" s="160">
        <f>AQ19+1</f>
        <v/>
      </c>
      <c r="AR20" s="161" t="inlineStr">
        <is>
          <t>Zippy 40 Running</t>
        </is>
      </c>
      <c r="AS20" s="162" t="n"/>
      <c r="AT20" s="163">
        <f>IFERROR(VLOOKUP(AR20,'Master List'!$A:$D,2,0),0)</f>
        <v/>
      </c>
      <c r="AU20" s="163">
        <f>IFERROR(VLOOKUP(AR20,'Master List'!$A:$D,3,0),0)</f>
        <v/>
      </c>
      <c r="AV20" s="163">
        <f>IFERROR(VLOOKUP(AR20,'Master List'!$A:$D,4,0),0)</f>
        <v/>
      </c>
      <c r="AW20" s="163">
        <f>AW15+AW24</f>
        <v/>
      </c>
      <c r="AX20" s="163">
        <f>IFERROR(AU20/AV20,0)</f>
        <v/>
      </c>
      <c r="AY20" s="163">
        <f>IFERROR(IF(AW20&lt;((1/2*AV20*AX20^2)*2),1/2*AV20*SQRT((AW20/2)*2/AV20)^2,1/2*AV20*AX20^2),0)</f>
        <v/>
      </c>
      <c r="AZ20" s="163">
        <f>IFERROR(IF(AW20-AY20-BA20&lt;=0,0,AW20-AY20-BA20),0)</f>
        <v/>
      </c>
      <c r="BA20" s="163">
        <f>AY20</f>
        <v/>
      </c>
      <c r="BB20" s="163">
        <f>IFERROR(IF(AW20&lt;((1/2*AV20*AX20^2)*2),SQRT((AW20/2)*2/AV20),AX20),0)</f>
        <v/>
      </c>
      <c r="BC20" s="163">
        <f>IFERROR(AZ20/AU20,0)</f>
        <v/>
      </c>
      <c r="BD20" s="163">
        <f>BB20</f>
        <v/>
      </c>
      <c r="BE20" s="163">
        <f>IF(AT20&gt;0,AT20,SUM(BB20:BD20))</f>
        <v/>
      </c>
      <c r="BF20" s="163" t="n">
        <v>1</v>
      </c>
      <c r="BG20" s="163">
        <f>BE20*BF20</f>
        <v/>
      </c>
      <c r="BI20" s="160">
        <f>BI19+1</f>
        <v/>
      </c>
      <c r="BJ20" s="161" t="inlineStr">
        <is>
          <t>Zippy 40 Running</t>
        </is>
      </c>
      <c r="BK20" s="162" t="n"/>
      <c r="BL20" s="163">
        <f>IFERROR(VLOOKUP(BJ20,'Master List'!$A:$D,2,0),0)</f>
        <v/>
      </c>
      <c r="BM20" s="163">
        <f>IFERROR(VLOOKUP(BJ20,'Master List'!$A:$D,3,0),0)</f>
        <v/>
      </c>
      <c r="BN20" s="163">
        <f>IFERROR(VLOOKUP(BJ20,'Master List'!$A:$D,4,0),0)</f>
        <v/>
      </c>
      <c r="BO20" s="163">
        <f>BO15+BO24</f>
        <v/>
      </c>
      <c r="BP20" s="163">
        <f>IFERROR(BM20/BN20,0)</f>
        <v/>
      </c>
      <c r="BQ20" s="163">
        <f>IFERROR(IF(BO20&lt;((1/2*BN20*BP20^2)*2),1/2*BN20*SQRT((BO20/2)*2/BN20)^2,1/2*BN20*BP20^2),0)</f>
        <v/>
      </c>
      <c r="BR20" s="163">
        <f>IFERROR(IF(BO20-BQ20-BS20&lt;=0,0,BO20-BQ20-BS20),0)</f>
        <v/>
      </c>
      <c r="BS20" s="163">
        <f>BQ20</f>
        <v/>
      </c>
      <c r="BT20" s="163">
        <f>IFERROR(IF(BO20&lt;((1/2*BN20*BP20^2)*2),SQRT((BO20/2)*2/BN20),BP20),0)</f>
        <v/>
      </c>
      <c r="BU20" s="163">
        <f>IFERROR(BR20/BM20,0)</f>
        <v/>
      </c>
      <c r="BV20" s="163">
        <f>BT20</f>
        <v/>
      </c>
      <c r="BW20" s="163">
        <f>IF(BL20&gt;0,BL20,SUM(BT20:BV20))</f>
        <v/>
      </c>
      <c r="BX20" s="163" t="n">
        <v>1</v>
      </c>
      <c r="BY20" s="163">
        <f>BW20*BX20</f>
        <v/>
      </c>
    </row>
    <row r="21" ht="15" customHeight="1" s="516">
      <c r="A21" s="33">
        <f>"Single cycle - Near "&amp;C21&amp;" m"</f>
        <v/>
      </c>
      <c r="B21" s="56" t="n">
        <v>0.1</v>
      </c>
      <c r="C21" s="33">
        <f>B21*$D$12</f>
        <v/>
      </c>
      <c r="D21" s="25">
        <f>W6</f>
        <v/>
      </c>
      <c r="E21" s="36">
        <f>95%/3</f>
        <v/>
      </c>
      <c r="G21" s="160">
        <f>G20+1</f>
        <v/>
      </c>
      <c r="H21" s="161" t="inlineStr">
        <is>
          <t>Zippy 40 90 degree Turn</t>
        </is>
      </c>
      <c r="I21" s="162" t="inlineStr">
        <is>
          <t>Turn towards X direction</t>
        </is>
      </c>
      <c r="J21" s="163">
        <f>IFERROR(VLOOKUP(H21,'Master List'!$A:$D,2,0),0)</f>
        <v/>
      </c>
      <c r="K21" s="163">
        <f>IFERROR(VLOOKUP(H21,'Master List'!$A:$D,3,0),0)</f>
        <v/>
      </c>
      <c r="L21" s="163">
        <f>IFERROR(VLOOKUP(H21,'Master List'!$A:$D,4,0),0)</f>
        <v/>
      </c>
      <c r="M21" s="163" t="n"/>
      <c r="N21" s="163">
        <f>IFERROR(K21/L21,0)</f>
        <v/>
      </c>
      <c r="O21" s="163">
        <f>IFERROR(IF(M21&lt;((1/2*L21*N21^2)*2),1/2*L21*SQRT((M21/2)*2/L21)^2,1/2*L21*N21^2),0)</f>
        <v/>
      </c>
      <c r="P21" s="163">
        <f>IFERROR(IF(M21-O21-Q21&lt;=0,0,M21-O21-Q21),0)</f>
        <v/>
      </c>
      <c r="Q21" s="163">
        <f>O21</f>
        <v/>
      </c>
      <c r="R21" s="163">
        <f>IFERROR(IF(M21&lt;((1/2*L21*N21^2)*2),SQRT((M21/2)*2/L21),N21),0)</f>
        <v/>
      </c>
      <c r="S21" s="163">
        <f>IFERROR(P21/K21,0)</f>
        <v/>
      </c>
      <c r="T21" s="163">
        <f>R21</f>
        <v/>
      </c>
      <c r="U21" s="163">
        <f>IF(J21&gt;0,J21,SUM(R21:T21))</f>
        <v/>
      </c>
      <c r="V21" s="163" t="n">
        <v>1</v>
      </c>
      <c r="W21" s="163">
        <f>U21*V21</f>
        <v/>
      </c>
      <c r="Y21" s="160">
        <f>Y20+1</f>
        <v/>
      </c>
      <c r="Z21" s="161" t="inlineStr">
        <is>
          <t>Zippy 40 90 degree Turn</t>
        </is>
      </c>
      <c r="AA21" s="162" t="n"/>
      <c r="AB21" s="163">
        <f>IFERROR(VLOOKUP(Z21,'Master List'!$A:$D,2,0),0)</f>
        <v/>
      </c>
      <c r="AC21" s="163">
        <f>IFERROR(VLOOKUP(Z21,'Master List'!$A:$D,3,0),0)</f>
        <v/>
      </c>
      <c r="AD21" s="163">
        <f>IFERROR(VLOOKUP(Z21,'Master List'!$A:$D,4,0),0)</f>
        <v/>
      </c>
      <c r="AE21" s="163" t="n"/>
      <c r="AF21" s="163">
        <f>IFERROR(AC21/AD21,0)</f>
        <v/>
      </c>
      <c r="AG21" s="163">
        <f>IFERROR(IF(AE21&lt;((1/2*AD21*AF21^2)*2),1/2*AD21*SQRT((AE21/2)*2/AD21)^2,1/2*AD21*AF21^2),0)</f>
        <v/>
      </c>
      <c r="AH21" s="163">
        <f>IFERROR(IF(AE21-AG21-AI21&lt;=0,0,AE21-AG21-AI21),0)</f>
        <v/>
      </c>
      <c r="AI21" s="163">
        <f>AG21</f>
        <v/>
      </c>
      <c r="AJ21" s="163">
        <f>IFERROR(IF(AE21&lt;((1/2*AD21*AF21^2)*2),SQRT((AE21/2)*2/AD21),AF21),0)</f>
        <v/>
      </c>
      <c r="AK21" s="163">
        <f>IFERROR(AH21/AC21,0)</f>
        <v/>
      </c>
      <c r="AL21" s="163">
        <f>AJ21</f>
        <v/>
      </c>
      <c r="AM21" s="163">
        <f>IF(AB21&gt;0,AB21,SUM(AJ21:AL21))</f>
        <v/>
      </c>
      <c r="AN21" s="163" t="n">
        <v>1</v>
      </c>
      <c r="AO21" s="163">
        <f>AM21*AN21</f>
        <v/>
      </c>
      <c r="AQ21" s="160">
        <f>AQ20+1</f>
        <v/>
      </c>
      <c r="AR21" s="161" t="inlineStr">
        <is>
          <t>Zippy 40 90 degree Turn</t>
        </is>
      </c>
      <c r="AS21" s="162" t="n"/>
      <c r="AT21" s="163">
        <f>IFERROR(VLOOKUP(AR21,'Master List'!$A:$D,2,0),0)</f>
        <v/>
      </c>
      <c r="AU21" s="163">
        <f>IFERROR(VLOOKUP(AR21,'Master List'!$A:$D,3,0),0)</f>
        <v/>
      </c>
      <c r="AV21" s="163">
        <f>IFERROR(VLOOKUP(AR21,'Master List'!$A:$D,4,0),0)</f>
        <v/>
      </c>
      <c r="AW21" s="163" t="n"/>
      <c r="AX21" s="163">
        <f>IFERROR(AU21/AV21,0)</f>
        <v/>
      </c>
      <c r="AY21" s="163">
        <f>IFERROR(IF(AW21&lt;((1/2*AV21*AX21^2)*2),1/2*AV21*SQRT((AW21/2)*2/AV21)^2,1/2*AV21*AX21^2),0)</f>
        <v/>
      </c>
      <c r="AZ21" s="163">
        <f>IFERROR(IF(AW21-AY21-BA21&lt;=0,0,AW21-AY21-BA21),0)</f>
        <v/>
      </c>
      <c r="BA21" s="163">
        <f>AY21</f>
        <v/>
      </c>
      <c r="BB21" s="163">
        <f>IFERROR(IF(AW21&lt;((1/2*AV21*AX21^2)*2),SQRT((AW21/2)*2/AV21),AX21),0)</f>
        <v/>
      </c>
      <c r="BC21" s="163">
        <f>IFERROR(AZ21/AU21,0)</f>
        <v/>
      </c>
      <c r="BD21" s="163">
        <f>BB21</f>
        <v/>
      </c>
      <c r="BE21" s="163">
        <f>IF(AT21&gt;0,AT21,SUM(BB21:BD21))</f>
        <v/>
      </c>
      <c r="BF21" s="163" t="n">
        <v>1</v>
      </c>
      <c r="BG21" s="163">
        <f>BE21*BF21</f>
        <v/>
      </c>
      <c r="BI21" s="160">
        <f>BI20+1</f>
        <v/>
      </c>
      <c r="BJ21" s="161" t="inlineStr">
        <is>
          <t>Zippy 40 90 degree Turn</t>
        </is>
      </c>
      <c r="BK21" s="162" t="n"/>
      <c r="BL21" s="163">
        <f>IFERROR(VLOOKUP(BJ21,'Master List'!$A:$D,2,0),0)</f>
        <v/>
      </c>
      <c r="BM21" s="163">
        <f>IFERROR(VLOOKUP(BJ21,'Master List'!$A:$D,3,0),0)</f>
        <v/>
      </c>
      <c r="BN21" s="163">
        <f>IFERROR(VLOOKUP(BJ21,'Master List'!$A:$D,4,0),0)</f>
        <v/>
      </c>
      <c r="BO21" s="163" t="n"/>
      <c r="BP21" s="163">
        <f>IFERROR(BM21/BN21,0)</f>
        <v/>
      </c>
      <c r="BQ21" s="163">
        <f>IFERROR(IF(BO21&lt;((1/2*BN21*BP21^2)*2),1/2*BN21*SQRT((BO21/2)*2/BN21)^2,1/2*BN21*BP21^2),0)</f>
        <v/>
      </c>
      <c r="BR21" s="163">
        <f>IFERROR(IF(BO21-BQ21-BS21&lt;=0,0,BO21-BQ21-BS21),0)</f>
        <v/>
      </c>
      <c r="BS21" s="163">
        <f>BQ21</f>
        <v/>
      </c>
      <c r="BT21" s="163">
        <f>IFERROR(IF(BO21&lt;((1/2*BN21*BP21^2)*2),SQRT((BO21/2)*2/BN21),BP21),0)</f>
        <v/>
      </c>
      <c r="BU21" s="163">
        <f>IFERROR(BR21/BM21,0)</f>
        <v/>
      </c>
      <c r="BV21" s="163">
        <f>BT21</f>
        <v/>
      </c>
      <c r="BW21" s="163">
        <f>IF(BL21&gt;0,BL21,SUM(BT21:BV21))</f>
        <v/>
      </c>
      <c r="BX21" s="163" t="n">
        <v>1</v>
      </c>
      <c r="BY21" s="163">
        <f>BW21*BX21</f>
        <v/>
      </c>
    </row>
    <row r="22" ht="15" customHeight="1" s="516">
      <c r="A22" s="33">
        <f>"Single cycle - Mid "&amp;C22&amp;" m"</f>
        <v/>
      </c>
      <c r="B22" s="56" t="n">
        <v>0.2</v>
      </c>
      <c r="C22" s="33">
        <f>B22*$D$12</f>
        <v/>
      </c>
      <c r="D22" s="25">
        <f>AO6</f>
        <v/>
      </c>
      <c r="E22" s="36">
        <f>95%/3</f>
        <v/>
      </c>
      <c r="G22" s="160">
        <f>G21+1</f>
        <v/>
      </c>
      <c r="H22" s="161" t="inlineStr">
        <is>
          <t>Zippy 40 Running</t>
        </is>
      </c>
      <c r="I22" s="162" t="inlineStr">
        <is>
          <t>Distance travelled to move towards induction station</t>
        </is>
      </c>
      <c r="J22" s="163">
        <f>IFERROR(VLOOKUP(H22,'Master List'!$A:$D,2,0),0)</f>
        <v/>
      </c>
      <c r="K22" s="163">
        <f>IFERROR(VLOOKUP(H22,'Master List'!$A:$D,3,0),0)</f>
        <v/>
      </c>
      <c r="L22" s="163">
        <f>IFERROR(VLOOKUP(H22,'Master List'!$A:$D,4,0),0)</f>
        <v/>
      </c>
      <c r="M22" s="163">
        <f>$M$13</f>
        <v/>
      </c>
      <c r="N22" s="163">
        <f>IFERROR(K22/L22,0)</f>
        <v/>
      </c>
      <c r="O22" s="163">
        <f>IFERROR(IF(M22&lt;((1/2*L22*N22^2)*2),1/2*L22*SQRT((M22/2)*2/L22)^2,1/2*L22*N22^2),0)</f>
        <v/>
      </c>
      <c r="P22" s="163">
        <f>IFERROR(IF(M22-O22-Q22&lt;=0,0,M22-O22-Q22),0)</f>
        <v/>
      </c>
      <c r="Q22" s="163">
        <f>O22</f>
        <v/>
      </c>
      <c r="R22" s="163">
        <f>IFERROR(IF(M22&lt;((1/2*L22*N22^2)*2),SQRT((M22/2)*2/L22),N22),0)</f>
        <v/>
      </c>
      <c r="S22" s="163">
        <f>IFERROR(P22/K22,0)</f>
        <v/>
      </c>
      <c r="T22" s="163">
        <f>R22</f>
        <v/>
      </c>
      <c r="U22" s="163">
        <f>IF(J22&gt;0,J22,SUM(R22:T22))</f>
        <v/>
      </c>
      <c r="V22" s="163" t="n">
        <v>1</v>
      </c>
      <c r="W22" s="163">
        <f>U22*V22</f>
        <v/>
      </c>
      <c r="Y22" s="160">
        <f>Y21+1</f>
        <v/>
      </c>
      <c r="Z22" s="161" t="inlineStr">
        <is>
          <t>Zippy 40 Running</t>
        </is>
      </c>
      <c r="AA22" s="162" t="n"/>
      <c r="AB22" s="163">
        <f>IFERROR(VLOOKUP(Z22,'Master List'!$A:$D,2,0),0)</f>
        <v/>
      </c>
      <c r="AC22" s="163">
        <f>IFERROR(VLOOKUP(Z22,'Master List'!$A:$D,3,0),0)</f>
        <v/>
      </c>
      <c r="AD22" s="163">
        <f>IFERROR(VLOOKUP(Z22,'Master List'!$A:$D,4,0),0)</f>
        <v/>
      </c>
      <c r="AE22" s="163">
        <f>AE13</f>
        <v/>
      </c>
      <c r="AF22" s="163">
        <f>IFERROR(AC22/AD22,0)</f>
        <v/>
      </c>
      <c r="AG22" s="163">
        <f>IFERROR(IF(AE22&lt;((1/2*AD22*AF22^2)*2),1/2*AD22*SQRT((AE22/2)*2/AD22)^2,1/2*AD22*AF22^2),0)</f>
        <v/>
      </c>
      <c r="AH22" s="163">
        <f>IFERROR(IF(AE22-AG22-AI22&lt;=0,0,AE22-AG22-AI22),0)</f>
        <v/>
      </c>
      <c r="AI22" s="163">
        <f>AG22</f>
        <v/>
      </c>
      <c r="AJ22" s="163">
        <f>IFERROR(IF(AE22&lt;((1/2*AD22*AF22^2)*2),SQRT((AE22/2)*2/AD22),AF22),0)</f>
        <v/>
      </c>
      <c r="AK22" s="163">
        <f>IFERROR(AH22/AC22,0)</f>
        <v/>
      </c>
      <c r="AL22" s="163">
        <f>AJ22</f>
        <v/>
      </c>
      <c r="AM22" s="163">
        <f>IF(AB22&gt;0,AB22,SUM(AJ22:AL22))</f>
        <v/>
      </c>
      <c r="AN22" s="163" t="n">
        <v>1</v>
      </c>
      <c r="AO22" s="163">
        <f>AM22*AN22</f>
        <v/>
      </c>
      <c r="AQ22" s="160">
        <f>AQ21+1</f>
        <v/>
      </c>
      <c r="AR22" s="161" t="inlineStr">
        <is>
          <t>Zippy 40 Running</t>
        </is>
      </c>
      <c r="AS22" s="162" t="n"/>
      <c r="AT22" s="163">
        <f>IFERROR(VLOOKUP(AR22,'Master List'!$A:$D,2,0),0)</f>
        <v/>
      </c>
      <c r="AU22" s="163">
        <f>IFERROR(VLOOKUP(AR22,'Master List'!$A:$D,3,0),0)</f>
        <v/>
      </c>
      <c r="AV22" s="163">
        <f>IFERROR(VLOOKUP(AR22,'Master List'!$A:$D,4,0),0)</f>
        <v/>
      </c>
      <c r="AW22" s="163">
        <f>AW13</f>
        <v/>
      </c>
      <c r="AX22" s="163">
        <f>IFERROR(AU22/AV22,0)</f>
        <v/>
      </c>
      <c r="AY22" s="163">
        <f>IFERROR(IF(AW22&lt;((1/2*AV22*AX22^2)*2),1/2*AV22*SQRT((AW22/2)*2/AV22)^2,1/2*AV22*AX22^2),0)</f>
        <v/>
      </c>
      <c r="AZ22" s="163">
        <f>IFERROR(IF(AW22-AY22-BA22&lt;=0,0,AW22-AY22-BA22),0)</f>
        <v/>
      </c>
      <c r="BA22" s="163">
        <f>AY22</f>
        <v/>
      </c>
      <c r="BB22" s="163">
        <f>IFERROR(IF(AW22&lt;((1/2*AV22*AX22^2)*2),SQRT((AW22/2)*2/AV22),AX22),0)</f>
        <v/>
      </c>
      <c r="BC22" s="163">
        <f>IFERROR(AZ22/AU22,0)</f>
        <v/>
      </c>
      <c r="BD22" s="163">
        <f>BB22</f>
        <v/>
      </c>
      <c r="BE22" s="163">
        <f>IF(AT22&gt;0,AT22,SUM(BB22:BD22))</f>
        <v/>
      </c>
      <c r="BF22" s="163" t="n">
        <v>1</v>
      </c>
      <c r="BG22" s="163">
        <f>BE22*BF22</f>
        <v/>
      </c>
      <c r="BI22" s="160">
        <f>BI21+1</f>
        <v/>
      </c>
      <c r="BJ22" s="161" t="inlineStr">
        <is>
          <t>Zippy 40 Running</t>
        </is>
      </c>
      <c r="BK22" s="162" t="n"/>
      <c r="BL22" s="163">
        <f>IFERROR(VLOOKUP(BJ22,'Master List'!$A:$D,2,0),0)</f>
        <v/>
      </c>
      <c r="BM22" s="163">
        <f>IFERROR(VLOOKUP(BJ22,'Master List'!$A:$D,3,0),0)</f>
        <v/>
      </c>
      <c r="BN22" s="163">
        <f>IFERROR(VLOOKUP(BJ22,'Master List'!$A:$D,4,0),0)</f>
        <v/>
      </c>
      <c r="BO22" s="163">
        <f>BO13</f>
        <v/>
      </c>
      <c r="BP22" s="163">
        <f>IFERROR(BM22/BN22,0)</f>
        <v/>
      </c>
      <c r="BQ22" s="163">
        <f>IFERROR(IF(BO22&lt;((1/2*BN22*BP22^2)*2),1/2*BN22*SQRT((BO22/2)*2/BN22)^2,1/2*BN22*BP22^2),0)</f>
        <v/>
      </c>
      <c r="BR22" s="163">
        <f>IFERROR(IF(BO22-BQ22-BS22&lt;=0,0,BO22-BQ22-BS22),0)</f>
        <v/>
      </c>
      <c r="BS22" s="163">
        <f>BQ22</f>
        <v/>
      </c>
      <c r="BT22" s="163">
        <f>IFERROR(IF(BO22&lt;((1/2*BN22*BP22^2)*2),SQRT((BO22/2)*2/BN22),BP22),0)</f>
        <v/>
      </c>
      <c r="BU22" s="163">
        <f>IFERROR(BR22/BM22,0)</f>
        <v/>
      </c>
      <c r="BV22" s="163">
        <f>BT22</f>
        <v/>
      </c>
      <c r="BW22" s="163">
        <f>IF(BL22&gt;0,BL22,SUM(BT22:BV22))</f>
        <v/>
      </c>
      <c r="BX22" s="163" t="n">
        <v>1</v>
      </c>
      <c r="BY22" s="163">
        <f>BW22*BX22</f>
        <v/>
      </c>
    </row>
    <row r="23" ht="15" customHeight="1" s="516">
      <c r="A23" s="33">
        <f>"Single cycle - Far "&amp;C23&amp;" m"</f>
        <v/>
      </c>
      <c r="B23" s="56" t="n">
        <v>0.5</v>
      </c>
      <c r="C23" s="33">
        <f>B23*$D$12</f>
        <v/>
      </c>
      <c r="D23" s="25">
        <f>BG6</f>
        <v/>
      </c>
      <c r="E23" s="36">
        <f>95%/3</f>
        <v/>
      </c>
      <c r="G23" s="160">
        <f>G22+1</f>
        <v/>
      </c>
      <c r="H23" s="161" t="inlineStr">
        <is>
          <t>Zippy 40 90 degree Turn</t>
        </is>
      </c>
      <c r="I23" s="162" t="inlineStr">
        <is>
          <t>Turn to get in queue of induction</t>
        </is>
      </c>
      <c r="J23" s="163">
        <f>IFERROR(VLOOKUP(H23,'Master List'!$A:$D,2,0),0)</f>
        <v/>
      </c>
      <c r="K23" s="163">
        <f>IFERROR(VLOOKUP(H23,'Master List'!$A:$D,3,0),0)</f>
        <v/>
      </c>
      <c r="L23" s="163">
        <f>IFERROR(VLOOKUP(H23,'Master List'!$A:$D,4,0),0)</f>
        <v/>
      </c>
      <c r="M23" s="163" t="n"/>
      <c r="N23" s="163">
        <f>IFERROR(K23/L23,0)</f>
        <v/>
      </c>
      <c r="O23" s="163">
        <f>IFERROR(IF(M23&lt;((1/2*L23*N23^2)*2),1/2*L23*SQRT((M23/2)*2/L23)^2,1/2*L23*N23^2),0)</f>
        <v/>
      </c>
      <c r="P23" s="163">
        <f>IFERROR(IF(M23-O23-Q23&lt;=0,0,M23-O23-Q23),0)</f>
        <v/>
      </c>
      <c r="Q23" s="163">
        <f>O23</f>
        <v/>
      </c>
      <c r="R23" s="163">
        <f>IFERROR(IF(M23&lt;((1/2*L23*N23^2)*2),SQRT((M23/2)*2/L23),N23),0)</f>
        <v/>
      </c>
      <c r="S23" s="163">
        <f>IFERROR(P23/K23,0)</f>
        <v/>
      </c>
      <c r="T23" s="163">
        <f>R23</f>
        <v/>
      </c>
      <c r="U23" s="163">
        <f>IF(J23&gt;0,J23,SUM(R23:T23))</f>
        <v/>
      </c>
      <c r="V23" s="163" t="n">
        <v>1</v>
      </c>
      <c r="W23" s="163">
        <f>U23*V23</f>
        <v/>
      </c>
      <c r="Y23" s="160">
        <f>Y22+1</f>
        <v/>
      </c>
      <c r="Z23" s="161" t="inlineStr">
        <is>
          <t>Zippy 40 90 degree Turn</t>
        </is>
      </c>
      <c r="AA23" s="162" t="n"/>
      <c r="AB23" s="163">
        <f>IFERROR(VLOOKUP(Z23,'Master List'!$A:$D,2,0),0)</f>
        <v/>
      </c>
      <c r="AC23" s="163">
        <f>IFERROR(VLOOKUP(Z23,'Master List'!$A:$D,3,0),0)</f>
        <v/>
      </c>
      <c r="AD23" s="163">
        <f>IFERROR(VLOOKUP(Z23,'Master List'!$A:$D,4,0),0)</f>
        <v/>
      </c>
      <c r="AE23" s="163" t="n"/>
      <c r="AF23" s="163">
        <f>IFERROR(AC23/AD23,0)</f>
        <v/>
      </c>
      <c r="AG23" s="163">
        <f>IFERROR(IF(AE23&lt;((1/2*AD23*AF23^2)*2),1/2*AD23*SQRT((AE23/2)*2/AD23)^2,1/2*AD23*AF23^2),0)</f>
        <v/>
      </c>
      <c r="AH23" s="163">
        <f>IFERROR(IF(AE23-AG23-AI23&lt;=0,0,AE23-AG23-AI23),0)</f>
        <v/>
      </c>
      <c r="AI23" s="163">
        <f>AG23</f>
        <v/>
      </c>
      <c r="AJ23" s="163">
        <f>IFERROR(IF(AE23&lt;((1/2*AD23*AF23^2)*2),SQRT((AE23/2)*2/AD23),AF23),0)</f>
        <v/>
      </c>
      <c r="AK23" s="163">
        <f>IFERROR(AH23/AC23,0)</f>
        <v/>
      </c>
      <c r="AL23" s="163">
        <f>AJ23</f>
        <v/>
      </c>
      <c r="AM23" s="163">
        <f>IF(AB23&gt;0,AB23,SUM(AJ23:AL23))</f>
        <v/>
      </c>
      <c r="AN23" s="163" t="n">
        <v>1</v>
      </c>
      <c r="AO23" s="163">
        <f>AM23*AN23</f>
        <v/>
      </c>
      <c r="AQ23" s="160">
        <f>AQ22+1</f>
        <v/>
      </c>
      <c r="AR23" s="161" t="inlineStr">
        <is>
          <t>Zippy 40 90 degree Turn</t>
        </is>
      </c>
      <c r="AS23" s="162" t="n"/>
      <c r="AT23" s="163">
        <f>IFERROR(VLOOKUP(AR23,'Master List'!$A:$D,2,0),0)</f>
        <v/>
      </c>
      <c r="AU23" s="163">
        <f>IFERROR(VLOOKUP(AR23,'Master List'!$A:$D,3,0),0)</f>
        <v/>
      </c>
      <c r="AV23" s="163">
        <f>IFERROR(VLOOKUP(AR23,'Master List'!$A:$D,4,0),0)</f>
        <v/>
      </c>
      <c r="AW23" s="163" t="n"/>
      <c r="AX23" s="163">
        <f>IFERROR(AU23/AV23,0)</f>
        <v/>
      </c>
      <c r="AY23" s="163">
        <f>IFERROR(IF(AW23&lt;((1/2*AV23*AX23^2)*2),1/2*AV23*SQRT((AW23/2)*2/AV23)^2,1/2*AV23*AX23^2),0)</f>
        <v/>
      </c>
      <c r="AZ23" s="163">
        <f>IFERROR(IF(AW23-AY23-BA23&lt;=0,0,AW23-AY23-BA23),0)</f>
        <v/>
      </c>
      <c r="BA23" s="163">
        <f>AY23</f>
        <v/>
      </c>
      <c r="BB23" s="163">
        <f>IFERROR(IF(AW23&lt;((1/2*AV23*AX23^2)*2),SQRT((AW23/2)*2/AV23),AX23),0)</f>
        <v/>
      </c>
      <c r="BC23" s="163">
        <f>IFERROR(AZ23/AU23,0)</f>
        <v/>
      </c>
      <c r="BD23" s="163">
        <f>BB23</f>
        <v/>
      </c>
      <c r="BE23" s="163">
        <f>IF(AT23&gt;0,AT23,SUM(BB23:BD23))</f>
        <v/>
      </c>
      <c r="BF23" s="163" t="n">
        <v>1</v>
      </c>
      <c r="BG23" s="163">
        <f>BE23*BF23</f>
        <v/>
      </c>
      <c r="BI23" s="160">
        <f>BI22+1</f>
        <v/>
      </c>
      <c r="BJ23" s="161" t="inlineStr">
        <is>
          <t>Zippy 40 90 degree Turn</t>
        </is>
      </c>
      <c r="BK23" s="162" t="n"/>
      <c r="BL23" s="163">
        <f>IFERROR(VLOOKUP(BJ23,'Master List'!$A:$D,2,0),0)</f>
        <v/>
      </c>
      <c r="BM23" s="163">
        <f>IFERROR(VLOOKUP(BJ23,'Master List'!$A:$D,3,0),0)</f>
        <v/>
      </c>
      <c r="BN23" s="163">
        <f>IFERROR(VLOOKUP(BJ23,'Master List'!$A:$D,4,0),0)</f>
        <v/>
      </c>
      <c r="BO23" s="163" t="n"/>
      <c r="BP23" s="163">
        <f>IFERROR(BM23/BN23,0)</f>
        <v/>
      </c>
      <c r="BQ23" s="163">
        <f>IFERROR(IF(BO23&lt;((1/2*BN23*BP23^2)*2),1/2*BN23*SQRT((BO23/2)*2/BN23)^2,1/2*BN23*BP23^2),0)</f>
        <v/>
      </c>
      <c r="BR23" s="163">
        <f>IFERROR(IF(BO23-BQ23-BS23&lt;=0,0,BO23-BQ23-BS23),0)</f>
        <v/>
      </c>
      <c r="BS23" s="163">
        <f>BQ23</f>
        <v/>
      </c>
      <c r="BT23" s="163">
        <f>IFERROR(IF(BO23&lt;((1/2*BN23*BP23^2)*2),SQRT((BO23/2)*2/BN23),BP23),0)</f>
        <v/>
      </c>
      <c r="BU23" s="163">
        <f>IFERROR(BR23/BM23,0)</f>
        <v/>
      </c>
      <c r="BV23" s="163">
        <f>BT23</f>
        <v/>
      </c>
      <c r="BW23" s="163">
        <f>IF(BL23&gt;0,BL23,SUM(BT23:BV23))</f>
        <v/>
      </c>
      <c r="BX23" s="163" t="n">
        <v>1</v>
      </c>
      <c r="BY23" s="163">
        <f>BW23*BX23</f>
        <v/>
      </c>
    </row>
    <row r="24" ht="15" customHeight="1" s="516">
      <c r="A24" s="33">
        <f>"Single cycle - Diagonally Farthest "&amp;C24&amp;" m"</f>
        <v/>
      </c>
      <c r="B24" s="56" t="n">
        <v>1</v>
      </c>
      <c r="C24" s="33">
        <f>B24*$D$12</f>
        <v/>
      </c>
      <c r="D24" s="25">
        <f>BY6</f>
        <v/>
      </c>
      <c r="E24" s="36" t="n">
        <v>0.05</v>
      </c>
      <c r="G24" s="160">
        <f>G23+1</f>
        <v/>
      </c>
      <c r="H24" s="161" t="inlineStr">
        <is>
          <t>Zippy 40 Running</t>
        </is>
      </c>
      <c r="I24" s="162" t="inlineStr">
        <is>
          <t>Distance travelled to move towards induction station</t>
        </is>
      </c>
      <c r="J24" s="163">
        <f>IFERROR(VLOOKUP(H24,'Master List'!$A:$D,2,0),0)</f>
        <v/>
      </c>
      <c r="K24" s="163">
        <f>IFERROR(VLOOKUP(H24,'Master List'!$A:$D,3,0),0)</f>
        <v/>
      </c>
      <c r="L24" s="163">
        <f>IFERROR(VLOOKUP(H24,'Master List'!$A:$D,4,0),0)</f>
        <v/>
      </c>
      <c r="M24" s="163">
        <f>2*$B$32</f>
        <v/>
      </c>
      <c r="N24" s="163">
        <f>IFERROR(K24/L24,0)</f>
        <v/>
      </c>
      <c r="O24" s="163">
        <f>IFERROR(IF(M24&lt;((1/2*L24*N24^2)*2),1/2*L24*SQRT((M24/2)*2/L24)^2,1/2*L24*N24^2),0)</f>
        <v/>
      </c>
      <c r="P24" s="163">
        <f>IFERROR(IF(M24-O24-Q24&lt;=0,0,M24-O24-Q24),0)</f>
        <v/>
      </c>
      <c r="Q24" s="163">
        <f>O24</f>
        <v/>
      </c>
      <c r="R24" s="163">
        <f>IFERROR(IF(M24&lt;((1/2*L24*N24^2)*2),SQRT((M24/2)*2/L24),N24),0)</f>
        <v/>
      </c>
      <c r="S24" s="163">
        <f>IFERROR(P24/K24,0)</f>
        <v/>
      </c>
      <c r="T24" s="163">
        <f>R24</f>
        <v/>
      </c>
      <c r="U24" s="163">
        <f>IF(J24&gt;0,J24,SUM(R24:T24))</f>
        <v/>
      </c>
      <c r="V24" s="163" t="n">
        <v>1</v>
      </c>
      <c r="W24" s="163">
        <f>U24*V24</f>
        <v/>
      </c>
      <c r="Y24" s="160">
        <f>Y23+1</f>
        <v/>
      </c>
      <c r="Z24" s="161" t="inlineStr">
        <is>
          <t>Zippy 40 Running</t>
        </is>
      </c>
      <c r="AA24" s="162" t="n"/>
      <c r="AB24" s="163">
        <f>IFERROR(VLOOKUP(Z24,'Master List'!$A:$D,2,0),0)</f>
        <v/>
      </c>
      <c r="AC24" s="163">
        <f>IFERROR(VLOOKUP(Z24,'Master List'!$A:$D,3,0),0)</f>
        <v/>
      </c>
      <c r="AD24" s="163">
        <f>IFERROR(VLOOKUP(Z24,'Master List'!$A:$D,4,0),0)</f>
        <v/>
      </c>
      <c r="AE24" s="163">
        <f>2*$B$32</f>
        <v/>
      </c>
      <c r="AF24" s="163">
        <f>IFERROR(AC24/AD24,0)</f>
        <v/>
      </c>
      <c r="AG24" s="163">
        <f>IFERROR(IF(AE24&lt;((1/2*AD24*AF24^2)*2),1/2*AD24*SQRT((AE24/2)*2/AD24)^2,1/2*AD24*AF24^2),0)</f>
        <v/>
      </c>
      <c r="AH24" s="163">
        <f>IFERROR(IF(AE24-AG24-AI24&lt;=0,0,AE24-AG24-AI24),0)</f>
        <v/>
      </c>
      <c r="AI24" s="163">
        <f>AG24</f>
        <v/>
      </c>
      <c r="AJ24" s="163">
        <f>IFERROR(IF(AE24&lt;((1/2*AD24*AF24^2)*2),SQRT((AE24/2)*2/AD24),AF24),0)</f>
        <v/>
      </c>
      <c r="AK24" s="163">
        <f>IFERROR(AH24/AC24,0)</f>
        <v/>
      </c>
      <c r="AL24" s="163">
        <f>AJ24</f>
        <v/>
      </c>
      <c r="AM24" s="163">
        <f>IF(AB24&gt;0,AB24,SUM(AJ24:AL24))</f>
        <v/>
      </c>
      <c r="AN24" s="163" t="n">
        <v>1</v>
      </c>
      <c r="AO24" s="163">
        <f>AM24*AN24</f>
        <v/>
      </c>
      <c r="AQ24" s="160">
        <f>AQ23+1</f>
        <v/>
      </c>
      <c r="AR24" s="161" t="inlineStr">
        <is>
          <t>Zippy 40 Running</t>
        </is>
      </c>
      <c r="AS24" s="162" t="n"/>
      <c r="AT24" s="163">
        <f>IFERROR(VLOOKUP(AR24,'Master List'!$A:$D,2,0),0)</f>
        <v/>
      </c>
      <c r="AU24" s="163">
        <f>IFERROR(VLOOKUP(AR24,'Master List'!$A:$D,3,0),0)</f>
        <v/>
      </c>
      <c r="AV24" s="163">
        <f>IFERROR(VLOOKUP(AR24,'Master List'!$A:$D,4,0),0)</f>
        <v/>
      </c>
      <c r="AW24" s="163">
        <f>2*$B$32</f>
        <v/>
      </c>
      <c r="AX24" s="163">
        <f>IFERROR(AU24/AV24,0)</f>
        <v/>
      </c>
      <c r="AY24" s="163">
        <f>IFERROR(IF(AW24&lt;((1/2*AV24*AX24^2)*2),1/2*AV24*SQRT((AW24/2)*2/AV24)^2,1/2*AV24*AX24^2),0)</f>
        <v/>
      </c>
      <c r="AZ24" s="163">
        <f>IFERROR(IF(AW24-AY24-BA24&lt;=0,0,AW24-AY24-BA24),0)</f>
        <v/>
      </c>
      <c r="BA24" s="163">
        <f>AY24</f>
        <v/>
      </c>
      <c r="BB24" s="163">
        <f>IFERROR(IF(AW24&lt;((1/2*AV24*AX24^2)*2),SQRT((AW24/2)*2/AV24),AX24),0)</f>
        <v/>
      </c>
      <c r="BC24" s="163">
        <f>IFERROR(AZ24/AU24,0)</f>
        <v/>
      </c>
      <c r="BD24" s="163">
        <f>BB24</f>
        <v/>
      </c>
      <c r="BE24" s="163">
        <f>IF(AT24&gt;0,AT24,SUM(BB24:BD24))</f>
        <v/>
      </c>
      <c r="BF24" s="163" t="n">
        <v>1</v>
      </c>
      <c r="BG24" s="163">
        <f>BE24*BF24</f>
        <v/>
      </c>
      <c r="BI24" s="160">
        <f>BI23+1</f>
        <v/>
      </c>
      <c r="BJ24" s="161" t="inlineStr">
        <is>
          <t>Zippy 40 Running</t>
        </is>
      </c>
      <c r="BK24" s="162" t="n"/>
      <c r="BL24" s="163">
        <f>IFERROR(VLOOKUP(BJ24,'Master List'!$A:$D,2,0),0)</f>
        <v/>
      </c>
      <c r="BM24" s="163">
        <f>IFERROR(VLOOKUP(BJ24,'Master List'!$A:$D,3,0),0)</f>
        <v/>
      </c>
      <c r="BN24" s="163">
        <f>IFERROR(VLOOKUP(BJ24,'Master List'!$A:$D,4,0),0)</f>
        <v/>
      </c>
      <c r="BO24" s="163">
        <f>2*$B$32</f>
        <v/>
      </c>
      <c r="BP24" s="163">
        <f>IFERROR(BM24/BN24,0)</f>
        <v/>
      </c>
      <c r="BQ24" s="163">
        <f>IFERROR(IF(BO24&lt;((1/2*BN24*BP24^2)*2),1/2*BN24*SQRT((BO24/2)*2/BN24)^2,1/2*BN24*BP24^2),0)</f>
        <v/>
      </c>
      <c r="BR24" s="163">
        <f>IFERROR(IF(BO24-BQ24-BS24&lt;=0,0,BO24-BQ24-BS24),0)</f>
        <v/>
      </c>
      <c r="BS24" s="163">
        <f>BQ24</f>
        <v/>
      </c>
      <c r="BT24" s="163">
        <f>IFERROR(IF(BO24&lt;((1/2*BN24*BP24^2)*2),SQRT((BO24/2)*2/BN24),BP24),0)</f>
        <v/>
      </c>
      <c r="BU24" s="163">
        <f>IFERROR(BR24/BM24,0)</f>
        <v/>
      </c>
      <c r="BV24" s="163">
        <f>BT24</f>
        <v/>
      </c>
      <c r="BW24" s="163">
        <f>IF(BL24&gt;0,BL24,SUM(BT24:BV24))</f>
        <v/>
      </c>
      <c r="BX24" s="163" t="n">
        <v>1</v>
      </c>
      <c r="BY24" s="163">
        <f>BW24*BX24</f>
        <v/>
      </c>
    </row>
    <row r="25">
      <c r="E25" s="44">
        <f>SUM(E21:E24)</f>
        <v/>
      </c>
      <c r="G25" s="160">
        <f>G24+1</f>
        <v/>
      </c>
      <c r="H25" s="165" t="n"/>
      <c r="I25" s="162" t="n"/>
      <c r="J25" s="163">
        <f>IFERROR(VLOOKUP(H25,'Master List'!$A:$D,2,0),0)</f>
        <v/>
      </c>
      <c r="K25" s="163">
        <f>IFERROR(VLOOKUP(H25,'Master List'!$A:$D,3,0),0)</f>
        <v/>
      </c>
      <c r="L25" s="163">
        <f>IFERROR(VLOOKUP(H25,'Master List'!$A:$D,4,0),0)</f>
        <v/>
      </c>
      <c r="M25" s="163" t="n"/>
      <c r="N25" s="163">
        <f>IFERROR(K25/L25,0)</f>
        <v/>
      </c>
      <c r="O25" s="163">
        <f>IFERROR(IF(M25&lt;((1/2*L25*N25^2)*2),1/2*L25*SQRT((M25/2)*2/L25)^2,1/2*L25*N25^2),0)</f>
        <v/>
      </c>
      <c r="P25" s="163">
        <f>IFERROR(IF(M25-O25-Q25&lt;=0,0,M25-O25-Q25),0)</f>
        <v/>
      </c>
      <c r="Q25" s="163">
        <f>O25</f>
        <v/>
      </c>
      <c r="R25" s="163">
        <f>IFERROR(IF(M25&lt;((1/2*L25*N25^2)*2),SQRT((M25/2)*2/L25),N25),0)</f>
        <v/>
      </c>
      <c r="S25" s="163">
        <f>IFERROR(P25/K25,0)</f>
        <v/>
      </c>
      <c r="T25" s="163">
        <f>R25</f>
        <v/>
      </c>
      <c r="U25" s="163">
        <f>IF(J25&gt;0,J25,SUM(R25:T25))</f>
        <v/>
      </c>
      <c r="V25" s="163" t="n"/>
      <c r="W25" s="163">
        <f>U25*V25</f>
        <v/>
      </c>
      <c r="Y25" s="160">
        <f>Y24+1</f>
        <v/>
      </c>
      <c r="Z25" s="165" t="n"/>
      <c r="AA25" s="162" t="n"/>
      <c r="AB25" s="163">
        <f>IFERROR(VLOOKUP(Z25,'Master List'!$A:$D,2,0),0)</f>
        <v/>
      </c>
      <c r="AC25" s="163">
        <f>IFERROR(VLOOKUP(Z25,'Master List'!$A:$D,3,0),0)</f>
        <v/>
      </c>
      <c r="AD25" s="163">
        <f>IFERROR(VLOOKUP(Z25,'Master List'!$A:$D,4,0),0)</f>
        <v/>
      </c>
      <c r="AE25" s="163" t="n"/>
      <c r="AF25" s="163">
        <f>IFERROR(AC25/AD25,0)</f>
        <v/>
      </c>
      <c r="AG25" s="163">
        <f>IFERROR(IF(AE25&lt;((1/2*AD25*AF25^2)*2),1/2*AD25*SQRT((AE25/2)*2/AD25)^2,1/2*AD25*AF25^2),0)</f>
        <v/>
      </c>
      <c r="AH25" s="163">
        <f>IFERROR(IF(AE25-AG25-AI25&lt;=0,0,AE25-AG25-AI25),0)</f>
        <v/>
      </c>
      <c r="AI25" s="163">
        <f>AG25</f>
        <v/>
      </c>
      <c r="AJ25" s="163">
        <f>IFERROR(IF(AE25&lt;((1/2*AD25*AF25^2)*2),SQRT((AE25/2)*2/AD25),AF25),0)</f>
        <v/>
      </c>
      <c r="AK25" s="163">
        <f>IFERROR(AH25/AC25,0)</f>
        <v/>
      </c>
      <c r="AL25" s="163">
        <f>AJ25</f>
        <v/>
      </c>
      <c r="AM25" s="163">
        <f>IF(AB25&gt;0,AB25,SUM(AJ25:AL25))</f>
        <v/>
      </c>
      <c r="AN25" s="163" t="n"/>
      <c r="AO25" s="163">
        <f>AM25*AN25</f>
        <v/>
      </c>
      <c r="AQ25" s="160">
        <f>AQ24+1</f>
        <v/>
      </c>
      <c r="AR25" s="165" t="n"/>
      <c r="AS25" s="162" t="n"/>
      <c r="AT25" s="163">
        <f>IFERROR(VLOOKUP(AR25,'Master List'!$A:$D,2,0),0)</f>
        <v/>
      </c>
      <c r="AU25" s="163">
        <f>IFERROR(VLOOKUP(AR25,'Master List'!$A:$D,3,0),0)</f>
        <v/>
      </c>
      <c r="AV25" s="163">
        <f>IFERROR(VLOOKUP(AR25,'Master List'!$A:$D,4,0),0)</f>
        <v/>
      </c>
      <c r="AW25" s="163" t="n"/>
      <c r="AX25" s="163">
        <f>IFERROR(AU25/AV25,0)</f>
        <v/>
      </c>
      <c r="AY25" s="163">
        <f>IFERROR(IF(AW25&lt;((1/2*AV25*AX25^2)*2),1/2*AV25*SQRT((AW25/2)*2/AV25)^2,1/2*AV25*AX25^2),0)</f>
        <v/>
      </c>
      <c r="AZ25" s="163">
        <f>IFERROR(IF(AW25-AY25-BA25&lt;=0,0,AW25-AY25-BA25),0)</f>
        <v/>
      </c>
      <c r="BA25" s="163">
        <f>AY25</f>
        <v/>
      </c>
      <c r="BB25" s="163">
        <f>IFERROR(IF(AW25&lt;((1/2*AV25*AX25^2)*2),SQRT((AW25/2)*2/AV25),AX25),0)</f>
        <v/>
      </c>
      <c r="BC25" s="163">
        <f>IFERROR(AZ25/AU25,0)</f>
        <v/>
      </c>
      <c r="BD25" s="163">
        <f>BB25</f>
        <v/>
      </c>
      <c r="BE25" s="163">
        <f>IF(AT25&gt;0,AT25,SUM(BB25:BD25))</f>
        <v/>
      </c>
      <c r="BF25" s="163" t="n"/>
      <c r="BG25" s="163">
        <f>BE25*BF25</f>
        <v/>
      </c>
      <c r="BI25" s="160">
        <f>BI24+1</f>
        <v/>
      </c>
      <c r="BJ25" s="165" t="n"/>
      <c r="BK25" s="162" t="n"/>
      <c r="BL25" s="163">
        <f>IFERROR(VLOOKUP(BJ25,'Master List'!$A:$D,2,0),0)</f>
        <v/>
      </c>
      <c r="BM25" s="163">
        <f>IFERROR(VLOOKUP(BJ25,'Master List'!$A:$D,3,0),0)</f>
        <v/>
      </c>
      <c r="BN25" s="163">
        <f>IFERROR(VLOOKUP(BJ25,'Master List'!$A:$D,4,0),0)</f>
        <v/>
      </c>
      <c r="BO25" s="163" t="n"/>
      <c r="BP25" s="163">
        <f>IFERROR(BM25/BN25,0)</f>
        <v/>
      </c>
      <c r="BQ25" s="163">
        <f>IFERROR(IF(BO25&lt;((1/2*BN25*BP25^2)*2),1/2*BN25*SQRT((BO25/2)*2/BN25)^2,1/2*BN25*BP25^2),0)</f>
        <v/>
      </c>
      <c r="BR25" s="163">
        <f>IFERROR(IF(BO25-BQ25-BS25&lt;=0,0,BO25-BQ25-BS25),0)</f>
        <v/>
      </c>
      <c r="BS25" s="163">
        <f>BQ25</f>
        <v/>
      </c>
      <c r="BT25" s="163">
        <f>IFERROR(IF(BO25&lt;((1/2*BN25*BP25^2)*2),SQRT((BO25/2)*2/BN25),BP25),0)</f>
        <v/>
      </c>
      <c r="BU25" s="163">
        <f>IFERROR(BR25/BM25,0)</f>
        <v/>
      </c>
      <c r="BV25" s="163">
        <f>BT25</f>
        <v/>
      </c>
      <c r="BW25" s="163">
        <f>IF(BL25&gt;0,BL25,SUM(BT25:BV25))</f>
        <v/>
      </c>
      <c r="BX25" s="163" t="n"/>
      <c r="BY25" s="163">
        <f>BW25*BX25</f>
        <v/>
      </c>
    </row>
    <row r="26">
      <c r="A26" s="33" t="n"/>
      <c r="B26" s="34" t="inlineStr">
        <is>
          <t>% of distance travelled in Y direction</t>
        </is>
      </c>
      <c r="C26" s="34" t="inlineStr">
        <is>
          <t>Distance travelled M</t>
        </is>
      </c>
      <c r="G26" s="160">
        <f>G25+1</f>
        <v/>
      </c>
      <c r="H26" s="165" t="n"/>
      <c r="I26" s="162" t="n"/>
      <c r="J26" s="163">
        <f>IFERROR(VLOOKUP(H26,'Master List'!$A:$D,2,0),0)</f>
        <v/>
      </c>
      <c r="K26" s="163">
        <f>IFERROR(VLOOKUP(H26,'Master List'!$A:$D,3,0),0)</f>
        <v/>
      </c>
      <c r="L26" s="163">
        <f>IFERROR(VLOOKUP(H26,'Master List'!$A:$D,4,0),0)</f>
        <v/>
      </c>
      <c r="M26" s="163" t="n"/>
      <c r="N26" s="163">
        <f>IFERROR(K26/L26,0)</f>
        <v/>
      </c>
      <c r="O26" s="163">
        <f>IFERROR(IF(M26&lt;((1/2*L26*N26^2)*2),1/2*L26*SQRT((M26/2)*2/L26)^2,1/2*L26*N26^2),0)</f>
        <v/>
      </c>
      <c r="P26" s="163">
        <f>IFERROR(IF(M26-O26-Q26&lt;=0,0,M26-O26-Q26),0)</f>
        <v/>
      </c>
      <c r="Q26" s="163">
        <f>O26</f>
        <v/>
      </c>
      <c r="R26" s="163">
        <f>IFERROR(IF(M26&lt;((1/2*L26*N26^2)*2),SQRT((M26/2)*2/L26),N26),0)</f>
        <v/>
      </c>
      <c r="S26" s="163">
        <f>IFERROR(P26/K26,0)</f>
        <v/>
      </c>
      <c r="T26" s="163">
        <f>R26</f>
        <v/>
      </c>
      <c r="U26" s="163">
        <f>IF(J26&gt;0,J26,SUM(R26:T26))</f>
        <v/>
      </c>
      <c r="V26" s="163" t="n"/>
      <c r="W26" s="163">
        <f>U26*V26</f>
        <v/>
      </c>
      <c r="Y26" s="160">
        <f>Y25+1</f>
        <v/>
      </c>
      <c r="Z26" s="165" t="n"/>
      <c r="AA26" s="162" t="n"/>
      <c r="AB26" s="163">
        <f>IFERROR(VLOOKUP(Z26,'Master List'!$A:$D,2,0),0)</f>
        <v/>
      </c>
      <c r="AC26" s="163">
        <f>IFERROR(VLOOKUP(Z26,'Master List'!$A:$D,3,0),0)</f>
        <v/>
      </c>
      <c r="AD26" s="163">
        <f>IFERROR(VLOOKUP(Z26,'Master List'!$A:$D,4,0),0)</f>
        <v/>
      </c>
      <c r="AE26" s="163" t="n"/>
      <c r="AF26" s="163">
        <f>IFERROR(AC26/AD26,0)</f>
        <v/>
      </c>
      <c r="AG26" s="163">
        <f>IFERROR(IF(AE26&lt;((1/2*AD26*AF26^2)*2),1/2*AD26*SQRT((AE26/2)*2/AD26)^2,1/2*AD26*AF26^2),0)</f>
        <v/>
      </c>
      <c r="AH26" s="163">
        <f>IFERROR(IF(AE26-AG26-AI26&lt;=0,0,AE26-AG26-AI26),0)</f>
        <v/>
      </c>
      <c r="AI26" s="163">
        <f>AG26</f>
        <v/>
      </c>
      <c r="AJ26" s="163">
        <f>IFERROR(IF(AE26&lt;((1/2*AD26*AF26^2)*2),SQRT((AE26/2)*2/AD26),AF26),0)</f>
        <v/>
      </c>
      <c r="AK26" s="163">
        <f>IFERROR(AH26/AC26,0)</f>
        <v/>
      </c>
      <c r="AL26" s="163">
        <f>AJ26</f>
        <v/>
      </c>
      <c r="AM26" s="163">
        <f>IF(AB26&gt;0,AB26,SUM(AJ26:AL26))</f>
        <v/>
      </c>
      <c r="AN26" s="163" t="n"/>
      <c r="AO26" s="163">
        <f>AM26*AN26</f>
        <v/>
      </c>
      <c r="AQ26" s="160">
        <f>AQ25+1</f>
        <v/>
      </c>
      <c r="AR26" s="165" t="n"/>
      <c r="AS26" s="162" t="n"/>
      <c r="AT26" s="163">
        <f>IFERROR(VLOOKUP(AR26,'Master List'!$A:$D,2,0),0)</f>
        <v/>
      </c>
      <c r="AU26" s="163">
        <f>IFERROR(VLOOKUP(AR26,'Master List'!$A:$D,3,0),0)</f>
        <v/>
      </c>
      <c r="AV26" s="163">
        <f>IFERROR(VLOOKUP(AR26,'Master List'!$A:$D,4,0),0)</f>
        <v/>
      </c>
      <c r="AW26" s="163" t="n"/>
      <c r="AX26" s="163">
        <f>IFERROR(AU26/AV26,0)</f>
        <v/>
      </c>
      <c r="AY26" s="163">
        <f>IFERROR(IF(AW26&lt;((1/2*AV26*AX26^2)*2),1/2*AV26*SQRT((AW26/2)*2/AV26)^2,1/2*AV26*AX26^2),0)</f>
        <v/>
      </c>
      <c r="AZ26" s="163">
        <f>IFERROR(IF(AW26-AY26-BA26&lt;=0,0,AW26-AY26-BA26),0)</f>
        <v/>
      </c>
      <c r="BA26" s="163">
        <f>AY26</f>
        <v/>
      </c>
      <c r="BB26" s="163">
        <f>IFERROR(IF(AW26&lt;((1/2*AV26*AX26^2)*2),SQRT((AW26/2)*2/AV26),AX26),0)</f>
        <v/>
      </c>
      <c r="BC26" s="163">
        <f>IFERROR(AZ26/AU26,0)</f>
        <v/>
      </c>
      <c r="BD26" s="163">
        <f>BB26</f>
        <v/>
      </c>
      <c r="BE26" s="163">
        <f>IF(AT26&gt;0,AT26,SUM(BB26:BD26))</f>
        <v/>
      </c>
      <c r="BF26" s="163" t="n"/>
      <c r="BG26" s="163">
        <f>BE26*BF26</f>
        <v/>
      </c>
      <c r="BI26" s="160">
        <f>BI25+1</f>
        <v/>
      </c>
      <c r="BJ26" s="165" t="n"/>
      <c r="BK26" s="162" t="n"/>
      <c r="BL26" s="163">
        <f>IFERROR(VLOOKUP(BJ26,'Master List'!$A:$D,2,0),0)</f>
        <v/>
      </c>
      <c r="BM26" s="163">
        <f>IFERROR(VLOOKUP(BJ26,'Master List'!$A:$D,3,0),0)</f>
        <v/>
      </c>
      <c r="BN26" s="163">
        <f>IFERROR(VLOOKUP(BJ26,'Master List'!$A:$D,4,0),0)</f>
        <v/>
      </c>
      <c r="BO26" s="163" t="n"/>
      <c r="BP26" s="163">
        <f>IFERROR(BM26/BN26,0)</f>
        <v/>
      </c>
      <c r="BQ26" s="163">
        <f>IFERROR(IF(BO26&lt;((1/2*BN26*BP26^2)*2),1/2*BN26*SQRT((BO26/2)*2/BN26)^2,1/2*BN26*BP26^2),0)</f>
        <v/>
      </c>
      <c r="BR26" s="163">
        <f>IFERROR(IF(BO26-BQ26-BS26&lt;=0,0,BO26-BQ26-BS26),0)</f>
        <v/>
      </c>
      <c r="BS26" s="163">
        <f>BQ26</f>
        <v/>
      </c>
      <c r="BT26" s="163">
        <f>IFERROR(IF(BO26&lt;((1/2*BN26*BP26^2)*2),SQRT((BO26/2)*2/BN26),BP26),0)</f>
        <v/>
      </c>
      <c r="BU26" s="163">
        <f>IFERROR(BR26/BM26,0)</f>
        <v/>
      </c>
      <c r="BV26" s="163">
        <f>BT26</f>
        <v/>
      </c>
      <c r="BW26" s="163">
        <f>IF(BL26&gt;0,BL26,SUM(BT26:BV26))</f>
        <v/>
      </c>
      <c r="BX26" s="163" t="n"/>
      <c r="BY26" s="163">
        <f>BW26*BX26</f>
        <v/>
      </c>
    </row>
    <row r="27">
      <c r="A27" s="33">
        <f>"Single cycle - Near "&amp;C27&amp;" m"</f>
        <v/>
      </c>
      <c r="B27" s="56" t="n">
        <v>0.1</v>
      </c>
      <c r="C27" s="33">
        <f>(B27*$D$13)+$B$14</f>
        <v/>
      </c>
      <c r="G27" s="160">
        <f>G26+1</f>
        <v/>
      </c>
      <c r="H27" s="165" t="n"/>
      <c r="I27" s="162" t="n"/>
      <c r="J27" s="163">
        <f>IFERROR(VLOOKUP(H27,'Master List'!$A:$D,2,0),0)</f>
        <v/>
      </c>
      <c r="K27" s="163">
        <f>IFERROR(VLOOKUP(H27,'Master List'!$A:$D,3,0),0)</f>
        <v/>
      </c>
      <c r="L27" s="163">
        <f>IFERROR(VLOOKUP(H27,'Master List'!$A:$D,4,0),0)</f>
        <v/>
      </c>
      <c r="M27" s="163" t="n">
        <v>0</v>
      </c>
      <c r="N27" s="163">
        <f>IFERROR(K27/L27,0)</f>
        <v/>
      </c>
      <c r="O27" s="163">
        <f>IFERROR(IF(M27&lt;((1/2*L27*N27^2)*2),1/2*L27*SQRT((M27/2)*2/L27)^2,1/2*L27*N27^2),0)</f>
        <v/>
      </c>
      <c r="P27" s="163">
        <f>IFERROR(IF(M27-O27-Q27&lt;=0,0,M27-O27-Q27),0)</f>
        <v/>
      </c>
      <c r="Q27" s="163">
        <f>O27</f>
        <v/>
      </c>
      <c r="R27" s="163">
        <f>IFERROR(IF(M27&lt;((1/2*L27*N27^2)*2),SQRT((M27/2)*2/L27),N27),0)</f>
        <v/>
      </c>
      <c r="S27" s="163">
        <f>IFERROR(P27/K27,0)</f>
        <v/>
      </c>
      <c r="T27" s="163">
        <f>R27</f>
        <v/>
      </c>
      <c r="U27" s="163">
        <f>IF(J27&gt;0,J27,SUM(R27:T27))</f>
        <v/>
      </c>
      <c r="V27" s="163" t="n"/>
      <c r="W27" s="163">
        <f>U27*V27</f>
        <v/>
      </c>
      <c r="Y27" s="160">
        <f>Y26+1</f>
        <v/>
      </c>
      <c r="Z27" s="165" t="n"/>
      <c r="AA27" s="162" t="n"/>
      <c r="AB27" s="163">
        <f>IFERROR(VLOOKUP(Z27,'Master List'!$A:$D,2,0),0)</f>
        <v/>
      </c>
      <c r="AC27" s="163">
        <f>IFERROR(VLOOKUP(Z27,'Master List'!$A:$D,3,0),0)</f>
        <v/>
      </c>
      <c r="AD27" s="163">
        <f>IFERROR(VLOOKUP(Z27,'Master List'!$A:$D,4,0),0)</f>
        <v/>
      </c>
      <c r="AE27" s="163" t="n"/>
      <c r="AF27" s="163">
        <f>IFERROR(AC27/AD27,0)</f>
        <v/>
      </c>
      <c r="AG27" s="163">
        <f>IFERROR(IF(AE27&lt;((1/2*AD27*AF27^2)*2),1/2*AD27*SQRT((AE27/2)*2/AD27)^2,1/2*AD27*AF27^2),0)</f>
        <v/>
      </c>
      <c r="AH27" s="163">
        <f>IFERROR(IF(AE27-AG27-AI27&lt;=0,0,AE27-AG27-AI27),0)</f>
        <v/>
      </c>
      <c r="AI27" s="163">
        <f>AG27</f>
        <v/>
      </c>
      <c r="AJ27" s="163">
        <f>IFERROR(IF(AE27&lt;((1/2*AD27*AF27^2)*2),SQRT((AE27/2)*2/AD27),AF27),0)</f>
        <v/>
      </c>
      <c r="AK27" s="163">
        <f>IFERROR(AH27/AC27,0)</f>
        <v/>
      </c>
      <c r="AL27" s="163">
        <f>AJ27</f>
        <v/>
      </c>
      <c r="AM27" s="163">
        <f>IF(AB27&gt;0,AB27,SUM(AJ27:AL27))</f>
        <v/>
      </c>
      <c r="AN27" s="163" t="n"/>
      <c r="AO27" s="163">
        <f>AM27*AN27</f>
        <v/>
      </c>
      <c r="AQ27" s="160">
        <f>AQ26+1</f>
        <v/>
      </c>
      <c r="AR27" s="165" t="n"/>
      <c r="AS27" s="162" t="n"/>
      <c r="AT27" s="163">
        <f>IFERROR(VLOOKUP(AR27,'Master List'!$A:$D,2,0),0)</f>
        <v/>
      </c>
      <c r="AU27" s="163">
        <f>IFERROR(VLOOKUP(AR27,'Master List'!$A:$D,3,0),0)</f>
        <v/>
      </c>
      <c r="AV27" s="163">
        <f>IFERROR(VLOOKUP(AR27,'Master List'!$A:$D,4,0),0)</f>
        <v/>
      </c>
      <c r="AW27" s="163" t="n"/>
      <c r="AX27" s="163">
        <f>IFERROR(AU27/AV27,0)</f>
        <v/>
      </c>
      <c r="AY27" s="163">
        <f>IFERROR(IF(AW27&lt;((1/2*AV27*AX27^2)*2),1/2*AV27*SQRT((AW27/2)*2/AV27)^2,1/2*AV27*AX27^2),0)</f>
        <v/>
      </c>
      <c r="AZ27" s="163">
        <f>IFERROR(IF(AW27-AY27-BA27&lt;=0,0,AW27-AY27-BA27),0)</f>
        <v/>
      </c>
      <c r="BA27" s="163">
        <f>AY27</f>
        <v/>
      </c>
      <c r="BB27" s="163">
        <f>IFERROR(IF(AW27&lt;((1/2*AV27*AX27^2)*2),SQRT((AW27/2)*2/AV27),AX27),0)</f>
        <v/>
      </c>
      <c r="BC27" s="163">
        <f>IFERROR(AZ27/AU27,0)</f>
        <v/>
      </c>
      <c r="BD27" s="163">
        <f>BB27</f>
        <v/>
      </c>
      <c r="BE27" s="163">
        <f>IF(AT27&gt;0,AT27,SUM(BB27:BD27))</f>
        <v/>
      </c>
      <c r="BF27" s="163" t="n"/>
      <c r="BG27" s="163">
        <f>BE27*BF27</f>
        <v/>
      </c>
      <c r="BI27" s="160">
        <f>BI26+1</f>
        <v/>
      </c>
      <c r="BJ27" s="165" t="n"/>
      <c r="BK27" s="162" t="n"/>
      <c r="BL27" s="163">
        <f>IFERROR(VLOOKUP(BJ27,'Master List'!$A:$D,2,0),0)</f>
        <v/>
      </c>
      <c r="BM27" s="163">
        <f>IFERROR(VLOOKUP(BJ27,'Master List'!$A:$D,3,0),0)</f>
        <v/>
      </c>
      <c r="BN27" s="163">
        <f>IFERROR(VLOOKUP(BJ27,'Master List'!$A:$D,4,0),0)</f>
        <v/>
      </c>
      <c r="BO27" s="163" t="n"/>
      <c r="BP27" s="163">
        <f>IFERROR(BM27/BN27,0)</f>
        <v/>
      </c>
      <c r="BQ27" s="163">
        <f>IFERROR(IF(BO27&lt;((1/2*BN27*BP27^2)*2),1/2*BN27*SQRT((BO27/2)*2/BN27)^2,1/2*BN27*BP27^2),0)</f>
        <v/>
      </c>
      <c r="BR27" s="163">
        <f>IFERROR(IF(BO27-BQ27-BS27&lt;=0,0,BO27-BQ27-BS27),0)</f>
        <v/>
      </c>
      <c r="BS27" s="163">
        <f>BQ27</f>
        <v/>
      </c>
      <c r="BT27" s="163">
        <f>IFERROR(IF(BO27&lt;((1/2*BN27*BP27^2)*2),SQRT((BO27/2)*2/BN27),BP27),0)</f>
        <v/>
      </c>
      <c r="BU27" s="163">
        <f>IFERROR(BR27/BM27,0)</f>
        <v/>
      </c>
      <c r="BV27" s="163">
        <f>BT27</f>
        <v/>
      </c>
      <c r="BW27" s="163">
        <f>IF(BL27&gt;0,BL27,SUM(BT27:BV27))</f>
        <v/>
      </c>
      <c r="BX27" s="163" t="n"/>
      <c r="BY27" s="163">
        <f>BW27*BX27</f>
        <v/>
      </c>
    </row>
    <row r="28">
      <c r="A28" s="33">
        <f>"Single cycle - Mid "&amp;C28&amp;" m"</f>
        <v/>
      </c>
      <c r="B28" s="56" t="n">
        <v>0.2</v>
      </c>
      <c r="C28" s="33">
        <f>(B28*$D$13)+$B$14</f>
        <v/>
      </c>
      <c r="G28" s="160">
        <f>G27+1</f>
        <v/>
      </c>
      <c r="H28" s="165" t="n"/>
      <c r="I28" s="162" t="n"/>
      <c r="J28" s="163">
        <f>IFERROR(VLOOKUP(H28,'Master List'!$A:$D,2,0),0)</f>
        <v/>
      </c>
      <c r="K28" s="163">
        <f>IFERROR(VLOOKUP(H28,'Master List'!$A:$D,3,0),0)</f>
        <v/>
      </c>
      <c r="L28" s="163">
        <f>IFERROR(VLOOKUP(H28,'Master List'!$A:$D,4,0),0)</f>
        <v/>
      </c>
      <c r="M28" s="163" t="n">
        <v>0</v>
      </c>
      <c r="N28" s="163">
        <f>IFERROR(K28/L28,0)</f>
        <v/>
      </c>
      <c r="O28" s="163">
        <f>IFERROR(IF(M28&lt;((1/2*L28*N28^2)*2),1/2*L28*SQRT((M28/2)*2/L28)^2,1/2*L28*N28^2),0)</f>
        <v/>
      </c>
      <c r="P28" s="163">
        <f>IFERROR(IF(M28-O28-Q28&lt;=0,0,M28-O28-Q28),0)</f>
        <v/>
      </c>
      <c r="Q28" s="163">
        <f>O28</f>
        <v/>
      </c>
      <c r="R28" s="163">
        <f>IFERROR(IF(M28&lt;((1/2*L28*N28^2)*2),SQRT((M28/2)*2/L28),N28),0)</f>
        <v/>
      </c>
      <c r="S28" s="163">
        <f>IFERROR(P28/K28,0)</f>
        <v/>
      </c>
      <c r="T28" s="163">
        <f>R28</f>
        <v/>
      </c>
      <c r="U28" s="163">
        <f>IF(J28&gt;0,J28,SUM(R28:T28))</f>
        <v/>
      </c>
      <c r="V28" s="163" t="n"/>
      <c r="W28" s="163">
        <f>U28*V28</f>
        <v/>
      </c>
      <c r="Y28" s="160">
        <f>Y27+1</f>
        <v/>
      </c>
      <c r="Z28" s="165" t="n"/>
      <c r="AA28" s="162" t="n"/>
      <c r="AB28" s="163">
        <f>IFERROR(VLOOKUP(Z28,'Master List'!$A:$D,2,0),0)</f>
        <v/>
      </c>
      <c r="AC28" s="163">
        <f>IFERROR(VLOOKUP(Z28,'Master List'!$A:$D,3,0),0)</f>
        <v/>
      </c>
      <c r="AD28" s="163">
        <f>IFERROR(VLOOKUP(Z28,'Master List'!$A:$D,4,0),0)</f>
        <v/>
      </c>
      <c r="AE28" s="163" t="n"/>
      <c r="AF28" s="163">
        <f>IFERROR(AC28/AD28,0)</f>
        <v/>
      </c>
      <c r="AG28" s="163">
        <f>IFERROR(IF(AE28&lt;((1/2*AD28*AF28^2)*2),1/2*AD28*SQRT((AE28/2)*2/AD28)^2,1/2*AD28*AF28^2),0)</f>
        <v/>
      </c>
      <c r="AH28" s="163">
        <f>IFERROR(IF(AE28-AG28-AI28&lt;=0,0,AE28-AG28-AI28),0)</f>
        <v/>
      </c>
      <c r="AI28" s="163">
        <f>AG28</f>
        <v/>
      </c>
      <c r="AJ28" s="163">
        <f>IFERROR(IF(AE28&lt;((1/2*AD28*AF28^2)*2),SQRT((AE28/2)*2/AD28),AF28),0)</f>
        <v/>
      </c>
      <c r="AK28" s="163">
        <f>IFERROR(AH28/AC28,0)</f>
        <v/>
      </c>
      <c r="AL28" s="163">
        <f>AJ28</f>
        <v/>
      </c>
      <c r="AM28" s="163">
        <f>IF(AB28&gt;0,AB28,SUM(AJ28:AL28))</f>
        <v/>
      </c>
      <c r="AN28" s="163" t="n"/>
      <c r="AO28" s="163">
        <f>AM28*AN28</f>
        <v/>
      </c>
      <c r="AQ28" s="160">
        <f>AQ27+1</f>
        <v/>
      </c>
      <c r="AR28" s="165" t="n"/>
      <c r="AS28" s="162" t="n"/>
      <c r="AT28" s="163">
        <f>IFERROR(VLOOKUP(AR28,'Master List'!$A:$D,2,0),0)</f>
        <v/>
      </c>
      <c r="AU28" s="163">
        <f>IFERROR(VLOOKUP(AR28,'Master List'!$A:$D,3,0),0)</f>
        <v/>
      </c>
      <c r="AV28" s="163">
        <f>IFERROR(VLOOKUP(AR28,'Master List'!$A:$D,4,0),0)</f>
        <v/>
      </c>
      <c r="AW28" s="163" t="n"/>
      <c r="AX28" s="163">
        <f>IFERROR(AU28/AV28,0)</f>
        <v/>
      </c>
      <c r="AY28" s="163">
        <f>IFERROR(IF(AW28&lt;((1/2*AV28*AX28^2)*2),1/2*AV28*SQRT((AW28/2)*2/AV28)^2,1/2*AV28*AX28^2),0)</f>
        <v/>
      </c>
      <c r="AZ28" s="163">
        <f>IFERROR(IF(AW28-AY28-BA28&lt;=0,0,AW28-AY28-BA28),0)</f>
        <v/>
      </c>
      <c r="BA28" s="163">
        <f>AY28</f>
        <v/>
      </c>
      <c r="BB28" s="163">
        <f>IFERROR(IF(AW28&lt;((1/2*AV28*AX28^2)*2),SQRT((AW28/2)*2/AV28),AX28),0)</f>
        <v/>
      </c>
      <c r="BC28" s="163">
        <f>IFERROR(AZ28/AU28,0)</f>
        <v/>
      </c>
      <c r="BD28" s="163">
        <f>BB28</f>
        <v/>
      </c>
      <c r="BE28" s="163">
        <f>IF(AT28&gt;0,AT28,SUM(BB28:BD28))</f>
        <v/>
      </c>
      <c r="BF28" s="163" t="n"/>
      <c r="BG28" s="163">
        <f>BE28*BF28</f>
        <v/>
      </c>
      <c r="BI28" s="160">
        <f>BI27+1</f>
        <v/>
      </c>
      <c r="BJ28" s="165" t="n"/>
      <c r="BK28" s="162" t="n"/>
      <c r="BL28" s="163">
        <f>IFERROR(VLOOKUP(BJ28,'Master List'!$A:$D,2,0),0)</f>
        <v/>
      </c>
      <c r="BM28" s="163">
        <f>IFERROR(VLOOKUP(BJ28,'Master List'!$A:$D,3,0),0)</f>
        <v/>
      </c>
      <c r="BN28" s="163">
        <f>IFERROR(VLOOKUP(BJ28,'Master List'!$A:$D,4,0),0)</f>
        <v/>
      </c>
      <c r="BO28" s="163" t="n"/>
      <c r="BP28" s="163">
        <f>IFERROR(BM28/BN28,0)</f>
        <v/>
      </c>
      <c r="BQ28" s="163">
        <f>IFERROR(IF(BO28&lt;((1/2*BN28*BP28^2)*2),1/2*BN28*SQRT((BO28/2)*2/BN28)^2,1/2*BN28*BP28^2),0)</f>
        <v/>
      </c>
      <c r="BR28" s="163">
        <f>IFERROR(IF(BO28-BQ28-BS28&lt;=0,0,BO28-BQ28-BS28),0)</f>
        <v/>
      </c>
      <c r="BS28" s="163">
        <f>BQ28</f>
        <v/>
      </c>
      <c r="BT28" s="163">
        <f>IFERROR(IF(BO28&lt;((1/2*BN28*BP28^2)*2),SQRT((BO28/2)*2/BN28),BP28),0)</f>
        <v/>
      </c>
      <c r="BU28" s="163">
        <f>IFERROR(BR28/BM28,0)</f>
        <v/>
      </c>
      <c r="BV28" s="163">
        <f>BT28</f>
        <v/>
      </c>
      <c r="BW28" s="163">
        <f>IF(BL28&gt;0,BL28,SUM(BT28:BV28))</f>
        <v/>
      </c>
      <c r="BX28" s="163" t="n"/>
      <c r="BY28" s="163">
        <f>BW28*BX28</f>
        <v/>
      </c>
    </row>
    <row r="29">
      <c r="A29" s="33">
        <f>"Single cycle - Far "&amp;C29&amp;" m"</f>
        <v/>
      </c>
      <c r="B29" s="56" t="n">
        <v>0.5</v>
      </c>
      <c r="C29" s="33">
        <f>(B29*$D$13)+$B$14</f>
        <v/>
      </c>
      <c r="G29" s="160">
        <f>G28+1</f>
        <v/>
      </c>
      <c r="H29" s="165" t="n"/>
      <c r="I29" s="162" t="n"/>
      <c r="J29" s="163">
        <f>IFERROR(VLOOKUP(H29,'Master List'!$A:$D,2,0),0)</f>
        <v/>
      </c>
      <c r="K29" s="163">
        <f>IFERROR(VLOOKUP(H29,'Master List'!$A:$D,3,0),0)</f>
        <v/>
      </c>
      <c r="L29" s="163">
        <f>IFERROR(VLOOKUP(H29,'Master List'!$A:$D,4,0),0)</f>
        <v/>
      </c>
      <c r="M29" s="163" t="n">
        <v>0</v>
      </c>
      <c r="N29" s="163">
        <f>IFERROR(K29/L29,0)</f>
        <v/>
      </c>
      <c r="O29" s="163">
        <f>IFERROR(IF(M29&lt;((1/2*L29*N29^2)*2),1/2*L29*SQRT((M29/2)*2/L29)^2,1/2*L29*N29^2),0)</f>
        <v/>
      </c>
      <c r="P29" s="163">
        <f>IFERROR(IF(M29-O29-Q29&lt;=0,0,M29-O29-Q29),0)</f>
        <v/>
      </c>
      <c r="Q29" s="163">
        <f>O29</f>
        <v/>
      </c>
      <c r="R29" s="163">
        <f>IFERROR(IF(M29&lt;((1/2*L29*N29^2)*2),SQRT((M29/2)*2/L29),N29),0)</f>
        <v/>
      </c>
      <c r="S29" s="163">
        <f>IFERROR(P29/K29,0)</f>
        <v/>
      </c>
      <c r="T29" s="163">
        <f>R29</f>
        <v/>
      </c>
      <c r="U29" s="163">
        <f>IF(J29&gt;0,J29,SUM(R29:T29))</f>
        <v/>
      </c>
      <c r="V29" s="163" t="n"/>
      <c r="W29" s="163">
        <f>U29*V29</f>
        <v/>
      </c>
      <c r="Y29" s="160">
        <f>Y28+1</f>
        <v/>
      </c>
      <c r="Z29" s="165" t="n"/>
      <c r="AA29" s="162" t="n"/>
      <c r="AB29" s="163">
        <f>IFERROR(VLOOKUP(Z29,'Master List'!$A:$D,2,0),0)</f>
        <v/>
      </c>
      <c r="AC29" s="163">
        <f>IFERROR(VLOOKUP(Z29,'Master List'!$A:$D,3,0),0)</f>
        <v/>
      </c>
      <c r="AD29" s="163">
        <f>IFERROR(VLOOKUP(Z29,'Master List'!$A:$D,4,0),0)</f>
        <v/>
      </c>
      <c r="AE29" s="163" t="n"/>
      <c r="AF29" s="163">
        <f>IFERROR(AC29/AD29,0)</f>
        <v/>
      </c>
      <c r="AG29" s="163">
        <f>IFERROR(IF(AE29&lt;((1/2*AD29*AF29^2)*2),1/2*AD29*SQRT((AE29/2)*2/AD29)^2,1/2*AD29*AF29^2),0)</f>
        <v/>
      </c>
      <c r="AH29" s="163">
        <f>IFERROR(IF(AE29-AG29-AI29&lt;=0,0,AE29-AG29-AI29),0)</f>
        <v/>
      </c>
      <c r="AI29" s="163">
        <f>AG29</f>
        <v/>
      </c>
      <c r="AJ29" s="163">
        <f>IFERROR(IF(AE29&lt;((1/2*AD29*AF29^2)*2),SQRT((AE29/2)*2/AD29),AF29),0)</f>
        <v/>
      </c>
      <c r="AK29" s="163">
        <f>IFERROR(AH29/AC29,0)</f>
        <v/>
      </c>
      <c r="AL29" s="163">
        <f>AJ29</f>
        <v/>
      </c>
      <c r="AM29" s="163">
        <f>IF(AB29&gt;0,AB29,SUM(AJ29:AL29))</f>
        <v/>
      </c>
      <c r="AN29" s="163" t="n"/>
      <c r="AO29" s="163">
        <f>AM29*AN29</f>
        <v/>
      </c>
      <c r="AQ29" s="160">
        <f>AQ28+1</f>
        <v/>
      </c>
      <c r="AR29" s="165" t="n"/>
      <c r="AS29" s="162" t="n"/>
      <c r="AT29" s="163">
        <f>IFERROR(VLOOKUP(AR29,'Master List'!$A:$D,2,0),0)</f>
        <v/>
      </c>
      <c r="AU29" s="163">
        <f>IFERROR(VLOOKUP(AR29,'Master List'!$A:$D,3,0),0)</f>
        <v/>
      </c>
      <c r="AV29" s="163">
        <f>IFERROR(VLOOKUP(AR29,'Master List'!$A:$D,4,0),0)</f>
        <v/>
      </c>
      <c r="AW29" s="163" t="n"/>
      <c r="AX29" s="163">
        <f>IFERROR(AU29/AV29,0)</f>
        <v/>
      </c>
      <c r="AY29" s="163">
        <f>IFERROR(IF(AW29&lt;((1/2*AV29*AX29^2)*2),1/2*AV29*SQRT((AW29/2)*2/AV29)^2,1/2*AV29*AX29^2),0)</f>
        <v/>
      </c>
      <c r="AZ29" s="163">
        <f>IFERROR(IF(AW29-AY29-BA29&lt;=0,0,AW29-AY29-BA29),0)</f>
        <v/>
      </c>
      <c r="BA29" s="163">
        <f>AY29</f>
        <v/>
      </c>
      <c r="BB29" s="163">
        <f>IFERROR(IF(AW29&lt;((1/2*AV29*AX29^2)*2),SQRT((AW29/2)*2/AV29),AX29),0)</f>
        <v/>
      </c>
      <c r="BC29" s="163">
        <f>IFERROR(AZ29/AU29,0)</f>
        <v/>
      </c>
      <c r="BD29" s="163">
        <f>BB29</f>
        <v/>
      </c>
      <c r="BE29" s="163">
        <f>IF(AT29&gt;0,AT29,SUM(BB29:BD29))</f>
        <v/>
      </c>
      <c r="BF29" s="163" t="n"/>
      <c r="BG29" s="163">
        <f>BE29*BF29</f>
        <v/>
      </c>
      <c r="BI29" s="160">
        <f>BI28+1</f>
        <v/>
      </c>
      <c r="BJ29" s="165" t="n"/>
      <c r="BK29" s="162" t="n"/>
      <c r="BL29" s="163">
        <f>IFERROR(VLOOKUP(BJ29,'Master List'!$A:$D,2,0),0)</f>
        <v/>
      </c>
      <c r="BM29" s="163">
        <f>IFERROR(VLOOKUP(BJ29,'Master List'!$A:$D,3,0),0)</f>
        <v/>
      </c>
      <c r="BN29" s="163">
        <f>IFERROR(VLOOKUP(BJ29,'Master List'!$A:$D,4,0),0)</f>
        <v/>
      </c>
      <c r="BO29" s="163" t="n"/>
      <c r="BP29" s="163">
        <f>IFERROR(BM29/BN29,0)</f>
        <v/>
      </c>
      <c r="BQ29" s="163">
        <f>IFERROR(IF(BO29&lt;((1/2*BN29*BP29^2)*2),1/2*BN29*SQRT((BO29/2)*2/BN29)^2,1/2*BN29*BP29^2),0)</f>
        <v/>
      </c>
      <c r="BR29" s="163">
        <f>IFERROR(IF(BO29-BQ29-BS29&lt;=0,0,BO29-BQ29-BS29),0)</f>
        <v/>
      </c>
      <c r="BS29" s="163">
        <f>BQ29</f>
        <v/>
      </c>
      <c r="BT29" s="163">
        <f>IFERROR(IF(BO29&lt;((1/2*BN29*BP29^2)*2),SQRT((BO29/2)*2/BN29),BP29),0)</f>
        <v/>
      </c>
      <c r="BU29" s="163">
        <f>IFERROR(BR29/BM29,0)</f>
        <v/>
      </c>
      <c r="BV29" s="163">
        <f>BT29</f>
        <v/>
      </c>
      <c r="BW29" s="163">
        <f>IF(BL29&gt;0,BL29,SUM(BT29:BV29))</f>
        <v/>
      </c>
      <c r="BX29" s="163" t="n"/>
      <c r="BY29" s="163">
        <f>BW29*BX29</f>
        <v/>
      </c>
    </row>
    <row r="30">
      <c r="A30" s="33">
        <f>"Single cycle - Diagonally Farthest "&amp;C30&amp;" m"</f>
        <v/>
      </c>
      <c r="B30" s="56" t="n">
        <v>1</v>
      </c>
      <c r="C30" s="33">
        <f>(B30*$D$13)+$B$14</f>
        <v/>
      </c>
      <c r="G30" s="160">
        <f>G29+1</f>
        <v/>
      </c>
      <c r="H30" s="165" t="n"/>
      <c r="I30" s="162" t="n"/>
      <c r="J30" s="163">
        <f>IFERROR(VLOOKUP(H30,'Master List'!$A:$D,2,0),0)</f>
        <v/>
      </c>
      <c r="K30" s="163">
        <f>IFERROR(VLOOKUP(H30,'Master List'!$A:$D,3,0),0)</f>
        <v/>
      </c>
      <c r="L30" s="163">
        <f>IFERROR(VLOOKUP(H30,'Master List'!$A:$D,4,0),0)</f>
        <v/>
      </c>
      <c r="M30" s="163" t="n">
        <v>0</v>
      </c>
      <c r="N30" s="163">
        <f>IFERROR(K30/L30,0)</f>
        <v/>
      </c>
      <c r="O30" s="163">
        <f>IFERROR(IF(M30&lt;((1/2*L30*N30^2)*2),1/2*L30*SQRT((M30/2)*2/L30)^2,1/2*L30*N30^2),0)</f>
        <v/>
      </c>
      <c r="P30" s="163">
        <f>IFERROR(IF(M30-O30-Q30&lt;=0,0,M30-O30-Q30),0)</f>
        <v/>
      </c>
      <c r="Q30" s="163">
        <f>O30</f>
        <v/>
      </c>
      <c r="R30" s="163">
        <f>IFERROR(IF(M30&lt;((1/2*L30*N30^2)*2),SQRT((M30/2)*2/L30),N30),0)</f>
        <v/>
      </c>
      <c r="S30" s="163">
        <f>IFERROR(P30/K30,0)</f>
        <v/>
      </c>
      <c r="T30" s="163">
        <f>R30</f>
        <v/>
      </c>
      <c r="U30" s="163">
        <f>IF(J30&gt;0,J30,SUM(R30:T30))</f>
        <v/>
      </c>
      <c r="V30" s="163" t="n"/>
      <c r="W30" s="163">
        <f>U30*V30</f>
        <v/>
      </c>
      <c r="Y30" s="160">
        <f>Y29+1</f>
        <v/>
      </c>
      <c r="Z30" s="165" t="n"/>
      <c r="AA30" s="162" t="n"/>
      <c r="AB30" s="163">
        <f>IFERROR(VLOOKUP(Z30,'Master List'!$A:$D,2,0),0)</f>
        <v/>
      </c>
      <c r="AC30" s="163">
        <f>IFERROR(VLOOKUP(Z30,'Master List'!$A:$D,3,0),0)</f>
        <v/>
      </c>
      <c r="AD30" s="163">
        <f>IFERROR(VLOOKUP(Z30,'Master List'!$A:$D,4,0),0)</f>
        <v/>
      </c>
      <c r="AE30" s="163" t="n"/>
      <c r="AF30" s="163">
        <f>IFERROR(AC30/AD30,0)</f>
        <v/>
      </c>
      <c r="AG30" s="163">
        <f>IFERROR(IF(AE30&lt;((1/2*AD30*AF30^2)*2),1/2*AD30*SQRT((AE30/2)*2/AD30)^2,1/2*AD30*AF30^2),0)</f>
        <v/>
      </c>
      <c r="AH30" s="163">
        <f>IFERROR(IF(AE30-AG30-AI30&lt;=0,0,AE30-AG30-AI30),0)</f>
        <v/>
      </c>
      <c r="AI30" s="163">
        <f>AG30</f>
        <v/>
      </c>
      <c r="AJ30" s="163">
        <f>IFERROR(IF(AE30&lt;((1/2*AD30*AF30^2)*2),SQRT((AE30/2)*2/AD30),AF30),0)</f>
        <v/>
      </c>
      <c r="AK30" s="163">
        <f>IFERROR(AH30/AC30,0)</f>
        <v/>
      </c>
      <c r="AL30" s="163">
        <f>AJ30</f>
        <v/>
      </c>
      <c r="AM30" s="163">
        <f>IF(AB30&gt;0,AB30,SUM(AJ30:AL30))</f>
        <v/>
      </c>
      <c r="AN30" s="163" t="n"/>
      <c r="AO30" s="163">
        <f>AM30*AN30</f>
        <v/>
      </c>
      <c r="AQ30" s="160">
        <f>AQ29+1</f>
        <v/>
      </c>
      <c r="AR30" s="165" t="n"/>
      <c r="AS30" s="162" t="n"/>
      <c r="AT30" s="163">
        <f>IFERROR(VLOOKUP(AR30,'Master List'!$A:$D,2,0),0)</f>
        <v/>
      </c>
      <c r="AU30" s="163">
        <f>IFERROR(VLOOKUP(AR30,'Master List'!$A:$D,3,0),0)</f>
        <v/>
      </c>
      <c r="AV30" s="163">
        <f>IFERROR(VLOOKUP(AR30,'Master List'!$A:$D,4,0),0)</f>
        <v/>
      </c>
      <c r="AW30" s="163" t="n"/>
      <c r="AX30" s="163">
        <f>IFERROR(AU30/AV30,0)</f>
        <v/>
      </c>
      <c r="AY30" s="163">
        <f>IFERROR(IF(AW30&lt;((1/2*AV30*AX30^2)*2),1/2*AV30*SQRT((AW30/2)*2/AV30)^2,1/2*AV30*AX30^2),0)</f>
        <v/>
      </c>
      <c r="AZ30" s="163">
        <f>IFERROR(IF(AW30-AY30-BA30&lt;=0,0,AW30-AY30-BA30),0)</f>
        <v/>
      </c>
      <c r="BA30" s="163">
        <f>AY30</f>
        <v/>
      </c>
      <c r="BB30" s="163">
        <f>IFERROR(IF(AW30&lt;((1/2*AV30*AX30^2)*2),SQRT((AW30/2)*2/AV30),AX30),0)</f>
        <v/>
      </c>
      <c r="BC30" s="163">
        <f>IFERROR(AZ30/AU30,0)</f>
        <v/>
      </c>
      <c r="BD30" s="163">
        <f>BB30</f>
        <v/>
      </c>
      <c r="BE30" s="163">
        <f>IF(AT30&gt;0,AT30,SUM(BB30:BD30))</f>
        <v/>
      </c>
      <c r="BF30" s="163" t="n"/>
      <c r="BG30" s="163">
        <f>BE30*BF30</f>
        <v/>
      </c>
      <c r="BI30" s="160">
        <f>BI29+1</f>
        <v/>
      </c>
      <c r="BJ30" s="165" t="n"/>
      <c r="BK30" s="162" t="n"/>
      <c r="BL30" s="163">
        <f>IFERROR(VLOOKUP(BJ30,'Master List'!$A:$D,2,0),0)</f>
        <v/>
      </c>
      <c r="BM30" s="163">
        <f>IFERROR(VLOOKUP(BJ30,'Master List'!$A:$D,3,0),0)</f>
        <v/>
      </c>
      <c r="BN30" s="163">
        <f>IFERROR(VLOOKUP(BJ30,'Master List'!$A:$D,4,0),0)</f>
        <v/>
      </c>
      <c r="BO30" s="163" t="n"/>
      <c r="BP30" s="163">
        <f>IFERROR(BM30/BN30,0)</f>
        <v/>
      </c>
      <c r="BQ30" s="163">
        <f>IFERROR(IF(BO30&lt;((1/2*BN30*BP30^2)*2),1/2*BN30*SQRT((BO30/2)*2/BN30)^2,1/2*BN30*BP30^2),0)</f>
        <v/>
      </c>
      <c r="BR30" s="163">
        <f>IFERROR(IF(BO30-BQ30-BS30&lt;=0,0,BO30-BQ30-BS30),0)</f>
        <v/>
      </c>
      <c r="BS30" s="163">
        <f>BQ30</f>
        <v/>
      </c>
      <c r="BT30" s="163">
        <f>IFERROR(IF(BO30&lt;((1/2*BN30*BP30^2)*2),SQRT((BO30/2)*2/BN30),BP30),0)</f>
        <v/>
      </c>
      <c r="BU30" s="163">
        <f>IFERROR(BR30/BM30,0)</f>
        <v/>
      </c>
      <c r="BV30" s="163">
        <f>BT30</f>
        <v/>
      </c>
      <c r="BW30" s="163">
        <f>IF(BL30&gt;0,BL30,SUM(BT30:BV30))</f>
        <v/>
      </c>
      <c r="BX30" s="163" t="n"/>
      <c r="BY30" s="163">
        <f>BW30*BX30</f>
        <v/>
      </c>
    </row>
    <row r="31">
      <c r="BO31" s="219" t="n"/>
    </row>
    <row r="32">
      <c r="A32" s="37" t="inlineStr">
        <is>
          <t>Barcode distance m (Grid size)</t>
        </is>
      </c>
      <c r="B32" s="403">
        <f>1000/1000</f>
        <v/>
      </c>
    </row>
    <row r="33">
      <c r="A33" s="1" t="inlineStr">
        <is>
          <t>Barcodes per zippy</t>
        </is>
      </c>
      <c r="B33" s="1" t="n">
        <v>8</v>
      </c>
    </row>
    <row r="36" ht="15" customHeight="1" s="516">
      <c r="H36" s="216" t="n"/>
      <c r="I36" s="216" t="n"/>
    </row>
    <row r="37" ht="15" customHeight="1" s="516">
      <c r="H37" s="216" t="n"/>
      <c r="I37" s="216" t="n"/>
    </row>
    <row r="38" ht="15" customHeight="1" s="516">
      <c r="H38" s="216" t="n"/>
      <c r="I38" s="216" t="n"/>
    </row>
    <row r="39" ht="15" customHeight="1" s="516">
      <c r="H39" s="216" t="n"/>
      <c r="I39" s="216" t="n"/>
    </row>
  </sheetData>
  <sheetProtection selectLockedCells="0" selectUnlockedCells="0" algorithmName="SHA-512" sheet="1" objects="1" insertRows="1" insertHyperlinks="1" autoFilter="1" scenarios="1" formatColumns="1" deleteColumns="1" insertColumns="1" pivotTables="1" deleteRows="1" formatCells="1" saltValue="XkQtFmpuI0HpzByIqkXm/Q==" formatRows="1" sort="1" spinCount="100000" hashValue="0nzol5yi3bVD6vN+CZHAE31mWfA/Z3/lNFNvN0pCcXGqpDx2+p9yCyAsLhi2vBEJkLyCkrfmK2pKTNhJqrCCyg=="/>
  <mergeCells count="24">
    <mergeCell ref="AR8:BF8"/>
    <mergeCell ref="Y6:Y10"/>
    <mergeCell ref="BJ9:BX9"/>
    <mergeCell ref="Z7:AN7"/>
    <mergeCell ref="H6:V6"/>
    <mergeCell ref="BJ6:BX6"/>
    <mergeCell ref="Z8:AN8"/>
    <mergeCell ref="BJ8:BX8"/>
    <mergeCell ref="AQ6:AQ10"/>
    <mergeCell ref="H7:V7"/>
    <mergeCell ref="BJ7:BX7"/>
    <mergeCell ref="AR6:BF6"/>
    <mergeCell ref="Y5:AO5"/>
    <mergeCell ref="Z9:AN9"/>
    <mergeCell ref="H8:V8"/>
    <mergeCell ref="AQ5:BG5"/>
    <mergeCell ref="G5:W5"/>
    <mergeCell ref="Z6:AN6"/>
    <mergeCell ref="BI5:BY5"/>
    <mergeCell ref="AR7:BF7"/>
    <mergeCell ref="H9:V9"/>
    <mergeCell ref="G6:G10"/>
    <mergeCell ref="AR9:BF9"/>
    <mergeCell ref="BI6:BI10"/>
  </mergeCells>
  <conditionalFormatting sqref="B7:B8 B10">
    <cfRule type="cellIs" priority="21" operator="lessThan" dxfId="1">
      <formula>$B$33</formula>
    </cfRule>
  </conditionalFormatting>
  <conditionalFormatting sqref="E25">
    <cfRule type="cellIs" priority="3" operator="notEqual" dxfId="0">
      <formula>1</formula>
    </cfRule>
  </conditionalFormatting>
  <pageMargins left="0.7" right="0.7" top="0.75" bottom="0.75" header="0.3" footer="0.3"/>
  <pageSetup orientation="landscape" scale="79"/>
  <drawing r:id="rId1"/>
</worksheet>
</file>

<file path=xl/worksheets/sheet7.xml><?xml version="1.0" encoding="utf-8"?>
<worksheet xmlns:r="http://schemas.openxmlformats.org/officeDocument/2006/relationships" xmlns="http://schemas.openxmlformats.org/spreadsheetml/2006/main">
  <sheetPr codeName="Sheet7">
    <tabColor theme="7"/>
    <outlinePr summaryBelow="1" summaryRight="1"/>
    <pageSetUpPr fitToPage="1"/>
  </sheetPr>
  <dimension ref="A1:CE51"/>
  <sheetViews>
    <sheetView showGridLines="0" zoomScale="70" zoomScaleNormal="70" workbookViewId="0">
      <selection activeCell="F26" sqref="F26"/>
    </sheetView>
  </sheetViews>
  <sheetFormatPr baseColWidth="10" defaultColWidth="8.6640625" defaultRowHeight="15"/>
  <cols>
    <col width="59.83203125" bestFit="1" customWidth="1" style="1" min="1" max="1"/>
    <col width="17.33203125" customWidth="1" style="1" min="2" max="2"/>
    <col width="17.6640625" customWidth="1" style="1" min="3" max="3"/>
    <col width="11.33203125" bestFit="1" customWidth="1" style="1" min="4" max="4"/>
    <col width="11.6640625" bestFit="1" customWidth="1" style="1" min="5" max="5"/>
    <col width="23.5" customWidth="1" style="1" min="6" max="6"/>
    <col width="10.6640625" customWidth="1" style="1" min="7" max="7"/>
    <col width="11.5" customWidth="1" style="69" min="8" max="8"/>
    <col width="8.5" customWidth="1" style="153" min="9" max="9"/>
    <col width="31.83203125" bestFit="1" customWidth="1" style="218" min="10" max="10"/>
    <col width="66.6640625" customWidth="1" style="218" min="11" max="11"/>
    <col hidden="1" width="11.5" customWidth="1" style="153" min="12" max="12"/>
    <col hidden="1" width="6.5" customWidth="1" style="153" min="13" max="13"/>
    <col hidden="1" width="11.6640625" customWidth="1" style="153" min="14" max="14"/>
    <col width="9.33203125" customWidth="1" style="218" min="15" max="15"/>
    <col hidden="1" width="10.6640625" customWidth="1" style="153" min="16" max="16"/>
    <col hidden="1" width="12.5" customWidth="1" style="153" min="17" max="17"/>
    <col hidden="1" width="9.5" customWidth="1" style="153" min="18" max="18"/>
    <col hidden="1" width="11.6640625" customWidth="1" style="153" min="19" max="19"/>
    <col hidden="1" width="11.5" customWidth="1" style="153" min="20" max="20"/>
    <col hidden="1" width="8.6640625" customWidth="1" style="153" min="21" max="21"/>
    <col hidden="1" width="11.33203125" customWidth="1" style="153" min="22" max="22"/>
    <col width="8.6640625" customWidth="1" style="153" min="23" max="23"/>
    <col width="9.33203125" customWidth="1" style="218" min="24" max="24"/>
    <col width="14.33203125" customWidth="1" style="153" min="25" max="25"/>
    <col width="8.6640625" customWidth="1" style="153" min="26" max="27"/>
    <col width="31.83203125" bestFit="1" customWidth="1" style="218" min="28" max="28"/>
    <col width="43.6640625" customWidth="1" style="218" min="29" max="29"/>
    <col hidden="1" width="8.6640625" customWidth="1" style="153" min="30" max="32"/>
    <col width="8.6640625" customWidth="1" style="218" min="33" max="33"/>
    <col hidden="1" width="8.6640625" customWidth="1" style="153" min="34" max="40"/>
    <col width="8.6640625" customWidth="1" style="153" min="41" max="41"/>
    <col width="8.6640625" customWidth="1" style="218" min="42" max="42"/>
    <col width="8.6640625" customWidth="1" style="153" min="43" max="45"/>
    <col width="31.83203125" bestFit="1" customWidth="1" style="218" min="46" max="46"/>
    <col width="46.83203125" customWidth="1" style="218" min="47" max="47"/>
    <col hidden="1" width="8.6640625" customWidth="1" style="153" min="48" max="50"/>
    <col width="8.6640625" customWidth="1" style="218" min="51" max="51"/>
    <col hidden="1" width="8.6640625" customWidth="1" style="153" min="52" max="58"/>
    <col width="8.6640625" customWidth="1" style="153" min="59" max="59"/>
    <col width="8.6640625" customWidth="1" style="218" min="60" max="60"/>
    <col width="8.6640625" customWidth="1" style="153" min="61" max="63"/>
    <col width="31.83203125" bestFit="1" customWidth="1" style="218" min="64" max="64"/>
    <col width="53.1640625" bestFit="1" customWidth="1" style="218" min="65" max="65"/>
    <col hidden="1" width="8.6640625" customWidth="1" style="153" min="66" max="68"/>
    <col width="8.6640625" customWidth="1" style="218" min="69" max="69"/>
    <col hidden="1" width="8.6640625" customWidth="1" style="153" min="70" max="76"/>
    <col width="8.6640625" customWidth="1" style="153" min="77" max="77"/>
    <col width="8.6640625" customWidth="1" style="218" min="78" max="78"/>
    <col width="8.6640625" customWidth="1" style="153" min="79" max="79"/>
    <col width="8.6640625" customWidth="1" style="148" min="80" max="80"/>
    <col hidden="1" width="8.6640625" customWidth="1" style="148" min="81" max="82"/>
    <col hidden="1" width="12.6640625" customWidth="1" style="147" min="83" max="83"/>
    <col width="10.5" bestFit="1" customWidth="1" style="1" min="84" max="84"/>
    <col width="8.6640625" customWidth="1" style="1" min="85" max="85"/>
    <col width="8.6640625" customWidth="1" style="1" min="86" max="16384"/>
  </cols>
  <sheetData>
    <row r="1" ht="47" customFormat="1" customHeight="1" s="24">
      <c r="A1" s="1" t="n"/>
      <c r="B1" s="1">
        <f>'Master List'!$F$2</f>
        <v/>
      </c>
      <c r="C1" s="1" t="n"/>
      <c r="D1" s="1" t="n"/>
      <c r="E1" s="1" t="n"/>
      <c r="F1" s="1" t="n"/>
      <c r="G1" s="1" t="n"/>
      <c r="H1" s="69" t="n"/>
      <c r="I1" s="153" t="n"/>
      <c r="J1" s="215" t="n"/>
      <c r="K1" s="214" t="n"/>
      <c r="L1" s="214" t="n"/>
      <c r="M1" s="214" t="n"/>
      <c r="N1" s="214" t="n"/>
      <c r="O1" s="214" t="n"/>
      <c r="P1" s="214" t="n"/>
      <c r="Q1" s="214" t="n"/>
      <c r="R1" s="214" t="n"/>
      <c r="S1" s="214" t="n"/>
      <c r="T1" s="214" t="n"/>
      <c r="U1" s="214" t="n"/>
      <c r="V1" s="214" t="n"/>
      <c r="W1" s="214" t="n"/>
      <c r="X1" s="216" t="n"/>
      <c r="Y1" s="216" t="n"/>
      <c r="Z1" s="214" t="n"/>
      <c r="AA1" s="214" t="n"/>
      <c r="AB1" s="214" t="n"/>
      <c r="AC1" s="214" t="n"/>
      <c r="AD1" s="214" t="n"/>
      <c r="AE1" s="214" t="n"/>
      <c r="AF1" s="214" t="n"/>
      <c r="AG1" s="214" t="n"/>
      <c r="AH1" s="214" t="n"/>
      <c r="AI1" s="214" t="n"/>
      <c r="AJ1" s="214" t="n"/>
      <c r="AK1" s="214" t="n"/>
      <c r="AL1" s="214" t="n"/>
      <c r="AM1" s="214" t="n"/>
      <c r="AN1" s="214" t="n"/>
      <c r="AO1" s="214" t="n"/>
      <c r="AP1" s="214" t="n"/>
      <c r="AQ1" s="214" t="n"/>
      <c r="AR1" s="214" t="n"/>
      <c r="AS1" s="214" t="n"/>
      <c r="AT1" s="214" t="n"/>
      <c r="AU1" s="214" t="n"/>
      <c r="AV1" s="214" t="n"/>
      <c r="AW1" s="214" t="n"/>
      <c r="AX1" s="214" t="n"/>
      <c r="AY1" s="214" t="n"/>
      <c r="AZ1" s="214" t="n"/>
      <c r="BA1" s="214" t="n"/>
      <c r="BB1" s="214" t="n"/>
      <c r="BC1" s="214" t="n"/>
      <c r="BD1" s="214" t="n"/>
      <c r="BE1" s="214" t="n"/>
      <c r="BF1" s="214" t="n"/>
      <c r="BG1" s="214" t="n"/>
      <c r="BH1" s="214" t="n"/>
      <c r="BI1" s="214" t="n"/>
      <c r="BJ1" s="214" t="n"/>
      <c r="BK1" s="214" t="n"/>
      <c r="BL1" s="214" t="n"/>
      <c r="BM1" s="214" t="n"/>
      <c r="BN1" s="214" t="n"/>
      <c r="BO1" s="214" t="n"/>
      <c r="BP1" s="214" t="n"/>
      <c r="BQ1" s="214" t="n"/>
      <c r="BR1" s="214" t="n"/>
      <c r="BS1" s="214" t="n"/>
      <c r="BT1" s="214" t="n"/>
      <c r="BU1" s="214" t="n"/>
      <c r="BV1" s="214" t="n"/>
      <c r="BW1" s="214" t="n"/>
      <c r="BX1" s="214" t="n"/>
      <c r="BY1" s="214" t="n"/>
      <c r="BZ1" s="214" t="n"/>
      <c r="CA1" s="214" t="n"/>
      <c r="CB1" s="149" t="n"/>
      <c r="CC1" s="149" t="n"/>
      <c r="CD1" s="149" t="n"/>
      <c r="CE1" s="150" t="n"/>
    </row>
    <row r="2" ht="22.5" customFormat="1" customHeight="1" s="24">
      <c r="A2" s="34" t="inlineStr">
        <is>
          <t>Equipment</t>
        </is>
      </c>
      <c r="B2" s="33" t="inlineStr">
        <is>
          <t>Veloce</t>
        </is>
      </c>
      <c r="C2" s="1" t="n"/>
      <c r="D2" s="1" t="n"/>
      <c r="E2" s="1" t="n"/>
      <c r="F2" s="1" t="n"/>
      <c r="G2" s="1" t="n"/>
      <c r="H2" s="69" t="n"/>
      <c r="I2" s="153" t="n"/>
      <c r="J2" s="215" t="n"/>
      <c r="K2" s="214" t="n"/>
      <c r="L2" s="214" t="n"/>
      <c r="M2" s="214" t="n"/>
      <c r="N2" s="214" t="n"/>
      <c r="O2" s="214" t="n"/>
      <c r="P2" s="214" t="n"/>
      <c r="Q2" s="214" t="n"/>
      <c r="R2" s="214" t="n"/>
      <c r="S2" s="214" t="n"/>
      <c r="T2" s="214" t="n"/>
      <c r="U2" s="214" t="n"/>
      <c r="V2" s="214" t="n"/>
      <c r="W2" s="214" t="n"/>
      <c r="X2" s="216" t="n"/>
      <c r="Y2" s="216" t="n"/>
      <c r="Z2" s="214" t="n"/>
      <c r="AA2" s="214" t="n"/>
      <c r="AB2" s="214" t="n"/>
      <c r="AC2" s="214" t="n"/>
      <c r="AD2" s="214" t="n"/>
      <c r="AE2" s="214" t="n"/>
      <c r="AF2" s="214" t="n"/>
      <c r="AG2" s="214" t="n"/>
      <c r="AH2" s="214" t="n"/>
      <c r="AI2" s="214" t="n"/>
      <c r="AJ2" s="214" t="n"/>
      <c r="AK2" s="214" t="n"/>
      <c r="AL2" s="214" t="n"/>
      <c r="AM2" s="214" t="n"/>
      <c r="AN2" s="214" t="n"/>
      <c r="AO2" s="214" t="n"/>
      <c r="AP2" s="214" t="n"/>
      <c r="AQ2" s="214" t="n"/>
      <c r="AR2" s="214" t="n"/>
      <c r="AS2" s="214" t="n"/>
      <c r="AT2" s="214" t="n"/>
      <c r="AU2" s="214" t="n"/>
      <c r="AV2" s="214" t="n"/>
      <c r="AW2" s="214" t="n"/>
      <c r="AX2" s="214" t="n"/>
      <c r="AY2" s="214" t="n"/>
      <c r="AZ2" s="214" t="n"/>
      <c r="BA2" s="214" t="n"/>
      <c r="BB2" s="214" t="n"/>
      <c r="BC2" s="214" t="n"/>
      <c r="BD2" s="214" t="n"/>
      <c r="BE2" s="214" t="n"/>
      <c r="BF2" s="214" t="n"/>
      <c r="BG2" s="214" t="n"/>
      <c r="BH2" s="214" t="n"/>
      <c r="BI2" s="214" t="n"/>
      <c r="BJ2" s="214" t="n"/>
      <c r="BK2" s="214" t="n"/>
      <c r="BL2" s="214" t="n"/>
      <c r="BM2" s="214" t="n"/>
      <c r="BN2" s="214" t="n"/>
      <c r="BO2" s="214" t="n"/>
      <c r="BP2" s="214" t="n"/>
      <c r="BQ2" s="214" t="n"/>
      <c r="BR2" s="214" t="n"/>
      <c r="BS2" s="214" t="n"/>
      <c r="BT2" s="214" t="n"/>
      <c r="BU2" s="214" t="n"/>
      <c r="BV2" s="214" t="n"/>
      <c r="BW2" s="214" t="n"/>
      <c r="BX2" s="214" t="n"/>
      <c r="BY2" s="214" t="n"/>
      <c r="BZ2" s="214" t="n"/>
      <c r="CA2" s="214" t="n"/>
      <c r="CB2" s="149" t="n"/>
      <c r="CC2" s="149" t="n"/>
      <c r="CD2" s="149" t="n"/>
      <c r="CE2" s="150" t="n"/>
    </row>
    <row r="3" ht="22.5" customFormat="1" customHeight="1" s="24">
      <c r="A3" s="34" t="inlineStr">
        <is>
          <t>Utilization</t>
        </is>
      </c>
      <c r="B3" s="402">
        <f>Y8</f>
        <v/>
      </c>
      <c r="C3" s="1" t="n"/>
      <c r="D3" s="1" t="n"/>
      <c r="E3" s="1" t="n"/>
      <c r="F3" s="1" t="n"/>
      <c r="G3" s="1" t="n"/>
      <c r="H3" s="69" t="n"/>
      <c r="I3" s="153" t="n"/>
      <c r="J3" s="215" t="n"/>
      <c r="K3" s="214" t="n"/>
      <c r="L3" s="214" t="n"/>
      <c r="M3" s="214" t="n"/>
      <c r="N3" s="214" t="n"/>
      <c r="O3" s="214" t="n"/>
      <c r="P3" s="214" t="n"/>
      <c r="Q3" s="214" t="n"/>
      <c r="R3" s="214" t="n"/>
      <c r="S3" s="214" t="n"/>
      <c r="T3" s="214" t="n"/>
      <c r="U3" s="214" t="n"/>
      <c r="V3" s="214" t="n"/>
      <c r="W3" s="214" t="n"/>
      <c r="X3" s="216" t="n"/>
      <c r="Y3" s="216" t="n"/>
      <c r="Z3" s="214" t="n"/>
      <c r="AA3" s="214" t="n"/>
      <c r="AB3" s="214" t="n"/>
      <c r="AC3" s="214" t="n"/>
      <c r="AD3" s="214" t="n"/>
      <c r="AE3" s="214" t="n"/>
      <c r="AF3" s="214" t="n"/>
      <c r="AG3" s="214" t="n"/>
      <c r="AH3" s="214" t="n"/>
      <c r="AI3" s="214" t="n"/>
      <c r="AJ3" s="214" t="n"/>
      <c r="AK3" s="214" t="n"/>
      <c r="AL3" s="214" t="n"/>
      <c r="AM3" s="214" t="n"/>
      <c r="AN3" s="214" t="n"/>
      <c r="AO3" s="214" t="n"/>
      <c r="AP3" s="214" t="n"/>
      <c r="AQ3" s="214" t="n"/>
      <c r="AR3" s="214" t="n"/>
      <c r="AS3" s="214" t="n"/>
      <c r="AT3" s="214" t="n"/>
      <c r="AU3" s="214" t="n"/>
      <c r="AV3" s="214" t="n"/>
      <c r="AW3" s="214" t="n"/>
      <c r="AX3" s="214" t="n"/>
      <c r="AY3" s="214" t="n"/>
      <c r="AZ3" s="214" t="n"/>
      <c r="BA3" s="214" t="n"/>
      <c r="BB3" s="214" t="n"/>
      <c r="BC3" s="214" t="n"/>
      <c r="BD3" s="214" t="n"/>
      <c r="BE3" s="214" t="n"/>
      <c r="BF3" s="214" t="n"/>
      <c r="BG3" s="214" t="n"/>
      <c r="BH3" s="214" t="n"/>
      <c r="BI3" s="214" t="n"/>
      <c r="BJ3" s="214" t="n"/>
      <c r="BK3" s="214" t="n"/>
      <c r="BL3" s="214" t="n"/>
      <c r="BM3" s="214" t="n"/>
      <c r="BN3" s="214" t="n"/>
      <c r="BO3" s="214" t="n"/>
      <c r="BP3" s="214" t="n"/>
      <c r="BQ3" s="214" t="n"/>
      <c r="BR3" s="214" t="n"/>
      <c r="BS3" s="214" t="n"/>
      <c r="BT3" s="214" t="n"/>
      <c r="BU3" s="214" t="n"/>
      <c r="BV3" s="214" t="n"/>
      <c r="BW3" s="214" t="n"/>
      <c r="BX3" s="214" t="n"/>
      <c r="BY3" s="214" t="n"/>
      <c r="BZ3" s="214" t="n"/>
      <c r="CA3" s="214" t="n"/>
      <c r="CB3" s="149" t="n"/>
      <c r="CC3" s="149" t="n"/>
      <c r="CD3" s="149" t="n"/>
      <c r="CE3" s="150" t="n"/>
    </row>
    <row r="4" ht="22.5" customHeight="1" s="516">
      <c r="A4" s="34" t="inlineStr">
        <is>
          <t>Project name</t>
        </is>
      </c>
      <c r="B4" s="181" t="n"/>
      <c r="I4" s="217" t="n"/>
      <c r="J4" s="217" t="n"/>
      <c r="K4" s="217" t="n"/>
      <c r="L4" s="217" t="n"/>
      <c r="M4" s="217" t="n"/>
      <c r="N4" s="217" t="n"/>
      <c r="O4" s="217" t="n"/>
      <c r="P4" s="217" t="n"/>
      <c r="Q4" s="217" t="n"/>
      <c r="R4" s="217" t="n"/>
      <c r="S4" s="217" t="n"/>
      <c r="T4" s="217" t="n"/>
      <c r="U4" s="217" t="n"/>
      <c r="V4" s="217" t="n"/>
      <c r="W4" s="217" t="n"/>
      <c r="X4" s="217" t="n"/>
      <c r="Y4" s="217" t="n"/>
      <c r="AB4" s="153" t="n"/>
      <c r="AC4" s="153" t="n"/>
      <c r="AG4" s="153" t="n"/>
      <c r="AP4" s="153" t="n"/>
      <c r="AT4" s="153" t="n"/>
      <c r="AU4" s="153" t="n"/>
      <c r="AY4" s="153" t="n"/>
      <c r="BH4" s="153" t="n"/>
      <c r="BL4" s="153" t="n"/>
      <c r="BM4" s="153" t="n"/>
      <c r="BQ4" s="153" t="n"/>
      <c r="BZ4" s="153" t="n"/>
    </row>
    <row r="5" ht="22.5" customHeight="1" s="516">
      <c r="A5" s="34" t="inlineStr">
        <is>
          <t>Revision</t>
        </is>
      </c>
      <c r="B5" s="181" t="n"/>
      <c r="I5" s="532">
        <f>A19</f>
        <v/>
      </c>
      <c r="J5" s="525" t="n"/>
      <c r="K5" s="525" t="n"/>
      <c r="L5" s="525" t="n"/>
      <c r="M5" s="525" t="n"/>
      <c r="N5" s="525" t="n"/>
      <c r="O5" s="525" t="n"/>
      <c r="P5" s="525" t="n"/>
      <c r="Q5" s="525" t="n"/>
      <c r="R5" s="525" t="n"/>
      <c r="S5" s="525" t="n"/>
      <c r="T5" s="525" t="n"/>
      <c r="U5" s="525" t="n"/>
      <c r="V5" s="525" t="n"/>
      <c r="W5" s="525" t="n"/>
      <c r="X5" s="525" t="n"/>
      <c r="Y5" s="526" t="n"/>
      <c r="AA5" s="532">
        <f>A20</f>
        <v/>
      </c>
      <c r="AB5" s="525" t="n"/>
      <c r="AC5" s="525" t="n"/>
      <c r="AD5" s="525" t="n"/>
      <c r="AE5" s="525" t="n"/>
      <c r="AF5" s="525" t="n"/>
      <c r="AG5" s="525" t="n"/>
      <c r="AH5" s="525" t="n"/>
      <c r="AI5" s="525" t="n"/>
      <c r="AJ5" s="525" t="n"/>
      <c r="AK5" s="525" t="n"/>
      <c r="AL5" s="525" t="n"/>
      <c r="AM5" s="525" t="n"/>
      <c r="AN5" s="525" t="n"/>
      <c r="AO5" s="525" t="n"/>
      <c r="AP5" s="525" t="n"/>
      <c r="AQ5" s="526" t="n"/>
      <c r="AS5" s="532">
        <f>A21</f>
        <v/>
      </c>
      <c r="AT5" s="525" t="n"/>
      <c r="AU5" s="525" t="n"/>
      <c r="AV5" s="525" t="n"/>
      <c r="AW5" s="525" t="n"/>
      <c r="AX5" s="525" t="n"/>
      <c r="AY5" s="525" t="n"/>
      <c r="AZ5" s="525" t="n"/>
      <c r="BA5" s="525" t="n"/>
      <c r="BB5" s="525" t="n"/>
      <c r="BC5" s="525" t="n"/>
      <c r="BD5" s="525" t="n"/>
      <c r="BE5" s="525" t="n"/>
      <c r="BF5" s="525" t="n"/>
      <c r="BG5" s="525" t="n"/>
      <c r="BH5" s="525" t="n"/>
      <c r="BI5" s="526" t="n"/>
      <c r="BK5" s="532">
        <f>A22</f>
        <v/>
      </c>
      <c r="BL5" s="525" t="n"/>
      <c r="BM5" s="525" t="n"/>
      <c r="BN5" s="525" t="n"/>
      <c r="BO5" s="525" t="n"/>
      <c r="BP5" s="525" t="n"/>
      <c r="BQ5" s="525" t="n"/>
      <c r="BR5" s="525" t="n"/>
      <c r="BS5" s="525" t="n"/>
      <c r="BT5" s="525" t="n"/>
      <c r="BU5" s="525" t="n"/>
      <c r="BV5" s="525" t="n"/>
      <c r="BW5" s="525" t="n"/>
      <c r="BX5" s="525" t="n"/>
      <c r="BY5" s="525" t="n"/>
      <c r="BZ5" s="525" t="n"/>
      <c r="CA5" s="526" t="n"/>
    </row>
    <row r="6" ht="18" customHeight="1" s="516">
      <c r="I6" s="531" t="inlineStr">
        <is>
          <t>S.No</t>
        </is>
      </c>
      <c r="J6" s="530" t="inlineStr">
        <is>
          <t>Cycles / Hour</t>
        </is>
      </c>
      <c r="K6" s="522" t="n"/>
      <c r="L6" s="522" t="n"/>
      <c r="M6" s="522" t="n"/>
      <c r="N6" s="522" t="n"/>
      <c r="O6" s="522" t="n"/>
      <c r="P6" s="522" t="n"/>
      <c r="Q6" s="522" t="n"/>
      <c r="R6" s="522" t="n"/>
      <c r="S6" s="522" t="n"/>
      <c r="T6" s="522" t="n"/>
      <c r="U6" s="522" t="n"/>
      <c r="V6" s="522" t="n"/>
      <c r="W6" s="522" t="n"/>
      <c r="X6" s="523" t="n"/>
      <c r="Y6" s="155">
        <f>(3600-SUM(Y22:Y25,Y27:Y29))/Y7</f>
        <v/>
      </c>
      <c r="AA6" s="531" t="inlineStr">
        <is>
          <t>S.No</t>
        </is>
      </c>
      <c r="AB6" s="530" t="inlineStr">
        <is>
          <t>Cycles / Hour</t>
        </is>
      </c>
      <c r="AC6" s="522" t="n"/>
      <c r="AD6" s="522" t="n"/>
      <c r="AE6" s="522" t="n"/>
      <c r="AF6" s="522" t="n"/>
      <c r="AG6" s="522" t="n"/>
      <c r="AH6" s="522" t="n"/>
      <c r="AI6" s="522" t="n"/>
      <c r="AJ6" s="522" t="n"/>
      <c r="AK6" s="522" t="n"/>
      <c r="AL6" s="522" t="n"/>
      <c r="AM6" s="522" t="n"/>
      <c r="AN6" s="522" t="n"/>
      <c r="AO6" s="522" t="n"/>
      <c r="AP6" s="523" t="n"/>
      <c r="AQ6" s="155">
        <f>(3600-SUM(AQ22:AQ25,AQ27:AQ29))/AQ7</f>
        <v/>
      </c>
      <c r="AS6" s="531" t="inlineStr">
        <is>
          <t>S.No</t>
        </is>
      </c>
      <c r="AT6" s="530" t="inlineStr">
        <is>
          <t>Cycles / Hour</t>
        </is>
      </c>
      <c r="AU6" s="522" t="n"/>
      <c r="AV6" s="522" t="n"/>
      <c r="AW6" s="522" t="n"/>
      <c r="AX6" s="522" t="n"/>
      <c r="AY6" s="522" t="n"/>
      <c r="AZ6" s="522" t="n"/>
      <c r="BA6" s="522" t="n"/>
      <c r="BB6" s="522" t="n"/>
      <c r="BC6" s="522" t="n"/>
      <c r="BD6" s="522" t="n"/>
      <c r="BE6" s="522" t="n"/>
      <c r="BF6" s="522" t="n"/>
      <c r="BG6" s="522" t="n"/>
      <c r="BH6" s="523" t="n"/>
      <c r="BI6" s="155">
        <f>(3600-SUM(BI22:BI25,BI27:BI29))/BI7</f>
        <v/>
      </c>
      <c r="BK6" s="531" t="inlineStr">
        <is>
          <t>S.No</t>
        </is>
      </c>
      <c r="BL6" s="530" t="inlineStr">
        <is>
          <t>Cycles / Hour</t>
        </is>
      </c>
      <c r="BM6" s="522" t="n"/>
      <c r="BN6" s="522" t="n"/>
      <c r="BO6" s="522" t="n"/>
      <c r="BP6" s="522" t="n"/>
      <c r="BQ6" s="522" t="n"/>
      <c r="BR6" s="522" t="n"/>
      <c r="BS6" s="522" t="n"/>
      <c r="BT6" s="522" t="n"/>
      <c r="BU6" s="522" t="n"/>
      <c r="BV6" s="522" t="n"/>
      <c r="BW6" s="522" t="n"/>
      <c r="BX6" s="522" t="n"/>
      <c r="BY6" s="522" t="n"/>
      <c r="BZ6" s="523" t="n"/>
      <c r="CA6" s="155">
        <f>(3600-SUM(CA22:CA25,CA27:CA29))/CA7</f>
        <v/>
      </c>
    </row>
    <row r="7" ht="18" customHeight="1" s="516">
      <c r="A7" s="35" t="inlineStr">
        <is>
          <t>Cycles/ Hr</t>
        </is>
      </c>
      <c r="B7" s="57">
        <f>SUMPRODUCT(D19:D22,E19:E22)</f>
        <v/>
      </c>
      <c r="C7" s="46" t="n"/>
      <c r="D7" s="6" t="n"/>
      <c r="E7" s="6" t="n"/>
      <c r="F7" s="6" t="n"/>
      <c r="G7" s="6" t="n"/>
      <c r="I7" s="528" t="n"/>
      <c r="J7" s="530" t="inlineStr">
        <is>
          <t>Effective Cycle Time</t>
        </is>
      </c>
      <c r="K7" s="522" t="n"/>
      <c r="L7" s="522" t="n"/>
      <c r="M7" s="522" t="n"/>
      <c r="N7" s="522" t="n"/>
      <c r="O7" s="522" t="n"/>
      <c r="P7" s="522" t="n"/>
      <c r="Q7" s="522" t="n"/>
      <c r="R7" s="522" t="n"/>
      <c r="S7" s="522" t="n"/>
      <c r="T7" s="522" t="n"/>
      <c r="U7" s="522" t="n"/>
      <c r="V7" s="522" t="n"/>
      <c r="W7" s="522" t="n"/>
      <c r="X7" s="523" t="n"/>
      <c r="Y7" s="156">
        <f>Y9/Y8</f>
        <v/>
      </c>
      <c r="AA7" s="528" t="n"/>
      <c r="AB7" s="530" t="inlineStr">
        <is>
          <t>Effective Cycle Time</t>
        </is>
      </c>
      <c r="AC7" s="522" t="n"/>
      <c r="AD7" s="522" t="n"/>
      <c r="AE7" s="522" t="n"/>
      <c r="AF7" s="522" t="n"/>
      <c r="AG7" s="522" t="n"/>
      <c r="AH7" s="522" t="n"/>
      <c r="AI7" s="522" t="n"/>
      <c r="AJ7" s="522" t="n"/>
      <c r="AK7" s="522" t="n"/>
      <c r="AL7" s="522" t="n"/>
      <c r="AM7" s="522" t="n"/>
      <c r="AN7" s="522" t="n"/>
      <c r="AO7" s="522" t="n"/>
      <c r="AP7" s="523" t="n"/>
      <c r="AQ7" s="156">
        <f>AQ9/AQ8</f>
        <v/>
      </c>
      <c r="AS7" s="528" t="n"/>
      <c r="AT7" s="530" t="inlineStr">
        <is>
          <t>Effective Cycle Time</t>
        </is>
      </c>
      <c r="AU7" s="522" t="n"/>
      <c r="AV7" s="522" t="n"/>
      <c r="AW7" s="522" t="n"/>
      <c r="AX7" s="522" t="n"/>
      <c r="AY7" s="522" t="n"/>
      <c r="AZ7" s="522" t="n"/>
      <c r="BA7" s="522" t="n"/>
      <c r="BB7" s="522" t="n"/>
      <c r="BC7" s="522" t="n"/>
      <c r="BD7" s="522" t="n"/>
      <c r="BE7" s="522" t="n"/>
      <c r="BF7" s="522" t="n"/>
      <c r="BG7" s="522" t="n"/>
      <c r="BH7" s="523" t="n"/>
      <c r="BI7" s="156">
        <f>BI9/BI8</f>
        <v/>
      </c>
      <c r="BK7" s="528" t="n"/>
      <c r="BL7" s="530" t="inlineStr">
        <is>
          <t>Effective Cycle Time</t>
        </is>
      </c>
      <c r="BM7" s="522" t="n"/>
      <c r="BN7" s="522" t="n"/>
      <c r="BO7" s="522" t="n"/>
      <c r="BP7" s="522" t="n"/>
      <c r="BQ7" s="522" t="n"/>
      <c r="BR7" s="522" t="n"/>
      <c r="BS7" s="522" t="n"/>
      <c r="BT7" s="522" t="n"/>
      <c r="BU7" s="522" t="n"/>
      <c r="BV7" s="522" t="n"/>
      <c r="BW7" s="522" t="n"/>
      <c r="BX7" s="522" t="n"/>
      <c r="BY7" s="522" t="n"/>
      <c r="BZ7" s="523" t="n"/>
      <c r="CA7" s="156">
        <f>CA9/CA8</f>
        <v/>
      </c>
    </row>
    <row r="8" ht="18" customHeight="1" s="516">
      <c r="A8" s="35" t="inlineStr">
        <is>
          <t>Totes/ Cases per Hr</t>
        </is>
      </c>
      <c r="B8" s="57">
        <f>SUMPRODUCT($E$19:$E$22,G19:G22)</f>
        <v/>
      </c>
      <c r="I8" s="528" t="n"/>
      <c r="J8" s="530" t="inlineStr">
        <is>
          <t>Equipment Utilization</t>
        </is>
      </c>
      <c r="K8" s="522" t="n"/>
      <c r="L8" s="522" t="n"/>
      <c r="M8" s="522" t="n"/>
      <c r="N8" s="522" t="n"/>
      <c r="O8" s="522" t="n"/>
      <c r="P8" s="522" t="n"/>
      <c r="Q8" s="522" t="n"/>
      <c r="R8" s="522" t="n"/>
      <c r="S8" s="522" t="n"/>
      <c r="T8" s="522" t="n"/>
      <c r="U8" s="522" t="n"/>
      <c r="V8" s="522" t="n"/>
      <c r="W8" s="522" t="n"/>
      <c r="X8" s="523" t="n"/>
      <c r="Y8" s="157">
        <f>'Master List'!$G$1</f>
        <v/>
      </c>
      <c r="AA8" s="528" t="n"/>
      <c r="AB8" s="530" t="inlineStr">
        <is>
          <t>Equipment Utilization</t>
        </is>
      </c>
      <c r="AC8" s="522" t="n"/>
      <c r="AD8" s="522" t="n"/>
      <c r="AE8" s="522" t="n"/>
      <c r="AF8" s="522" t="n"/>
      <c r="AG8" s="522" t="n"/>
      <c r="AH8" s="522" t="n"/>
      <c r="AI8" s="522" t="n"/>
      <c r="AJ8" s="522" t="n"/>
      <c r="AK8" s="522" t="n"/>
      <c r="AL8" s="522" t="n"/>
      <c r="AM8" s="522" t="n"/>
      <c r="AN8" s="522" t="n"/>
      <c r="AO8" s="522" t="n"/>
      <c r="AP8" s="523" t="n"/>
      <c r="AQ8" s="157">
        <f>'Master List'!$G$1</f>
        <v/>
      </c>
      <c r="AS8" s="528" t="n"/>
      <c r="AT8" s="530" t="inlineStr">
        <is>
          <t>Equipment Utilization</t>
        </is>
      </c>
      <c r="AU8" s="522" t="n"/>
      <c r="AV8" s="522" t="n"/>
      <c r="AW8" s="522" t="n"/>
      <c r="AX8" s="522" t="n"/>
      <c r="AY8" s="522" t="n"/>
      <c r="AZ8" s="522" t="n"/>
      <c r="BA8" s="522" t="n"/>
      <c r="BB8" s="522" t="n"/>
      <c r="BC8" s="522" t="n"/>
      <c r="BD8" s="522" t="n"/>
      <c r="BE8" s="522" t="n"/>
      <c r="BF8" s="522" t="n"/>
      <c r="BG8" s="522" t="n"/>
      <c r="BH8" s="523" t="n"/>
      <c r="BI8" s="157">
        <f>'Master List'!$G$1</f>
        <v/>
      </c>
      <c r="BK8" s="528" t="n"/>
      <c r="BL8" s="530" t="inlineStr">
        <is>
          <t>Equipment Utilization</t>
        </is>
      </c>
      <c r="BM8" s="522" t="n"/>
      <c r="BN8" s="522" t="n"/>
      <c r="BO8" s="522" t="n"/>
      <c r="BP8" s="522" t="n"/>
      <c r="BQ8" s="522" t="n"/>
      <c r="BR8" s="522" t="n"/>
      <c r="BS8" s="522" t="n"/>
      <c r="BT8" s="522" t="n"/>
      <c r="BU8" s="522" t="n"/>
      <c r="BV8" s="522" t="n"/>
      <c r="BW8" s="522" t="n"/>
      <c r="BX8" s="522" t="n"/>
      <c r="BY8" s="522" t="n"/>
      <c r="BZ8" s="523" t="n"/>
      <c r="CA8" s="157">
        <f>'Master List'!$G$1</f>
        <v/>
      </c>
    </row>
    <row r="9" ht="18" customHeight="1" s="516">
      <c r="A9" s="63" t="inlineStr">
        <is>
          <t>Veloce required</t>
        </is>
      </c>
      <c r="B9" s="64">
        <f>ROUNDUP(((B11/B8)*(1+B12))*(1+B13),0)</f>
        <v/>
      </c>
      <c r="I9" s="528" t="n"/>
      <c r="J9" s="530" t="inlineStr">
        <is>
          <t>Cycle Time</t>
        </is>
      </c>
      <c r="K9" s="522" t="n"/>
      <c r="L9" s="522" t="n"/>
      <c r="M9" s="522" t="n"/>
      <c r="N9" s="522" t="n"/>
      <c r="O9" s="522" t="n"/>
      <c r="P9" s="522" t="n"/>
      <c r="Q9" s="522" t="n"/>
      <c r="R9" s="522" t="n"/>
      <c r="S9" s="522" t="n"/>
      <c r="T9" s="522" t="n"/>
      <c r="U9" s="522" t="n"/>
      <c r="V9" s="522" t="n"/>
      <c r="W9" s="522" t="n"/>
      <c r="X9" s="523" t="n"/>
      <c r="Y9" s="158">
        <f>SUM(Y11:Y20)</f>
        <v/>
      </c>
      <c r="AA9" s="528" t="n"/>
      <c r="AB9" s="530" t="inlineStr">
        <is>
          <t>Cycle Time</t>
        </is>
      </c>
      <c r="AC9" s="522" t="n"/>
      <c r="AD9" s="522" t="n"/>
      <c r="AE9" s="522" t="n"/>
      <c r="AF9" s="522" t="n"/>
      <c r="AG9" s="522" t="n"/>
      <c r="AH9" s="522" t="n"/>
      <c r="AI9" s="522" t="n"/>
      <c r="AJ9" s="522" t="n"/>
      <c r="AK9" s="522" t="n"/>
      <c r="AL9" s="522" t="n"/>
      <c r="AM9" s="522" t="n"/>
      <c r="AN9" s="522" t="n"/>
      <c r="AO9" s="522" t="n"/>
      <c r="AP9" s="523" t="n"/>
      <c r="AQ9" s="158">
        <f>SUM(AQ11:AQ20)</f>
        <v/>
      </c>
      <c r="AS9" s="528" t="n"/>
      <c r="AT9" s="530" t="inlineStr">
        <is>
          <t>Cycle Time</t>
        </is>
      </c>
      <c r="AU9" s="522" t="n"/>
      <c r="AV9" s="522" t="n"/>
      <c r="AW9" s="522" t="n"/>
      <c r="AX9" s="522" t="n"/>
      <c r="AY9" s="522" t="n"/>
      <c r="AZ9" s="522" t="n"/>
      <c r="BA9" s="522" t="n"/>
      <c r="BB9" s="522" t="n"/>
      <c r="BC9" s="522" t="n"/>
      <c r="BD9" s="522" t="n"/>
      <c r="BE9" s="522" t="n"/>
      <c r="BF9" s="522" t="n"/>
      <c r="BG9" s="522" t="n"/>
      <c r="BH9" s="523" t="n"/>
      <c r="BI9" s="158">
        <f>SUM(BI11:BI20)</f>
        <v/>
      </c>
      <c r="BK9" s="528" t="n"/>
      <c r="BL9" s="530" t="inlineStr">
        <is>
          <t>Cycle Time</t>
        </is>
      </c>
      <c r="BM9" s="522" t="n"/>
      <c r="BN9" s="522" t="n"/>
      <c r="BO9" s="522" t="n"/>
      <c r="BP9" s="522" t="n"/>
      <c r="BQ9" s="522" t="n"/>
      <c r="BR9" s="522" t="n"/>
      <c r="BS9" s="522" t="n"/>
      <c r="BT9" s="522" t="n"/>
      <c r="BU9" s="522" t="n"/>
      <c r="BV9" s="522" t="n"/>
      <c r="BW9" s="522" t="n"/>
      <c r="BX9" s="522" t="n"/>
      <c r="BY9" s="522" t="n"/>
      <c r="BZ9" s="523" t="n"/>
      <c r="CA9" s="158">
        <f>SUM(CA11:CA20)</f>
        <v/>
      </c>
    </row>
    <row r="10" ht="22.5" customFormat="1" customHeight="1" s="6">
      <c r="A10" s="1" t="n"/>
      <c r="B10" s="1" t="n"/>
      <c r="C10" s="1" t="n"/>
      <c r="D10" s="1" t="n"/>
      <c r="E10" s="1" t="n"/>
      <c r="F10" s="1" t="n"/>
      <c r="G10" s="1" t="n"/>
      <c r="H10" s="69" t="n"/>
      <c r="I10" s="529" t="n"/>
      <c r="J10" s="531" t="inlineStr">
        <is>
          <t>Activity Type</t>
        </is>
      </c>
      <c r="K10" s="159" t="inlineStr">
        <is>
          <t>Steps</t>
        </is>
      </c>
      <c r="L10" s="159" t="inlineStr">
        <is>
          <t>Time to consider in absence of data (sec)</t>
        </is>
      </c>
      <c r="M10" s="159" t="inlineStr">
        <is>
          <t>Speed (m / sec)</t>
        </is>
      </c>
      <c r="N10" s="159" t="inlineStr">
        <is>
          <t>Acceleration (m / sec^2)</t>
        </is>
      </c>
      <c r="O10" s="159" t="inlineStr">
        <is>
          <t>Total Distance (m)</t>
        </is>
      </c>
      <c r="P10" s="159" t="inlineStr">
        <is>
          <t>Time to Reach Max Speed (sec)</t>
        </is>
      </c>
      <c r="Q10" s="159" t="inlineStr">
        <is>
          <t>Distance in accerlaration (m)</t>
        </is>
      </c>
      <c r="R10" s="159" t="inlineStr">
        <is>
          <t>Distance in Max speed (m)</t>
        </is>
      </c>
      <c r="S10" s="159" t="inlineStr">
        <is>
          <t>Distance in de-acceleration (m)</t>
        </is>
      </c>
      <c r="T10" s="159" t="inlineStr">
        <is>
          <t>Time in acceleration (sec)</t>
        </is>
      </c>
      <c r="U10" s="159" t="inlineStr">
        <is>
          <t>Time in full speed (sec)</t>
        </is>
      </c>
      <c r="V10" s="159" t="inlineStr">
        <is>
          <t>Time in de-acceleration (sec)</t>
        </is>
      </c>
      <c r="W10" s="159" t="inlineStr">
        <is>
          <t>Time (sec)</t>
        </is>
      </c>
      <c r="X10" s="159" t="inlineStr">
        <is>
          <t>Units</t>
        </is>
      </c>
      <c r="Y10" s="159" t="inlineStr">
        <is>
          <t>Total Time</t>
        </is>
      </c>
      <c r="Z10" s="154" t="n"/>
      <c r="AA10" s="529" t="n"/>
      <c r="AB10" s="531" t="inlineStr">
        <is>
          <t>Activity Type</t>
        </is>
      </c>
      <c r="AC10" s="159" t="inlineStr">
        <is>
          <t>Steps</t>
        </is>
      </c>
      <c r="AD10" s="159" t="inlineStr">
        <is>
          <t>Time to consider in absence of data (sec)</t>
        </is>
      </c>
      <c r="AE10" s="159" t="inlineStr">
        <is>
          <t>Speed (m / sec)</t>
        </is>
      </c>
      <c r="AF10" s="159" t="inlineStr">
        <is>
          <t>Acceleration (m / sec^2)</t>
        </is>
      </c>
      <c r="AG10" s="159" t="inlineStr">
        <is>
          <t>Total Distance (m)</t>
        </is>
      </c>
      <c r="AH10" s="159" t="inlineStr">
        <is>
          <t>Time to Reach Max Speed (sec)</t>
        </is>
      </c>
      <c r="AI10" s="159" t="inlineStr">
        <is>
          <t>Distance in accerlaration (m)</t>
        </is>
      </c>
      <c r="AJ10" s="159" t="inlineStr">
        <is>
          <t>Distance in Max speed (m)</t>
        </is>
      </c>
      <c r="AK10" s="159" t="inlineStr">
        <is>
          <t>Distance in de-acceleration (m)</t>
        </is>
      </c>
      <c r="AL10" s="159" t="inlineStr">
        <is>
          <t>Time in acceleration (sec)</t>
        </is>
      </c>
      <c r="AM10" s="159" t="inlineStr">
        <is>
          <t>Time in full speed (sec)</t>
        </is>
      </c>
      <c r="AN10" s="159" t="inlineStr">
        <is>
          <t>Time in de-acceleration (sec)</t>
        </is>
      </c>
      <c r="AO10" s="159" t="inlineStr">
        <is>
          <t>Time (sec)</t>
        </is>
      </c>
      <c r="AP10" s="159" t="inlineStr">
        <is>
          <t>Units</t>
        </is>
      </c>
      <c r="AQ10" s="159" t="inlineStr">
        <is>
          <t>Total Time</t>
        </is>
      </c>
      <c r="AR10" s="154" t="n"/>
      <c r="AS10" s="529" t="n"/>
      <c r="AT10" s="531" t="inlineStr">
        <is>
          <t>Activity Type</t>
        </is>
      </c>
      <c r="AU10" s="159" t="inlineStr">
        <is>
          <t>Steps</t>
        </is>
      </c>
      <c r="AV10" s="159" t="inlineStr">
        <is>
          <t>Time to consider in absence of data (sec)</t>
        </is>
      </c>
      <c r="AW10" s="159" t="inlineStr">
        <is>
          <t>Speed (m / sec)</t>
        </is>
      </c>
      <c r="AX10" s="159" t="inlineStr">
        <is>
          <t>Acceleration (m / sec^2)</t>
        </is>
      </c>
      <c r="AY10" s="159" t="inlineStr">
        <is>
          <t>Total Distance (m)</t>
        </is>
      </c>
      <c r="AZ10" s="159" t="inlineStr">
        <is>
          <t>Time to Reach Max Speed (sec)</t>
        </is>
      </c>
      <c r="BA10" s="159" t="inlineStr">
        <is>
          <t>Distance in accerlaration (m)</t>
        </is>
      </c>
      <c r="BB10" s="159" t="inlineStr">
        <is>
          <t>Distance in Max speed (m)</t>
        </is>
      </c>
      <c r="BC10" s="159" t="inlineStr">
        <is>
          <t>Distance in de-acceleration (m)</t>
        </is>
      </c>
      <c r="BD10" s="159" t="inlineStr">
        <is>
          <t>Time in acceleration (sec)</t>
        </is>
      </c>
      <c r="BE10" s="159" t="inlineStr">
        <is>
          <t>Time in full speed (sec)</t>
        </is>
      </c>
      <c r="BF10" s="159" t="inlineStr">
        <is>
          <t>Time in de-acceleration (sec)</t>
        </is>
      </c>
      <c r="BG10" s="159" t="inlineStr">
        <is>
          <t>Time (sec)</t>
        </is>
      </c>
      <c r="BH10" s="159" t="inlineStr">
        <is>
          <t>Units</t>
        </is>
      </c>
      <c r="BI10" s="159" t="inlineStr">
        <is>
          <t>Total Time</t>
        </is>
      </c>
      <c r="BJ10" s="154" t="n"/>
      <c r="BK10" s="529" t="n"/>
      <c r="BL10" s="531" t="inlineStr">
        <is>
          <t>Activity Type</t>
        </is>
      </c>
      <c r="BM10" s="159" t="inlineStr">
        <is>
          <t>Steps</t>
        </is>
      </c>
      <c r="BN10" s="159" t="inlineStr">
        <is>
          <t>Time to consider in absence of data (sec)</t>
        </is>
      </c>
      <c r="BO10" s="159" t="inlineStr">
        <is>
          <t>Speed (m / sec)</t>
        </is>
      </c>
      <c r="BP10" s="159" t="inlineStr">
        <is>
          <t>Acceleration (m / sec^2)</t>
        </is>
      </c>
      <c r="BQ10" s="159" t="inlineStr">
        <is>
          <t>Total Distance (m)</t>
        </is>
      </c>
      <c r="BR10" s="159" t="inlineStr">
        <is>
          <t>Time to Reach Max Speed (sec)</t>
        </is>
      </c>
      <c r="BS10" s="159" t="inlineStr">
        <is>
          <t>Distance in accerlaration (m)</t>
        </is>
      </c>
      <c r="BT10" s="159" t="inlineStr">
        <is>
          <t>Distance in Max speed (m)</t>
        </is>
      </c>
      <c r="BU10" s="159" t="inlineStr">
        <is>
          <t>Distance in de-acceleration (m)</t>
        </is>
      </c>
      <c r="BV10" s="159" t="inlineStr">
        <is>
          <t>Time in acceleration (sec)</t>
        </is>
      </c>
      <c r="BW10" s="159" t="inlineStr">
        <is>
          <t>Time in full speed (sec)</t>
        </is>
      </c>
      <c r="BX10" s="159" t="inlineStr">
        <is>
          <t>Time in de-acceleration (sec)</t>
        </is>
      </c>
      <c r="BY10" s="159" t="inlineStr">
        <is>
          <t>Time (sec)</t>
        </is>
      </c>
      <c r="BZ10" s="159" t="inlineStr">
        <is>
          <t>Units</t>
        </is>
      </c>
      <c r="CA10" s="159" t="inlineStr">
        <is>
          <t>Total Time</t>
        </is>
      </c>
      <c r="CB10" s="152" t="n"/>
      <c r="CC10" s="152" t="n"/>
      <c r="CD10" s="152" t="n"/>
      <c r="CE10" s="69" t="n"/>
    </row>
    <row r="11" ht="28" customHeight="1" s="516">
      <c r="A11" s="33" t="inlineStr">
        <is>
          <t>Throughput (Totes or cases/ Hr)</t>
        </is>
      </c>
      <c r="B11" s="26" t="n">
        <v>500</v>
      </c>
      <c r="I11" s="160" t="n">
        <v>1</v>
      </c>
      <c r="J11" s="220" t="inlineStr">
        <is>
          <t>Veloce Vertical Movement</t>
        </is>
      </c>
      <c r="K11" s="255" t="inlineStr">
        <is>
          <t>Vertical movement of cradle to get case/ tote (Includes movement during picking totes from decanting and dropping to GTP)</t>
        </is>
      </c>
      <c r="L11" s="221">
        <f>IFERROR(VLOOKUP(J11,'Master List'!$A:$D,2,0),0)</f>
        <v/>
      </c>
      <c r="M11" s="221">
        <f>IFERROR(VLOOKUP(J11,'Master List'!$A:$D,3,0),0)</f>
        <v/>
      </c>
      <c r="N11" s="221">
        <f>IFERROR(VLOOKUP(J11,'Master List'!$A:$D,4,0),0)</f>
        <v/>
      </c>
      <c r="O11" s="221">
        <f>$B$29/2</f>
        <v/>
      </c>
      <c r="P11" s="221">
        <f>IFERROR(M11/N11,0)</f>
        <v/>
      </c>
      <c r="Q11" s="221">
        <f>IFERROR(IF(O11&lt;((1/2*N11*P11^2)*2),1/2*N11*SQRT((O11/2)*2/N11)^2,1/2*N11*P11^2),0)</f>
        <v/>
      </c>
      <c r="R11" s="221">
        <f>IFERROR(IF(O11-Q11-S11&lt;=0,0,O11-Q11-S11),0)</f>
        <v/>
      </c>
      <c r="S11" s="221">
        <f>Q11</f>
        <v/>
      </c>
      <c r="T11" s="221">
        <f>IFERROR(IF(O11&lt;((1/2*N11*P11^2)*2),SQRT((O11/2)*2/N11),P11),0)</f>
        <v/>
      </c>
      <c r="U11" s="221">
        <f>IFERROR(R11/M11,0)</f>
        <v/>
      </c>
      <c r="V11" s="221">
        <f>T11</f>
        <v/>
      </c>
      <c r="W11" s="221">
        <f>IF(L11&gt;0,L11,SUM(T11:V11))</f>
        <v/>
      </c>
      <c r="X11" s="221">
        <f>IF(B24="No",($B$25*2*2),0)</f>
        <v/>
      </c>
      <c r="Y11" s="221">
        <f>W11*X11</f>
        <v/>
      </c>
      <c r="AA11" s="160" t="n">
        <v>1</v>
      </c>
      <c r="AB11" s="220" t="inlineStr">
        <is>
          <t>Veloce Vertical Movement</t>
        </is>
      </c>
      <c r="AC11" s="220" t="n"/>
      <c r="AD11" s="221">
        <f>IFERROR(VLOOKUP(AB11,'Master List'!$A:$D,2,0),0)</f>
        <v/>
      </c>
      <c r="AE11" s="221">
        <f>IFERROR(VLOOKUP(AB11,'Master List'!$A:$D,3,0),0)</f>
        <v/>
      </c>
      <c r="AF11" s="221">
        <f>IFERROR(VLOOKUP(AB11,'Master List'!$A:$D,4,0),0)</f>
        <v/>
      </c>
      <c r="AG11" s="221">
        <f>O11</f>
        <v/>
      </c>
      <c r="AH11" s="221">
        <f>IFERROR(AE11/AF11,0)</f>
        <v/>
      </c>
      <c r="AI11" s="221">
        <f>IFERROR(IF(AG11&lt;((1/2*AF11*AH11^2)*2),1/2*AF11*SQRT((AG11/2)*2/AF11)^2,1/2*AF11*AH11^2),0)</f>
        <v/>
      </c>
      <c r="AJ11" s="221">
        <f>IFERROR(IF(AG11-AI11-AK11&lt;=0,0,AG11-AI11-AK11),0)</f>
        <v/>
      </c>
      <c r="AK11" s="221">
        <f>AI11</f>
        <v/>
      </c>
      <c r="AL11" s="221">
        <f>IFERROR(IF(AG11&lt;((1/2*AF11*AH11^2)*2),SQRT((AG11/2)*2/AF11),AH11),0)</f>
        <v/>
      </c>
      <c r="AM11" s="221">
        <f>IFERROR(AJ11/AE11,0)</f>
        <v/>
      </c>
      <c r="AN11" s="221">
        <f>AL11</f>
        <v/>
      </c>
      <c r="AO11" s="221">
        <f>IF(AD11&gt;0,AD11,SUM(AL11:AN11))</f>
        <v/>
      </c>
      <c r="AP11" s="221">
        <f>X11</f>
        <v/>
      </c>
      <c r="AQ11" s="221">
        <f>AO11*AP11</f>
        <v/>
      </c>
      <c r="AS11" s="160" t="n">
        <v>1</v>
      </c>
      <c r="AT11" s="220" t="inlineStr">
        <is>
          <t>Veloce Vertical Movement</t>
        </is>
      </c>
      <c r="AU11" s="220" t="n"/>
      <c r="AV11" s="221">
        <f>IFERROR(VLOOKUP(AT11,'Master List'!$A:$D,2,0),0)</f>
        <v/>
      </c>
      <c r="AW11" s="221">
        <f>IFERROR(VLOOKUP(AT11,'Master List'!$A:$D,3,0),0)</f>
        <v/>
      </c>
      <c r="AX11" s="221">
        <f>IFERROR(VLOOKUP(AT11,'Master List'!$A:$D,4,0),0)</f>
        <v/>
      </c>
      <c r="AY11" s="221">
        <f>O11</f>
        <v/>
      </c>
      <c r="AZ11" s="221">
        <f>IFERROR(AW11/AX11,0)</f>
        <v/>
      </c>
      <c r="BA11" s="221">
        <f>IFERROR(IF(AY11&lt;((1/2*AX11*AZ11^2)*2),1/2*AX11*SQRT((AY11/2)*2/AX11)^2,1/2*AX11*AZ11^2),0)</f>
        <v/>
      </c>
      <c r="BB11" s="221">
        <f>IFERROR(IF(AY11-BA11-BC11&lt;=0,0,AY11-BA11-BC11),0)</f>
        <v/>
      </c>
      <c r="BC11" s="221">
        <f>BA11</f>
        <v/>
      </c>
      <c r="BD11" s="221">
        <f>IFERROR(IF(AY11&lt;((1/2*AX11*AZ11^2)*2),SQRT((AY11/2)*2/AX11),AZ11),0)</f>
        <v/>
      </c>
      <c r="BE11" s="221">
        <f>IFERROR(BB11/AW11,0)</f>
        <v/>
      </c>
      <c r="BF11" s="221">
        <f>BD11</f>
        <v/>
      </c>
      <c r="BG11" s="221">
        <f>IF(AV11&gt;0,AV11,SUM(BD11:BF11))</f>
        <v/>
      </c>
      <c r="BH11" s="221">
        <f>AP11</f>
        <v/>
      </c>
      <c r="BI11" s="221">
        <f>BG11*BH11</f>
        <v/>
      </c>
      <c r="BK11" s="160" t="n">
        <v>1</v>
      </c>
      <c r="BL11" s="220" t="inlineStr">
        <is>
          <t>Veloce Vertical Movement</t>
        </is>
      </c>
      <c r="BM11" s="220" t="n"/>
      <c r="BN11" s="221">
        <f>IFERROR(VLOOKUP(BL11,'Master List'!$A:$D,2,0),0)</f>
        <v/>
      </c>
      <c r="BO11" s="221">
        <f>IFERROR(VLOOKUP(BL11,'Master List'!$A:$D,3,0),0)</f>
        <v/>
      </c>
      <c r="BP11" s="221">
        <f>IFERROR(VLOOKUP(BL11,'Master List'!$A:$D,4,0),0)</f>
        <v/>
      </c>
      <c r="BQ11" s="221">
        <f>O11</f>
        <v/>
      </c>
      <c r="BR11" s="221">
        <f>IFERROR(BO11/BP11,0)</f>
        <v/>
      </c>
      <c r="BS11" s="221">
        <f>IFERROR(IF(BQ11&lt;((1/2*BP11*BR11^2)*2),1/2*BP11*SQRT((BQ11/2)*2/BP11)^2,1/2*BP11*BR11^2),0)</f>
        <v/>
      </c>
      <c r="BT11" s="221">
        <f>IFERROR(IF(BQ11-BS11-BU11&lt;=0,0,BQ11-BS11-BU11),0)</f>
        <v/>
      </c>
      <c r="BU11" s="221">
        <f>BS11</f>
        <v/>
      </c>
      <c r="BV11" s="221">
        <f>IFERROR(IF(BQ11&lt;((1/2*BP11*BR11^2)*2),SQRT((BQ11/2)*2/BP11),BR11),0)</f>
        <v/>
      </c>
      <c r="BW11" s="221">
        <f>IFERROR(BT11/BO11,0)</f>
        <v/>
      </c>
      <c r="BX11" s="221">
        <f>BV11</f>
        <v/>
      </c>
      <c r="BY11" s="221">
        <f>IF(BN11&gt;0,BN11,SUM(BV11:BX11))</f>
        <v/>
      </c>
      <c r="BZ11" s="221">
        <f>IF(B24="No",$B$25*2,0)</f>
        <v/>
      </c>
      <c r="CA11" s="221">
        <f>BY11*BZ11</f>
        <v/>
      </c>
      <c r="CC11" s="148" t="n">
        <v>0</v>
      </c>
      <c r="CE11" s="147" t="inlineStr">
        <is>
          <t>Default</t>
        </is>
      </c>
    </row>
    <row r="12">
      <c r="A12" s="33" t="inlineStr">
        <is>
          <t>Traffic factor</t>
        </is>
      </c>
      <c r="B12" s="36" t="n">
        <v>0.1</v>
      </c>
      <c r="I12" s="160">
        <f>I11+1</f>
        <v/>
      </c>
      <c r="J12" s="220" t="inlineStr">
        <is>
          <t>Veloce Fork Movement</t>
        </is>
      </c>
      <c r="K12" s="255" t="inlineStr">
        <is>
          <t>Fork movement to get case/ tote &amp; Transfer case or tote on GTP station</t>
        </is>
      </c>
      <c r="L12" s="221">
        <f>IFERROR(VLOOKUP(J12,'Master List'!$A:$D,2,0),0)</f>
        <v/>
      </c>
      <c r="M12" s="221">
        <f>IFERROR(VLOOKUP(J12,'Master List'!$A:$D,3,0),0)</f>
        <v/>
      </c>
      <c r="N12" s="221">
        <f>IFERROR(VLOOKUP(J12,'Master List'!$A:$D,4,0),0)</f>
        <v/>
      </c>
      <c r="O12" s="221" t="n"/>
      <c r="P12" s="221">
        <f>IFERROR(M12/N12,0)</f>
        <v/>
      </c>
      <c r="Q12" s="221">
        <f>IFERROR(IF(O12&lt;((1/2*N12*P12^2)*2),1/2*N12*SQRT((O12/2)*2/N12)^2,1/2*N12*P12^2),0)</f>
        <v/>
      </c>
      <c r="R12" s="221">
        <f>IFERROR(IF(O12-Q12-S12&lt;=0,0,O12-Q12-S12),0)</f>
        <v/>
      </c>
      <c r="S12" s="221">
        <f>Q12</f>
        <v/>
      </c>
      <c r="T12" s="221">
        <f>IFERROR(IF(O12&lt;((1/2*N12*P12^2)*2),SQRT((O12/2)*2/N12),P12),0)</f>
        <v/>
      </c>
      <c r="U12" s="221">
        <f>IFERROR(R12/M12,0)</f>
        <v/>
      </c>
      <c r="V12" s="221">
        <f>T12</f>
        <v/>
      </c>
      <c r="W12" s="221">
        <f>IF(L12&gt;0,L12,SUM(T12:V12))</f>
        <v/>
      </c>
      <c r="X12" s="221">
        <f>IF(B24="No",B25*2,0)</f>
        <v/>
      </c>
      <c r="Y12" s="221">
        <f>W12*X12</f>
        <v/>
      </c>
      <c r="AA12" s="160">
        <f>AA11+1</f>
        <v/>
      </c>
      <c r="AB12" s="220" t="inlineStr">
        <is>
          <t>Veloce Fork Movement</t>
        </is>
      </c>
      <c r="AC12" s="220" t="n"/>
      <c r="AD12" s="221">
        <f>IFERROR(VLOOKUP(AB12,'Master List'!$A:$D,2,0),0)</f>
        <v/>
      </c>
      <c r="AE12" s="221">
        <f>IFERROR(VLOOKUP(AB12,'Master List'!$A:$D,3,0),0)</f>
        <v/>
      </c>
      <c r="AF12" s="221">
        <f>IFERROR(VLOOKUP(AB12,'Master List'!$A:$D,4,0),0)</f>
        <v/>
      </c>
      <c r="AG12" s="221" t="n"/>
      <c r="AH12" s="221">
        <f>IFERROR(AE12/AF12,0)</f>
        <v/>
      </c>
      <c r="AI12" s="221">
        <f>IFERROR(IF(AG12&lt;((1/2*AF12*AH12^2)*2),1/2*AF12*SQRT((AG12/2)*2/AF12)^2,1/2*AF12*AH12^2),0)</f>
        <v/>
      </c>
      <c r="AJ12" s="221">
        <f>IFERROR(IF(AG12-AI12-AK12&lt;=0,0,AG12-AI12-AK12),0)</f>
        <v/>
      </c>
      <c r="AK12" s="221">
        <f>AI12</f>
        <v/>
      </c>
      <c r="AL12" s="221">
        <f>IFERROR(IF(AG12&lt;((1/2*AF12*AH12^2)*2),SQRT((AG12/2)*2/AF12),AH12),0)</f>
        <v/>
      </c>
      <c r="AM12" s="221">
        <f>IFERROR(AJ12/AE12,0)</f>
        <v/>
      </c>
      <c r="AN12" s="221">
        <f>AL12</f>
        <v/>
      </c>
      <c r="AO12" s="221">
        <f>IF(AD12&gt;0,AD12,SUM(AL12:AN12))</f>
        <v/>
      </c>
      <c r="AP12" s="221">
        <f>X12</f>
        <v/>
      </c>
      <c r="AQ12" s="221">
        <f>AO12*AP12</f>
        <v/>
      </c>
      <c r="AS12" s="160">
        <f>AS11+1</f>
        <v/>
      </c>
      <c r="AT12" s="220" t="inlineStr">
        <is>
          <t>Veloce Fork Movement</t>
        </is>
      </c>
      <c r="AU12" s="220" t="n"/>
      <c r="AV12" s="221">
        <f>IFERROR(VLOOKUP(AT12,'Master List'!$A:$D,2,0),0)</f>
        <v/>
      </c>
      <c r="AW12" s="221">
        <f>IFERROR(VLOOKUP(AT12,'Master List'!$A:$D,3,0),0)</f>
        <v/>
      </c>
      <c r="AX12" s="221">
        <f>IFERROR(VLOOKUP(AT12,'Master List'!$A:$D,4,0),0)</f>
        <v/>
      </c>
      <c r="AY12" s="221" t="n"/>
      <c r="AZ12" s="221">
        <f>IFERROR(AW12/AX12,0)</f>
        <v/>
      </c>
      <c r="BA12" s="221">
        <f>IFERROR(IF(AY12&lt;((1/2*AX12*AZ12^2)*2),1/2*AX12*SQRT((AY12/2)*2/AX12)^2,1/2*AX12*AZ12^2),0)</f>
        <v/>
      </c>
      <c r="BB12" s="221">
        <f>IFERROR(IF(AY12-BA12-BC12&lt;=0,0,AY12-BA12-BC12),0)</f>
        <v/>
      </c>
      <c r="BC12" s="221">
        <f>BA12</f>
        <v/>
      </c>
      <c r="BD12" s="221">
        <f>IFERROR(IF(AY12&lt;((1/2*AX12*AZ12^2)*2),SQRT((AY12/2)*2/AX12),AZ12),0)</f>
        <v/>
      </c>
      <c r="BE12" s="221">
        <f>IFERROR(BB12/AW12,0)</f>
        <v/>
      </c>
      <c r="BF12" s="221">
        <f>BD12</f>
        <v/>
      </c>
      <c r="BG12" s="221">
        <f>IF(AV12&gt;0,AV12,SUM(BD12:BF12))</f>
        <v/>
      </c>
      <c r="BH12" s="221">
        <f>AP12</f>
        <v/>
      </c>
      <c r="BI12" s="221">
        <f>BG12*BH12</f>
        <v/>
      </c>
      <c r="BK12" s="160">
        <f>BK11+1</f>
        <v/>
      </c>
      <c r="BL12" s="220" t="inlineStr">
        <is>
          <t>Veloce Fork Movement</t>
        </is>
      </c>
      <c r="BM12" s="220" t="n"/>
      <c r="BN12" s="221">
        <f>IFERROR(VLOOKUP(BL12,'Master List'!$A:$D,2,0),0)</f>
        <v/>
      </c>
      <c r="BO12" s="221">
        <f>IFERROR(VLOOKUP(BL12,'Master List'!$A:$D,3,0),0)</f>
        <v/>
      </c>
      <c r="BP12" s="221">
        <f>IFERROR(VLOOKUP(BL12,'Master List'!$A:$D,4,0),0)</f>
        <v/>
      </c>
      <c r="BQ12" s="221" t="n"/>
      <c r="BR12" s="221">
        <f>IFERROR(BO12/BP12,0)</f>
        <v/>
      </c>
      <c r="BS12" s="221">
        <f>IFERROR(IF(BQ12&lt;((1/2*BP12*BR12^2)*2),1/2*BP12*SQRT((BQ12/2)*2/BP12)^2,1/2*BP12*BR12^2),0)</f>
        <v/>
      </c>
      <c r="BT12" s="221">
        <f>IFERROR(IF(BQ12-BS12-BU12&lt;=0,0,BQ12-BS12-BU12),0)</f>
        <v/>
      </c>
      <c r="BU12" s="221">
        <f>BS12</f>
        <v/>
      </c>
      <c r="BV12" s="221">
        <f>IFERROR(IF(BQ12&lt;((1/2*BP12*BR12^2)*2),SQRT((BQ12/2)*2/BP12),BR12),0)</f>
        <v/>
      </c>
      <c r="BW12" s="221">
        <f>IFERROR(BT12/BO12,0)</f>
        <v/>
      </c>
      <c r="BX12" s="221">
        <f>BV12</f>
        <v/>
      </c>
      <c r="BY12" s="221">
        <f>IF(BN12&gt;0,BN12,SUM(BV12:BX12))</f>
        <v/>
      </c>
      <c r="BZ12" s="221">
        <f>IF(B24="No",$B$25,0)</f>
        <v/>
      </c>
      <c r="CA12" s="221">
        <f>BY12*BZ12</f>
        <v/>
      </c>
      <c r="CC12" s="148" t="n">
        <v>1</v>
      </c>
      <c r="CE12" s="147" t="inlineStr">
        <is>
          <t>Custom</t>
        </is>
      </c>
    </row>
    <row r="13">
      <c r="A13" s="33" t="inlineStr">
        <is>
          <t>Charging factor</t>
        </is>
      </c>
      <c r="B13" s="36" t="n">
        <v>0.1</v>
      </c>
      <c r="I13" s="160">
        <f>I12+1</f>
        <v/>
      </c>
      <c r="J13" s="220" t="inlineStr">
        <is>
          <t>Veloce Horizontal Running Loaded</t>
        </is>
      </c>
      <c r="K13" s="255" t="inlineStr">
        <is>
          <t>Movement to first pick location and from last pick location to GTP station</t>
        </is>
      </c>
      <c r="L13" s="221">
        <f>IFERROR(VLOOKUP(J13,'Master List'!$A:$D,2,0),0)</f>
        <v/>
      </c>
      <c r="M13" s="221">
        <f>IFERROR(VLOOKUP(J13,'Master List'!$A:$D,3,0),0)</f>
        <v/>
      </c>
      <c r="N13" s="221">
        <f>IFERROR(VLOOKUP(J13,'Master List'!$A:$D,4,0),0)</f>
        <v/>
      </c>
      <c r="O13" s="221">
        <f>($B$19)/(C19+1)</f>
        <v/>
      </c>
      <c r="P13" s="221">
        <f>IFERROR(M13/N13,0)</f>
        <v/>
      </c>
      <c r="Q13" s="221">
        <f>IFERROR(IF(O13&lt;((1/2*N13*P13^2)*2),1/2*N13*SQRT((O13/2)*2/N13)^2,1/2*N13*P13^2),0)</f>
        <v/>
      </c>
      <c r="R13" s="221">
        <f>IFERROR(IF(O13-Q13-S13&lt;=0,0,O13-Q13-S13),0)</f>
        <v/>
      </c>
      <c r="S13" s="221">
        <f>Q13</f>
        <v/>
      </c>
      <c r="T13" s="221">
        <f>IFERROR(IF(O13&lt;((1/2*N13*P13^2)*2),SQRT((O13/2)*2/N13),P13),0)</f>
        <v/>
      </c>
      <c r="U13" s="221">
        <f>IFERROR(R13/M13,0)</f>
        <v/>
      </c>
      <c r="V13" s="221">
        <f>T13</f>
        <v/>
      </c>
      <c r="W13" s="221">
        <f>IF(L13&gt;0,L13,SUM(T13:V13))</f>
        <v/>
      </c>
      <c r="X13" s="221">
        <f>2*(C19+1)</f>
        <v/>
      </c>
      <c r="Y13" s="221">
        <f>W13*X13</f>
        <v/>
      </c>
      <c r="AA13" s="160">
        <f>AA12+1</f>
        <v/>
      </c>
      <c r="AB13" s="220" t="inlineStr">
        <is>
          <t>Veloce Horizontal Running Loaded</t>
        </is>
      </c>
      <c r="AC13" s="220" t="n"/>
      <c r="AD13" s="221">
        <f>IFERROR(VLOOKUP(AB13,'Master List'!$A:$D,2,0),0)</f>
        <v/>
      </c>
      <c r="AE13" s="221">
        <f>IFERROR(VLOOKUP(AB13,'Master List'!$A:$D,3,0),0)</f>
        <v/>
      </c>
      <c r="AF13" s="221">
        <f>IFERROR(VLOOKUP(AB13,'Master List'!$A:$D,4,0),0)</f>
        <v/>
      </c>
      <c r="AG13" s="221">
        <f>($B$20)/(C20+1)</f>
        <v/>
      </c>
      <c r="AH13" s="221">
        <f>IFERROR(AE13/AF13,0)</f>
        <v/>
      </c>
      <c r="AI13" s="221">
        <f>IFERROR(IF(AG13&lt;((1/2*AF13*AH13^2)*2),1/2*AF13*SQRT((AG13/2)*2/AF13)^2,1/2*AF13*AH13^2),0)</f>
        <v/>
      </c>
      <c r="AJ13" s="221">
        <f>IFERROR(IF(AG13-AI13-AK13&lt;=0,0,AG13-AI13-AK13),0)</f>
        <v/>
      </c>
      <c r="AK13" s="221">
        <f>AI13</f>
        <v/>
      </c>
      <c r="AL13" s="221">
        <f>IFERROR(IF(AG13&lt;((1/2*AF13*AH13^2)*2),SQRT((AG13/2)*2/AF13),AH13),0)</f>
        <v/>
      </c>
      <c r="AM13" s="221">
        <f>IFERROR(AJ13/AE13,0)</f>
        <v/>
      </c>
      <c r="AN13" s="221">
        <f>AL13</f>
        <v/>
      </c>
      <c r="AO13" s="221">
        <f>IF(AD13&gt;0,AD13,SUM(AL13:AN13))</f>
        <v/>
      </c>
      <c r="AP13" s="221">
        <f>2*(C20+1)</f>
        <v/>
      </c>
      <c r="AQ13" s="221">
        <f>AO13*AP13</f>
        <v/>
      </c>
      <c r="AS13" s="160">
        <f>AS12+1</f>
        <v/>
      </c>
      <c r="AT13" s="220" t="inlineStr">
        <is>
          <t>Veloce Horizontal Running Loaded</t>
        </is>
      </c>
      <c r="AU13" s="220" t="n"/>
      <c r="AV13" s="221">
        <f>IFERROR(VLOOKUP(AT13,'Master List'!$A:$D,2,0),0)</f>
        <v/>
      </c>
      <c r="AW13" s="221">
        <f>IFERROR(VLOOKUP(AT13,'Master List'!$A:$D,3,0),0)</f>
        <v/>
      </c>
      <c r="AX13" s="221">
        <f>IFERROR(VLOOKUP(AT13,'Master List'!$A:$D,4,0),0)</f>
        <v/>
      </c>
      <c r="AY13" s="221">
        <f>($B$21)/(C21+1)</f>
        <v/>
      </c>
      <c r="AZ13" s="221">
        <f>IFERROR(AW13/AX13,0)</f>
        <v/>
      </c>
      <c r="BA13" s="221">
        <f>IFERROR(IF(AY13&lt;((1/2*AX13*AZ13^2)*2),1/2*AX13*SQRT((AY13/2)*2/AX13)^2,1/2*AX13*AZ13^2),0)</f>
        <v/>
      </c>
      <c r="BB13" s="221">
        <f>IFERROR(IF(AY13-BA13-BC13&lt;=0,0,AY13-BA13-BC13),0)</f>
        <v/>
      </c>
      <c r="BC13" s="221">
        <f>BA13</f>
        <v/>
      </c>
      <c r="BD13" s="221">
        <f>IFERROR(IF(AY13&lt;((1/2*AX13*AZ13^2)*2),SQRT((AY13/2)*2/AX13),AZ13),0)</f>
        <v/>
      </c>
      <c r="BE13" s="221">
        <f>IFERROR(BB13/AW13,0)</f>
        <v/>
      </c>
      <c r="BF13" s="221">
        <f>BD13</f>
        <v/>
      </c>
      <c r="BG13" s="221">
        <f>IF(AV13&gt;0,AV13,SUM(BD13:BF13))</f>
        <v/>
      </c>
      <c r="BH13" s="221">
        <f>2*(C21+1)</f>
        <v/>
      </c>
      <c r="BI13" s="221">
        <f>BG13*BH13</f>
        <v/>
      </c>
      <c r="BK13" s="160">
        <f>BK12+1</f>
        <v/>
      </c>
      <c r="BL13" s="220" t="inlineStr">
        <is>
          <t>Veloce Horizontal Running Loaded</t>
        </is>
      </c>
      <c r="BM13" s="220" t="n"/>
      <c r="BN13" s="221">
        <f>IFERROR(VLOOKUP(BL13,'Master List'!$A:$D,2,0),0)</f>
        <v/>
      </c>
      <c r="BO13" s="221">
        <f>IFERROR(VLOOKUP(BL13,'Master List'!$A:$D,3,0),0)</f>
        <v/>
      </c>
      <c r="BP13" s="221">
        <f>IFERROR(VLOOKUP(BL13,'Master List'!$A:$D,4,0),0)</f>
        <v/>
      </c>
      <c r="BQ13" s="221">
        <f>($B$22)/(C22+1)</f>
        <v/>
      </c>
      <c r="BR13" s="221">
        <f>IFERROR(BO13/BP13,0)</f>
        <v/>
      </c>
      <c r="BS13" s="221">
        <f>IFERROR(IF(BQ13&lt;((1/2*BP13*BR13^2)*2),1/2*BP13*SQRT((BQ13/2)*2/BP13)^2,1/2*BP13*BR13^2),0)</f>
        <v/>
      </c>
      <c r="BT13" s="221">
        <f>IFERROR(IF(BQ13-BS13-BU13&lt;=0,0,BQ13-BS13-BU13),0)</f>
        <v/>
      </c>
      <c r="BU13" s="221">
        <f>BS13</f>
        <v/>
      </c>
      <c r="BV13" s="221">
        <f>IFERROR(IF(BQ13&lt;((1/2*BP13*BR13^2)*2),SQRT((BQ13/2)*2/BP13),BR13),0)</f>
        <v/>
      </c>
      <c r="BW13" s="221">
        <f>IFERROR(BT13/BO13,0)</f>
        <v/>
      </c>
      <c r="BX13" s="221">
        <f>BV13</f>
        <v/>
      </c>
      <c r="BY13" s="221">
        <f>IF(BN13&gt;0,BN13,SUM(BV13:BX13))</f>
        <v/>
      </c>
      <c r="BZ13" s="221">
        <f>2*(C22+1)</f>
        <v/>
      </c>
      <c r="CA13" s="221">
        <f>BY13*BZ13</f>
        <v/>
      </c>
      <c r="CC13" s="148" t="n">
        <v>0</v>
      </c>
    </row>
    <row r="14">
      <c r="A14" s="33" t="inlineStr">
        <is>
          <t>Veloce layout Length m</t>
        </is>
      </c>
      <c r="B14" s="26" t="n">
        <v>50</v>
      </c>
      <c r="I14" s="160">
        <f>I13+1</f>
        <v/>
      </c>
      <c r="J14" s="220" t="inlineStr">
        <is>
          <t>Veloce Vertical Movement</t>
        </is>
      </c>
      <c r="K14" s="255" t="inlineStr">
        <is>
          <t>Vertical movement to reach the pick or put locations in rack</t>
        </is>
      </c>
      <c r="L14" s="221">
        <f>IFERROR(VLOOKUP(J14,'Master List'!$A:$D,2,0),0)</f>
        <v/>
      </c>
      <c r="M14" s="221">
        <f>IFERROR(VLOOKUP(J14,'Master List'!$A:$D,3,0),0)</f>
        <v/>
      </c>
      <c r="N14" s="221">
        <f>IFERROR(VLOOKUP(J14,'Master List'!$A:$D,4,0),0)</f>
        <v/>
      </c>
      <c r="O14" s="221">
        <f>$C$49</f>
        <v/>
      </c>
      <c r="P14" s="221">
        <f>IFERROR(M14/N14,0)</f>
        <v/>
      </c>
      <c r="Q14" s="221">
        <f>IFERROR(IF(O14&lt;((1/2*N14*P14^2)*2),1/2*N14*SQRT((O14/2)*2/N14)^2,1/2*N14*P14^2),0)</f>
        <v/>
      </c>
      <c r="R14" s="221">
        <f>IFERROR(IF(O14-Q14-S14&lt;=0,0,O14-Q14-S14),0)</f>
        <v/>
      </c>
      <c r="S14" s="221">
        <f>Q14</f>
        <v/>
      </c>
      <c r="T14" s="221">
        <f>IFERROR(IF(O14&lt;((1/2*N14*P14^2)*2),SQRT((O14/2)*2/N14),P14),0)</f>
        <v/>
      </c>
      <c r="U14" s="221">
        <f>IFERROR(R14/M14,0)</f>
        <v/>
      </c>
      <c r="V14" s="221">
        <f>T14</f>
        <v/>
      </c>
      <c r="W14" s="221">
        <f>IF(L14&gt;0,L14,SUM(T14:V14))</f>
        <v/>
      </c>
      <c r="X14" s="221">
        <f>B25*2</f>
        <v/>
      </c>
      <c r="Y14" s="221">
        <f>W14*X14</f>
        <v/>
      </c>
      <c r="AA14" s="160">
        <f>AA13+1</f>
        <v/>
      </c>
      <c r="AB14" s="220" t="inlineStr">
        <is>
          <t>Veloce Vertical Movement</t>
        </is>
      </c>
      <c r="AC14" s="220" t="inlineStr">
        <is>
          <t>Vertical movement to reach the pick or put locations in rack</t>
        </is>
      </c>
      <c r="AD14" s="221">
        <f>IFERROR(VLOOKUP(AB14,'Master List'!$A:$D,2,0),0)</f>
        <v/>
      </c>
      <c r="AE14" s="221">
        <f>IFERROR(VLOOKUP(AB14,'Master List'!$A:$D,3,0),0)</f>
        <v/>
      </c>
      <c r="AF14" s="221">
        <f>IFERROR(VLOOKUP(AB14,'Master List'!$A:$D,4,0),0)</f>
        <v/>
      </c>
      <c r="AG14" s="221">
        <f>$C$49</f>
        <v/>
      </c>
      <c r="AH14" s="221">
        <f>IFERROR(AE14/AF14,0)</f>
        <v/>
      </c>
      <c r="AI14" s="221">
        <f>IFERROR(IF(AG14&lt;((1/2*AF14*AH14^2)*2),1/2*AF14*SQRT((AG14/2)*2/AF14)^2,1/2*AF14*AH14^2),0)</f>
        <v/>
      </c>
      <c r="AJ14" s="221">
        <f>IFERROR(IF(AG14-AI14-AK14&lt;=0,0,AG14-AI14-AK14),0)</f>
        <v/>
      </c>
      <c r="AK14" s="221">
        <f>AI14</f>
        <v/>
      </c>
      <c r="AL14" s="221">
        <f>IFERROR(IF(AG14&lt;((1/2*AF14*AH14^2)*2),SQRT((AG14/2)*2/AF14),AH14),0)</f>
        <v/>
      </c>
      <c r="AM14" s="221">
        <f>IFERROR(AJ14/AE14,0)</f>
        <v/>
      </c>
      <c r="AN14" s="221">
        <f>AL14</f>
        <v/>
      </c>
      <c r="AO14" s="221">
        <f>IF(AD14&gt;0,AD14,SUM(AL14:AN14))</f>
        <v/>
      </c>
      <c r="AP14" s="221">
        <f>X14</f>
        <v/>
      </c>
      <c r="AQ14" s="221">
        <f>AO14*AP14</f>
        <v/>
      </c>
      <c r="AS14" s="160">
        <f>AS13+1</f>
        <v/>
      </c>
      <c r="AT14" s="220" t="inlineStr">
        <is>
          <t>Veloce Vertical Movement</t>
        </is>
      </c>
      <c r="AU14" s="220" t="inlineStr">
        <is>
          <t>Vertical movement to reach the pick or put locations in rack</t>
        </is>
      </c>
      <c r="AV14" s="221">
        <f>IFERROR(VLOOKUP(AT14,'Master List'!$A:$D,2,0),0)</f>
        <v/>
      </c>
      <c r="AW14" s="221">
        <f>IFERROR(VLOOKUP(AT14,'Master List'!$A:$D,3,0),0)</f>
        <v/>
      </c>
      <c r="AX14" s="221">
        <f>IFERROR(VLOOKUP(AT14,'Master List'!$A:$D,4,0),0)</f>
        <v/>
      </c>
      <c r="AY14" s="221">
        <f>$C$49</f>
        <v/>
      </c>
      <c r="AZ14" s="221">
        <f>IFERROR(AW14/AX14,0)</f>
        <v/>
      </c>
      <c r="BA14" s="221">
        <f>IFERROR(IF(AY14&lt;((1/2*AX14*AZ14^2)*2),1/2*AX14*SQRT((AY14/2)*2/AX14)^2,1/2*AX14*AZ14^2),0)</f>
        <v/>
      </c>
      <c r="BB14" s="221">
        <f>IFERROR(IF(AY14-BA14-BC14&lt;=0,0,AY14-BA14-BC14),0)</f>
        <v/>
      </c>
      <c r="BC14" s="221">
        <f>BA14</f>
        <v/>
      </c>
      <c r="BD14" s="221">
        <f>IFERROR(IF(AY14&lt;((1/2*AX14*AZ14^2)*2),SQRT((AY14/2)*2/AX14),AZ14),0)</f>
        <v/>
      </c>
      <c r="BE14" s="221">
        <f>IFERROR(BB14/AW14,0)</f>
        <v/>
      </c>
      <c r="BF14" s="221">
        <f>BD14</f>
        <v/>
      </c>
      <c r="BG14" s="221">
        <f>IF(AV14&gt;0,AV14,SUM(BD14:BF14))</f>
        <v/>
      </c>
      <c r="BH14" s="221">
        <f>AP14</f>
        <v/>
      </c>
      <c r="BI14" s="221">
        <f>BG14*BH14</f>
        <v/>
      </c>
      <c r="BK14" s="160">
        <f>BK13+1</f>
        <v/>
      </c>
      <c r="BL14" s="220" t="inlineStr">
        <is>
          <t>Veloce Vertical Movement</t>
        </is>
      </c>
      <c r="BM14" s="220" t="inlineStr">
        <is>
          <t>Vertical movement to reach the pick or put locations in rack</t>
        </is>
      </c>
      <c r="BN14" s="221">
        <f>IFERROR(VLOOKUP(BL14,'Master List'!$A:$D,2,0),0)</f>
        <v/>
      </c>
      <c r="BO14" s="221">
        <f>IFERROR(VLOOKUP(BL14,'Master List'!$A:$D,3,0),0)</f>
        <v/>
      </c>
      <c r="BP14" s="221">
        <f>IFERROR(VLOOKUP(BL14,'Master List'!$A:$D,4,0),0)</f>
        <v/>
      </c>
      <c r="BQ14" s="221">
        <f>$C$49</f>
        <v/>
      </c>
      <c r="BR14" s="221">
        <f>IFERROR(BO14/BP14,0)</f>
        <v/>
      </c>
      <c r="BS14" s="221">
        <f>IFERROR(IF(BQ14&lt;((1/2*BP14*BR14^2)*2),1/2*BP14*SQRT((BQ14/2)*2/BP14)^2,1/2*BP14*BR14^2),0)</f>
        <v/>
      </c>
      <c r="BT14" s="221">
        <f>IFERROR(IF(BQ14-BS14-BU14&lt;=0,0,BQ14-BS14-BU14),0)</f>
        <v/>
      </c>
      <c r="BU14" s="221">
        <f>BS14</f>
        <v/>
      </c>
      <c r="BV14" s="221">
        <f>IFERROR(IF(BQ14&lt;((1/2*BP14*BR14^2)*2),SQRT((BQ14/2)*2/BP14),BR14),0)</f>
        <v/>
      </c>
      <c r="BW14" s="221">
        <f>IFERROR(BT14/BO14,0)</f>
        <v/>
      </c>
      <c r="BX14" s="221">
        <f>BV14</f>
        <v/>
      </c>
      <c r="BY14" s="221">
        <f>IF(BN14&gt;0,BN14,SUM(BV14:BX14))</f>
        <v/>
      </c>
      <c r="BZ14" s="221">
        <f>$B$25</f>
        <v/>
      </c>
      <c r="CA14" s="221">
        <f>BY14*BZ14</f>
        <v/>
      </c>
      <c r="CC14" s="148" t="n">
        <v>2</v>
      </c>
      <c r="CE14" s="147" t="inlineStr">
        <is>
          <t>Yes</t>
        </is>
      </c>
    </row>
    <row r="15">
      <c r="A15" s="33" t="inlineStr">
        <is>
          <t>Veloce layout Width m</t>
        </is>
      </c>
      <c r="B15" s="26" t="n">
        <v>70</v>
      </c>
      <c r="I15" s="160">
        <f>I14+1</f>
        <v/>
      </c>
      <c r="J15" s="220" t="inlineStr">
        <is>
          <t>Veloce Craddle Rotation</t>
        </is>
      </c>
      <c r="K15" s="255" t="inlineStr">
        <is>
          <t>Cradle movement to put/ pick case/ tote</t>
        </is>
      </c>
      <c r="L15" s="221">
        <f>IFERROR(VLOOKUP(J15,'Master List'!$A:$D,2,0),0)</f>
        <v/>
      </c>
      <c r="M15" s="221">
        <f>IFERROR(VLOOKUP(J15,'Master List'!$A:$D,3,0),0)</f>
        <v/>
      </c>
      <c r="N15" s="221">
        <f>IFERROR(VLOOKUP(J15,'Master List'!$A:$D,4,0),0)</f>
        <v/>
      </c>
      <c r="O15" s="221" t="n"/>
      <c r="P15" s="221">
        <f>IFERROR(M15/N15,0)</f>
        <v/>
      </c>
      <c r="Q15" s="221">
        <f>IFERROR(IF(O15&lt;((1/2*N15*P15^2)*2),1/2*N15*SQRT((O15/2)*2/N15)^2,1/2*N15*P15^2),0)</f>
        <v/>
      </c>
      <c r="R15" s="221">
        <f>IFERROR(IF(O15-Q15-S15&lt;=0,0,O15-Q15-S15),0)</f>
        <v/>
      </c>
      <c r="S15" s="221">
        <f>Q15</f>
        <v/>
      </c>
      <c r="T15" s="221">
        <f>IFERROR(IF(O15&lt;((1/2*N15*P15^2)*2),SQRT((O15/2)*2/N15),P15),0)</f>
        <v/>
      </c>
      <c r="U15" s="221">
        <f>IFERROR(R15/M15,0)</f>
        <v/>
      </c>
      <c r="V15" s="221">
        <f>T15</f>
        <v/>
      </c>
      <c r="W15" s="221">
        <f>IF(L15&gt;0,L15,SUM(T15:V15))</f>
        <v/>
      </c>
      <c r="X15" s="221">
        <f>X14</f>
        <v/>
      </c>
      <c r="Y15" s="221">
        <f>W15*X15</f>
        <v/>
      </c>
      <c r="AA15" s="160">
        <f>AA14+1</f>
        <v/>
      </c>
      <c r="AB15" s="220" t="inlineStr">
        <is>
          <t>Veloce Craddle Rotation</t>
        </is>
      </c>
      <c r="AC15" s="220" t="n"/>
      <c r="AD15" s="221">
        <f>IFERROR(VLOOKUP(AB15,'Master List'!$A:$D,2,0),0)</f>
        <v/>
      </c>
      <c r="AE15" s="221">
        <f>IFERROR(VLOOKUP(AB15,'Master List'!$A:$D,3,0),0)</f>
        <v/>
      </c>
      <c r="AF15" s="221">
        <f>IFERROR(VLOOKUP(AB15,'Master List'!$A:$D,4,0),0)</f>
        <v/>
      </c>
      <c r="AG15" s="221" t="n"/>
      <c r="AH15" s="221">
        <f>IFERROR(AE15/AF15,0)</f>
        <v/>
      </c>
      <c r="AI15" s="221">
        <f>IFERROR(IF(AG15&lt;((1/2*AF15*AH15^2)*2),1/2*AF15*SQRT((AG15/2)*2/AF15)^2,1/2*AF15*AH15^2),0)</f>
        <v/>
      </c>
      <c r="AJ15" s="221">
        <f>IFERROR(IF(AG15-AI15-AK15&lt;=0,0,AG15-AI15-AK15),0)</f>
        <v/>
      </c>
      <c r="AK15" s="221">
        <f>AI15</f>
        <v/>
      </c>
      <c r="AL15" s="221">
        <f>IFERROR(IF(AG15&lt;((1/2*AF15*AH15^2)*2),SQRT((AG15/2)*2/AF15),AH15),0)</f>
        <v/>
      </c>
      <c r="AM15" s="221">
        <f>IFERROR(AJ15/AE15,0)</f>
        <v/>
      </c>
      <c r="AN15" s="221">
        <f>AL15</f>
        <v/>
      </c>
      <c r="AO15" s="221">
        <f>IF(AD15&gt;0,AD15,SUM(AL15:AN15))</f>
        <v/>
      </c>
      <c r="AP15" s="221">
        <f>AP14</f>
        <v/>
      </c>
      <c r="AQ15" s="221">
        <f>AO15*AP15</f>
        <v/>
      </c>
      <c r="AS15" s="160">
        <f>AS14+1</f>
        <v/>
      </c>
      <c r="AT15" s="220" t="inlineStr">
        <is>
          <t>Veloce Craddle Rotation</t>
        </is>
      </c>
      <c r="AU15" s="220" t="n"/>
      <c r="AV15" s="221">
        <f>IFERROR(VLOOKUP(AT15,'Master List'!$A:$D,2,0),0)</f>
        <v/>
      </c>
      <c r="AW15" s="221">
        <f>IFERROR(VLOOKUP(AT15,'Master List'!$A:$D,3,0),0)</f>
        <v/>
      </c>
      <c r="AX15" s="221">
        <f>IFERROR(VLOOKUP(AT15,'Master List'!$A:$D,4,0),0)</f>
        <v/>
      </c>
      <c r="AY15" s="221" t="n"/>
      <c r="AZ15" s="221">
        <f>IFERROR(AW15/AX15,0)</f>
        <v/>
      </c>
      <c r="BA15" s="221">
        <f>IFERROR(IF(AY15&lt;((1/2*AX15*AZ15^2)*2),1/2*AX15*SQRT((AY15/2)*2/AX15)^2,1/2*AX15*AZ15^2),0)</f>
        <v/>
      </c>
      <c r="BB15" s="221">
        <f>IFERROR(IF(AY15-BA15-BC15&lt;=0,0,AY15-BA15-BC15),0)</f>
        <v/>
      </c>
      <c r="BC15" s="221">
        <f>BA15</f>
        <v/>
      </c>
      <c r="BD15" s="221">
        <f>IFERROR(IF(AY15&lt;((1/2*AX15*AZ15^2)*2),SQRT((AY15/2)*2/AX15),AZ15),0)</f>
        <v/>
      </c>
      <c r="BE15" s="221">
        <f>IFERROR(BB15/AW15,0)</f>
        <v/>
      </c>
      <c r="BF15" s="221">
        <f>BD15</f>
        <v/>
      </c>
      <c r="BG15" s="221">
        <f>IF(AV15&gt;0,AV15,SUM(BD15:BF15))</f>
        <v/>
      </c>
      <c r="BH15" s="221">
        <f>BH14</f>
        <v/>
      </c>
      <c r="BI15" s="221">
        <f>BG15*BH15</f>
        <v/>
      </c>
      <c r="BK15" s="160">
        <f>BK14+1</f>
        <v/>
      </c>
      <c r="BL15" s="220" t="inlineStr">
        <is>
          <t>Veloce Craddle Rotation</t>
        </is>
      </c>
      <c r="BM15" s="220" t="n"/>
      <c r="BN15" s="221">
        <f>IFERROR(VLOOKUP(BL15,'Master List'!$A:$D,2,0),0)</f>
        <v/>
      </c>
      <c r="BO15" s="221">
        <f>IFERROR(VLOOKUP(BL15,'Master List'!$A:$D,3,0),0)</f>
        <v/>
      </c>
      <c r="BP15" s="221">
        <f>IFERROR(VLOOKUP(BL15,'Master List'!$A:$D,4,0),0)</f>
        <v/>
      </c>
      <c r="BQ15" s="221" t="n"/>
      <c r="BR15" s="221">
        <f>IFERROR(BO15/BP15,0)</f>
        <v/>
      </c>
      <c r="BS15" s="221">
        <f>IFERROR(IF(BQ15&lt;((1/2*BP15*BR15^2)*2),1/2*BP15*SQRT((BQ15/2)*2/BP15)^2,1/2*BP15*BR15^2),0)</f>
        <v/>
      </c>
      <c r="BT15" s="221">
        <f>IFERROR(IF(BQ15-BS15-BU15&lt;=0,0,BQ15-BS15-BU15),0)</f>
        <v/>
      </c>
      <c r="BU15" s="221">
        <f>BS15</f>
        <v/>
      </c>
      <c r="BV15" s="221">
        <f>IFERROR(IF(BQ15&lt;((1/2*BP15*BR15^2)*2),SQRT((BQ15/2)*2/BP15),BR15),0)</f>
        <v/>
      </c>
      <c r="BW15" s="221">
        <f>IFERROR(BT15/BO15,0)</f>
        <v/>
      </c>
      <c r="BX15" s="221">
        <f>BV15</f>
        <v/>
      </c>
      <c r="BY15" s="221">
        <f>IF(BN15&gt;0,BN15,SUM(BV15:BX15))</f>
        <v/>
      </c>
      <c r="BZ15" s="221">
        <f>BZ14</f>
        <v/>
      </c>
      <c r="CA15" s="221">
        <f>BY15*BZ15</f>
        <v/>
      </c>
      <c r="CC15" s="148" t="n">
        <v>0</v>
      </c>
      <c r="CE15" s="147" t="inlineStr">
        <is>
          <t>No</t>
        </is>
      </c>
    </row>
    <row r="16">
      <c r="I16" s="160">
        <f>I15+1</f>
        <v/>
      </c>
      <c r="J16" s="220" t="inlineStr">
        <is>
          <t>Veloce Fork Movement</t>
        </is>
      </c>
      <c r="K16" s="255" t="inlineStr">
        <is>
          <t>Fork movement to pick/ put case/ tote</t>
        </is>
      </c>
      <c r="L16" s="221">
        <f>IFERROR(VLOOKUP(J16,'Master List'!$A:$D,2,0),0)</f>
        <v/>
      </c>
      <c r="M16" s="221">
        <f>IFERROR(VLOOKUP(J16,'Master List'!$A:$D,3,0),0)</f>
        <v/>
      </c>
      <c r="N16" s="221">
        <f>IFERROR(VLOOKUP(J16,'Master List'!$A:$D,4,0),0)</f>
        <v/>
      </c>
      <c r="O16" s="221" t="n"/>
      <c r="P16" s="221">
        <f>IFERROR(M16/N16,0)</f>
        <v/>
      </c>
      <c r="Q16" s="221">
        <f>IFERROR(IF(O16&lt;((1/2*N16*P16^2)*2),1/2*N16*SQRT((O16/2)*2/N16)^2,1/2*N16*P16^2),0)</f>
        <v/>
      </c>
      <c r="R16" s="221">
        <f>IFERROR(IF(O16-Q16-S16&lt;=0,0,O16-Q16-S16),0)</f>
        <v/>
      </c>
      <c r="S16" s="221">
        <f>Q16</f>
        <v/>
      </c>
      <c r="T16" s="221">
        <f>IFERROR(IF(O16&lt;((1/2*N16*P16^2)*2),SQRT((O16/2)*2/N16),P16),0)</f>
        <v/>
      </c>
      <c r="U16" s="221">
        <f>IFERROR(R16/M16,0)</f>
        <v/>
      </c>
      <c r="V16" s="221">
        <f>T16</f>
        <v/>
      </c>
      <c r="W16" s="221">
        <f>IF(L16&gt;0,L16,SUM(T16:V16))</f>
        <v/>
      </c>
      <c r="X16" s="221">
        <f>X15</f>
        <v/>
      </c>
      <c r="Y16" s="221">
        <f>W16*X16</f>
        <v/>
      </c>
      <c r="AA16" s="160">
        <f>AA15+1</f>
        <v/>
      </c>
      <c r="AB16" s="220" t="inlineStr">
        <is>
          <t>Veloce Fork Movement</t>
        </is>
      </c>
      <c r="AC16" s="220" t="n"/>
      <c r="AD16" s="221">
        <f>IFERROR(VLOOKUP(AB16,'Master List'!$A:$D,2,0),0)</f>
        <v/>
      </c>
      <c r="AE16" s="221">
        <f>IFERROR(VLOOKUP(AB16,'Master List'!$A:$D,3,0),0)</f>
        <v/>
      </c>
      <c r="AF16" s="221">
        <f>IFERROR(VLOOKUP(AB16,'Master List'!$A:$D,4,0),0)</f>
        <v/>
      </c>
      <c r="AG16" s="221" t="n"/>
      <c r="AH16" s="221">
        <f>IFERROR(AE16/AF16,0)</f>
        <v/>
      </c>
      <c r="AI16" s="221">
        <f>IFERROR(IF(AG16&lt;((1/2*AF16*AH16^2)*2),1/2*AF16*SQRT((AG16/2)*2/AF16)^2,1/2*AF16*AH16^2),0)</f>
        <v/>
      </c>
      <c r="AJ16" s="221">
        <f>IFERROR(IF(AG16-AI16-AK16&lt;=0,0,AG16-AI16-AK16),0)</f>
        <v/>
      </c>
      <c r="AK16" s="221">
        <f>AI16</f>
        <v/>
      </c>
      <c r="AL16" s="221">
        <f>IFERROR(IF(AG16&lt;((1/2*AF16*AH16^2)*2),SQRT((AG16/2)*2/AF16),AH16),0)</f>
        <v/>
      </c>
      <c r="AM16" s="221">
        <f>IFERROR(AJ16/AE16,0)</f>
        <v/>
      </c>
      <c r="AN16" s="221">
        <f>AL16</f>
        <v/>
      </c>
      <c r="AO16" s="221">
        <f>IF(AD16&gt;0,AD16,SUM(AL16:AN16))</f>
        <v/>
      </c>
      <c r="AP16" s="221">
        <f>AP15</f>
        <v/>
      </c>
      <c r="AQ16" s="221">
        <f>AO16*AP16</f>
        <v/>
      </c>
      <c r="AS16" s="160">
        <f>AS15+1</f>
        <v/>
      </c>
      <c r="AT16" s="220" t="inlineStr">
        <is>
          <t>Veloce Fork Movement</t>
        </is>
      </c>
      <c r="AU16" s="220" t="n"/>
      <c r="AV16" s="221">
        <f>IFERROR(VLOOKUP(AT16,'Master List'!$A:$D,2,0),0)</f>
        <v/>
      </c>
      <c r="AW16" s="221">
        <f>IFERROR(VLOOKUP(AT16,'Master List'!$A:$D,3,0),0)</f>
        <v/>
      </c>
      <c r="AX16" s="221">
        <f>IFERROR(VLOOKUP(AT16,'Master List'!$A:$D,4,0),0)</f>
        <v/>
      </c>
      <c r="AY16" s="221" t="n"/>
      <c r="AZ16" s="221">
        <f>IFERROR(AW16/AX16,0)</f>
        <v/>
      </c>
      <c r="BA16" s="221">
        <f>IFERROR(IF(AY16&lt;((1/2*AX16*AZ16^2)*2),1/2*AX16*SQRT((AY16/2)*2/AX16)^2,1/2*AX16*AZ16^2),0)</f>
        <v/>
      </c>
      <c r="BB16" s="221">
        <f>IFERROR(IF(AY16-BA16-BC16&lt;=0,0,AY16-BA16-BC16),0)</f>
        <v/>
      </c>
      <c r="BC16" s="221">
        <f>BA16</f>
        <v/>
      </c>
      <c r="BD16" s="221">
        <f>IFERROR(IF(AY16&lt;((1/2*AX16*AZ16^2)*2),SQRT((AY16/2)*2/AX16),AZ16),0)</f>
        <v/>
      </c>
      <c r="BE16" s="221">
        <f>IFERROR(BB16/AW16,0)</f>
        <v/>
      </c>
      <c r="BF16" s="221">
        <f>BD16</f>
        <v/>
      </c>
      <c r="BG16" s="221">
        <f>IF(AV16&gt;0,AV16,SUM(BD16:BF16))</f>
        <v/>
      </c>
      <c r="BH16" s="221">
        <f>BH15</f>
        <v/>
      </c>
      <c r="BI16" s="221">
        <f>BG16*BH16</f>
        <v/>
      </c>
      <c r="BK16" s="160">
        <f>BK15+1</f>
        <v/>
      </c>
      <c r="BL16" s="220" t="inlineStr">
        <is>
          <t>Veloce Fork Movement</t>
        </is>
      </c>
      <c r="BM16" s="220" t="n"/>
      <c r="BN16" s="221">
        <f>IFERROR(VLOOKUP(BL16,'Master List'!$A:$D,2,0),0)</f>
        <v/>
      </c>
      <c r="BO16" s="221">
        <f>IFERROR(VLOOKUP(BL16,'Master List'!$A:$D,3,0),0)</f>
        <v/>
      </c>
      <c r="BP16" s="221">
        <f>IFERROR(VLOOKUP(BL16,'Master List'!$A:$D,4,0),0)</f>
        <v/>
      </c>
      <c r="BQ16" s="221" t="n"/>
      <c r="BR16" s="221">
        <f>IFERROR(BO16/BP16,0)</f>
        <v/>
      </c>
      <c r="BS16" s="221">
        <f>IFERROR(IF(BQ16&lt;((1/2*BP16*BR16^2)*2),1/2*BP16*SQRT((BQ16/2)*2/BP16)^2,1/2*BP16*BR16^2),0)</f>
        <v/>
      </c>
      <c r="BT16" s="221">
        <f>IFERROR(IF(BQ16-BS16-BU16&lt;=0,0,BQ16-BS16-BU16),0)</f>
        <v/>
      </c>
      <c r="BU16" s="221">
        <f>BS16</f>
        <v/>
      </c>
      <c r="BV16" s="221">
        <f>IFERROR(IF(BQ16&lt;((1/2*BP16*BR16^2)*2),SQRT((BQ16/2)*2/BP16),BR16),0)</f>
        <v/>
      </c>
      <c r="BW16" s="221">
        <f>IFERROR(BT16/BO16,0)</f>
        <v/>
      </c>
      <c r="BX16" s="221">
        <f>BV16</f>
        <v/>
      </c>
      <c r="BY16" s="221">
        <f>IF(BN16&gt;0,BN16,SUM(BV16:BX16))</f>
        <v/>
      </c>
      <c r="BZ16" s="221">
        <f>BZ15</f>
        <v/>
      </c>
      <c r="CA16" s="221">
        <f>BY16*BZ16</f>
        <v/>
      </c>
      <c r="CC16" s="148" t="n">
        <v>3</v>
      </c>
    </row>
    <row r="17">
      <c r="I17" s="160">
        <f>I16+1</f>
        <v/>
      </c>
      <c r="J17" s="220" t="inlineStr">
        <is>
          <t>Veloce Horizontal Running Loaded</t>
        </is>
      </c>
      <c r="K17" s="255" t="inlineStr">
        <is>
          <t>Movement to next pick/ put location</t>
        </is>
      </c>
      <c r="L17" s="221">
        <f>IFERROR(VLOOKUP(J17,'Master List'!$A:$D,2,0),0)</f>
        <v/>
      </c>
      <c r="M17" s="221">
        <f>IFERROR(VLOOKUP(J17,'Master List'!$A:$D,3,0),0)</f>
        <v/>
      </c>
      <c r="N17" s="221">
        <f>IFERROR(VLOOKUP(J17,'Master List'!$A:$D,4,0),0)</f>
        <v/>
      </c>
      <c r="O17" s="221">
        <f>$F$19</f>
        <v/>
      </c>
      <c r="P17" s="221">
        <f>IFERROR(M17/N17,0)</f>
        <v/>
      </c>
      <c r="Q17" s="221">
        <f>IFERROR(IF(O17&lt;((1/2*N17*P17^2)*2),1/2*N17*SQRT((O17/2)*2/N17)^2,1/2*N17*P17^2),0)</f>
        <v/>
      </c>
      <c r="R17" s="221">
        <f>IFERROR(IF(O17-Q17-S17&lt;=0,0,O17-Q17-S17),0)</f>
        <v/>
      </c>
      <c r="S17" s="221">
        <f>Q17</f>
        <v/>
      </c>
      <c r="T17" s="221">
        <f>IFERROR(IF(O17&lt;((1/2*N17*P17^2)*2),SQRT((O17/2)*2/N17),P17),0)</f>
        <v/>
      </c>
      <c r="U17" s="221">
        <f>IFERROR(R17/M17,0)</f>
        <v/>
      </c>
      <c r="V17" s="221">
        <f>T17</f>
        <v/>
      </c>
      <c r="W17" s="221">
        <f>IF(L17&gt;0,L17,SUM(T17:V17))</f>
        <v/>
      </c>
      <c r="X17" s="221">
        <f>X14-1</f>
        <v/>
      </c>
      <c r="Y17" s="221">
        <f>W17*X17</f>
        <v/>
      </c>
      <c r="AA17" s="160">
        <f>AA16+1</f>
        <v/>
      </c>
      <c r="AB17" s="220" t="inlineStr">
        <is>
          <t>Veloce Horizontal Running Loaded</t>
        </is>
      </c>
      <c r="AC17" s="220" t="n"/>
      <c r="AD17" s="221">
        <f>IFERROR(VLOOKUP(AB17,'Master List'!$A:$D,2,0),0)</f>
        <v/>
      </c>
      <c r="AE17" s="221">
        <f>IFERROR(VLOOKUP(AB17,'Master List'!$A:$D,3,0),0)</f>
        <v/>
      </c>
      <c r="AF17" s="221">
        <f>IFERROR(VLOOKUP(AB17,'Master List'!$A:$D,4,0),0)</f>
        <v/>
      </c>
      <c r="AG17" s="221">
        <f>F20</f>
        <v/>
      </c>
      <c r="AH17" s="221">
        <f>IFERROR(AE17/AF17,0)</f>
        <v/>
      </c>
      <c r="AI17" s="221">
        <f>IFERROR(IF(AG17&lt;((1/2*AF17*AH17^2)*2),1/2*AF17*SQRT((AG17/2)*2/AF17)^2,1/2*AF17*AH17^2),0)</f>
        <v/>
      </c>
      <c r="AJ17" s="221">
        <f>IFERROR(IF(AG17-AI17-AK17&lt;=0,0,AG17-AI17-AK17),0)</f>
        <v/>
      </c>
      <c r="AK17" s="221">
        <f>AI17</f>
        <v/>
      </c>
      <c r="AL17" s="221">
        <f>IFERROR(IF(AG17&lt;((1/2*AF17*AH17^2)*2),SQRT((AG17/2)*2/AF17),AH17),0)</f>
        <v/>
      </c>
      <c r="AM17" s="221">
        <f>IFERROR(AJ17/AE17,0)</f>
        <v/>
      </c>
      <c r="AN17" s="221">
        <f>AL17</f>
        <v/>
      </c>
      <c r="AO17" s="221">
        <f>IF(AD17&gt;0,AD17,SUM(AL17:AN17))</f>
        <v/>
      </c>
      <c r="AP17" s="221">
        <f>AP14-1</f>
        <v/>
      </c>
      <c r="AQ17" s="221">
        <f>AO17*AP17</f>
        <v/>
      </c>
      <c r="AS17" s="160">
        <f>AS16+1</f>
        <v/>
      </c>
      <c r="AT17" s="220" t="inlineStr">
        <is>
          <t>Veloce Horizontal Running Loaded</t>
        </is>
      </c>
      <c r="AU17" s="220" t="n"/>
      <c r="AV17" s="221">
        <f>IFERROR(VLOOKUP(AT17,'Master List'!$A:$D,2,0),0)</f>
        <v/>
      </c>
      <c r="AW17" s="221">
        <f>IFERROR(VLOOKUP(AT17,'Master List'!$A:$D,3,0),0)</f>
        <v/>
      </c>
      <c r="AX17" s="221">
        <f>IFERROR(VLOOKUP(AT17,'Master List'!$A:$D,4,0),0)</f>
        <v/>
      </c>
      <c r="AY17" s="221">
        <f>F21</f>
        <v/>
      </c>
      <c r="AZ17" s="221">
        <f>IFERROR(AW17/AX17,0)</f>
        <v/>
      </c>
      <c r="BA17" s="221">
        <f>IFERROR(IF(AY17&lt;((1/2*AX17*AZ17^2)*2),1/2*AX17*SQRT((AY17/2)*2/AX17)^2,1/2*AX17*AZ17^2),0)</f>
        <v/>
      </c>
      <c r="BB17" s="221">
        <f>IFERROR(IF(AY17-BA17-BC17&lt;=0,0,AY17-BA17-BC17),0)</f>
        <v/>
      </c>
      <c r="BC17" s="221">
        <f>BA17</f>
        <v/>
      </c>
      <c r="BD17" s="221">
        <f>IFERROR(IF(AY17&lt;((1/2*AX17*AZ17^2)*2),SQRT((AY17/2)*2/AX17),AZ17),0)</f>
        <v/>
      </c>
      <c r="BE17" s="221">
        <f>IFERROR(BB17/AW17,0)</f>
        <v/>
      </c>
      <c r="BF17" s="221">
        <f>BD17</f>
        <v/>
      </c>
      <c r="BG17" s="221">
        <f>IF(AV17&gt;0,AV17,SUM(BD17:BF17))</f>
        <v/>
      </c>
      <c r="BH17" s="221">
        <f>BH14-1</f>
        <v/>
      </c>
      <c r="BI17" s="221">
        <f>BG17*BH17</f>
        <v/>
      </c>
      <c r="BK17" s="160">
        <f>BK16+1</f>
        <v/>
      </c>
      <c r="BL17" s="220" t="inlineStr">
        <is>
          <t>Veloce Horizontal Running Loaded</t>
        </is>
      </c>
      <c r="BM17" s="220" t="n"/>
      <c r="BN17" s="221">
        <f>IFERROR(VLOOKUP(BL17,'Master List'!$A:$D,2,0),0)</f>
        <v/>
      </c>
      <c r="BO17" s="221">
        <f>IFERROR(VLOOKUP(BL17,'Master List'!$A:$D,3,0),0)</f>
        <v/>
      </c>
      <c r="BP17" s="221">
        <f>IFERROR(VLOOKUP(BL17,'Master List'!$A:$D,4,0),0)</f>
        <v/>
      </c>
      <c r="BQ17" s="221">
        <f>F22</f>
        <v/>
      </c>
      <c r="BR17" s="221">
        <f>IFERROR(BO17/BP17,0)</f>
        <v/>
      </c>
      <c r="BS17" s="221">
        <f>IFERROR(IF(BQ17&lt;((1/2*BP17*BR17^2)*2),1/2*BP17*SQRT((BQ17/2)*2/BP17)^2,1/2*BP17*BR17^2),0)</f>
        <v/>
      </c>
      <c r="BT17" s="221">
        <f>IFERROR(IF(BQ17-BS17-BU17&lt;=0,0,BQ17-BS17-BU17),0)</f>
        <v/>
      </c>
      <c r="BU17" s="221">
        <f>BS17</f>
        <v/>
      </c>
      <c r="BV17" s="221">
        <f>IFERROR(IF(BQ17&lt;((1/2*BP17*BR17^2)*2),SQRT((BQ17/2)*2/BP17),BR17),0)</f>
        <v/>
      </c>
      <c r="BW17" s="221">
        <f>IFERROR(BT17/BO17,0)</f>
        <v/>
      </c>
      <c r="BX17" s="221">
        <f>BV17</f>
        <v/>
      </c>
      <c r="BY17" s="221">
        <f>IF(BN17&gt;0,BN17,SUM(BV17:BX17))</f>
        <v/>
      </c>
      <c r="BZ17" s="221">
        <f>BZ14-1</f>
        <v/>
      </c>
      <c r="CA17" s="221">
        <f>BY17*BZ17</f>
        <v/>
      </c>
      <c r="CC17" s="148" t="n">
        <v>0</v>
      </c>
    </row>
    <row r="18" ht="45" customHeight="1" s="516">
      <c r="A18" s="33" t="n"/>
      <c r="B18" s="51" t="inlineStr">
        <is>
          <t>% length travelled to first pick or put</t>
        </is>
      </c>
      <c r="C18" s="51" t="inlineStr">
        <is>
          <t># Turns (One side to reach first pick/ put location))</t>
        </is>
      </c>
      <c r="D18" s="34" t="inlineStr">
        <is>
          <t>Cycles/ Hr</t>
        </is>
      </c>
      <c r="E18" s="34" t="inlineStr">
        <is>
          <t>Weightage</t>
        </is>
      </c>
      <c r="F18" s="51" t="inlineStr">
        <is>
          <t>Subsequent Distance travel for next pick/put in combined cycle M</t>
        </is>
      </c>
      <c r="G18" s="51" t="inlineStr">
        <is>
          <t>Totes/ Cases per Hr</t>
        </is>
      </c>
      <c r="I18" s="160">
        <f>I17+1</f>
        <v/>
      </c>
      <c r="J18" s="220" t="inlineStr">
        <is>
          <t>Veloce 90 degree Turn</t>
        </is>
      </c>
      <c r="K18" s="255" t="inlineStr">
        <is>
          <t>Total turning points</t>
        </is>
      </c>
      <c r="L18" s="221">
        <f>IFERROR(VLOOKUP(J18,'Master List'!$A:$D,2,0),0)</f>
        <v/>
      </c>
      <c r="M18" s="221">
        <f>IFERROR(VLOOKUP(J18,'Master List'!$A:$D,3,0),0)</f>
        <v/>
      </c>
      <c r="N18" s="221">
        <f>IFERROR(VLOOKUP(J18,'Master List'!$A:$D,4,0),0)</f>
        <v/>
      </c>
      <c r="O18" s="221" t="n"/>
      <c r="P18" s="221">
        <f>IFERROR(M18/N18,0)</f>
        <v/>
      </c>
      <c r="Q18" s="221">
        <f>IFERROR(IF(O18&lt;((1/2*N18*P18^2)*2),1/2*N18*SQRT((O18/2)*2/N18)^2,1/2*N18*P18^2),0)</f>
        <v/>
      </c>
      <c r="R18" s="221">
        <f>IFERROR(IF(O18-Q18-S18&lt;=0,0,O18-Q18-S18),0)</f>
        <v/>
      </c>
      <c r="S18" s="221">
        <f>Q18</f>
        <v/>
      </c>
      <c r="T18" s="221">
        <f>IFERROR(IF(O18&lt;((1/2*N18*P18^2)*2),SQRT((O18/2)*2/N18),P18),0)</f>
        <v/>
      </c>
      <c r="U18" s="221">
        <f>IFERROR(R18/M18,0)</f>
        <v/>
      </c>
      <c r="V18" s="221">
        <f>T18</f>
        <v/>
      </c>
      <c r="W18" s="221">
        <f>IF(L18&gt;0,L18,SUM(T18:V18))</f>
        <v/>
      </c>
      <c r="X18" s="221">
        <f>$C$19*2</f>
        <v/>
      </c>
      <c r="Y18" s="221">
        <f>W18*X18</f>
        <v/>
      </c>
      <c r="AA18" s="160">
        <f>AA17+1</f>
        <v/>
      </c>
      <c r="AB18" s="220" t="inlineStr">
        <is>
          <t>Veloce 90 degree Turn</t>
        </is>
      </c>
      <c r="AC18" s="220" t="n"/>
      <c r="AD18" s="221">
        <f>IFERROR(VLOOKUP(AB18,'Master List'!$A:$D,2,0),0)</f>
        <v/>
      </c>
      <c r="AE18" s="221">
        <f>IFERROR(VLOOKUP(AB18,'Master List'!$A:$D,3,0),0)</f>
        <v/>
      </c>
      <c r="AF18" s="221">
        <f>IFERROR(VLOOKUP(AB18,'Master List'!$A:$D,4,0),0)</f>
        <v/>
      </c>
      <c r="AG18" s="221" t="n"/>
      <c r="AH18" s="221">
        <f>IFERROR(AE18/AF18,0)</f>
        <v/>
      </c>
      <c r="AI18" s="221">
        <f>IFERROR(IF(AG18&lt;((1/2*AF18*AH18^2)*2),1/2*AF18*SQRT((AG18/2)*2/AF18)^2,1/2*AF18*AH18^2),0)</f>
        <v/>
      </c>
      <c r="AJ18" s="221">
        <f>IFERROR(IF(AG18-AI18-AK18&lt;=0,0,AG18-AI18-AK18),0)</f>
        <v/>
      </c>
      <c r="AK18" s="221">
        <f>AI18</f>
        <v/>
      </c>
      <c r="AL18" s="221">
        <f>IFERROR(IF(AG18&lt;((1/2*AF18*AH18^2)*2),SQRT((AG18/2)*2/AF18),AH18),0)</f>
        <v/>
      </c>
      <c r="AM18" s="221">
        <f>IFERROR(AJ18/AE18,0)</f>
        <v/>
      </c>
      <c r="AN18" s="221">
        <f>AL18</f>
        <v/>
      </c>
      <c r="AO18" s="221">
        <f>IF(AD18&gt;0,AD18,SUM(AL18:AN18))</f>
        <v/>
      </c>
      <c r="AP18" s="221">
        <f>$C$20*2</f>
        <v/>
      </c>
      <c r="AQ18" s="221">
        <f>AO18*AP18</f>
        <v/>
      </c>
      <c r="AS18" s="160">
        <f>AS17+1</f>
        <v/>
      </c>
      <c r="AT18" s="220" t="inlineStr">
        <is>
          <t>Veloce 90 degree Turn</t>
        </is>
      </c>
      <c r="AU18" s="220" t="n"/>
      <c r="AV18" s="221">
        <f>IFERROR(VLOOKUP(AT18,'Master List'!$A:$D,2,0),0)</f>
        <v/>
      </c>
      <c r="AW18" s="221">
        <f>IFERROR(VLOOKUP(AT18,'Master List'!$A:$D,3,0),0)</f>
        <v/>
      </c>
      <c r="AX18" s="221">
        <f>IFERROR(VLOOKUP(AT18,'Master List'!$A:$D,4,0),0)</f>
        <v/>
      </c>
      <c r="AY18" s="221" t="n"/>
      <c r="AZ18" s="221">
        <f>IFERROR(AW18/AX18,0)</f>
        <v/>
      </c>
      <c r="BA18" s="221">
        <f>IFERROR(IF(AY18&lt;((1/2*AX18*AZ18^2)*2),1/2*AX18*SQRT((AY18/2)*2/AX18)^2,1/2*AX18*AZ18^2),0)</f>
        <v/>
      </c>
      <c r="BB18" s="221">
        <f>IFERROR(IF(AY18-BA18-BC18&lt;=0,0,AY18-BA18-BC18),0)</f>
        <v/>
      </c>
      <c r="BC18" s="221">
        <f>BA18</f>
        <v/>
      </c>
      <c r="BD18" s="221">
        <f>IFERROR(IF(AY18&lt;((1/2*AX18*AZ18^2)*2),SQRT((AY18/2)*2/AX18),AZ18),0)</f>
        <v/>
      </c>
      <c r="BE18" s="221">
        <f>IFERROR(BB18/AW18,0)</f>
        <v/>
      </c>
      <c r="BF18" s="221">
        <f>BD18</f>
        <v/>
      </c>
      <c r="BG18" s="221">
        <f>IF(AV18&gt;0,AV18,SUM(BD18:BF18))</f>
        <v/>
      </c>
      <c r="BH18" s="221">
        <f>$C$21*2</f>
        <v/>
      </c>
      <c r="BI18" s="221">
        <f>BG18*BH18</f>
        <v/>
      </c>
      <c r="BK18" s="160">
        <f>BK17+1</f>
        <v/>
      </c>
      <c r="BL18" s="220" t="inlineStr">
        <is>
          <t>Veloce 90 degree Turn</t>
        </is>
      </c>
      <c r="BM18" s="220" t="n"/>
      <c r="BN18" s="221">
        <f>IFERROR(VLOOKUP(BL18,'Master List'!$A:$D,2,0),0)</f>
        <v/>
      </c>
      <c r="BO18" s="221">
        <f>IFERROR(VLOOKUP(BL18,'Master List'!$A:$D,3,0),0)</f>
        <v/>
      </c>
      <c r="BP18" s="221">
        <f>IFERROR(VLOOKUP(BL18,'Master List'!$A:$D,4,0),0)</f>
        <v/>
      </c>
      <c r="BQ18" s="221" t="n"/>
      <c r="BR18" s="221">
        <f>IFERROR(BO18/BP18,0)</f>
        <v/>
      </c>
      <c r="BS18" s="221">
        <f>IFERROR(IF(BQ18&lt;((1/2*BP18*BR18^2)*2),1/2*BP18*SQRT((BQ18/2)*2/BP18)^2,1/2*BP18*BR18^2),0)</f>
        <v/>
      </c>
      <c r="BT18" s="221">
        <f>IFERROR(IF(BQ18-BS18-BU18&lt;=0,0,BQ18-BS18-BU18),0)</f>
        <v/>
      </c>
      <c r="BU18" s="221">
        <f>BS18</f>
        <v/>
      </c>
      <c r="BV18" s="221">
        <f>IFERROR(IF(BQ18&lt;((1/2*BP18*BR18^2)*2),SQRT((BQ18/2)*2/BP18),BR18),0)</f>
        <v/>
      </c>
      <c r="BW18" s="221">
        <f>IFERROR(BT18/BO18,0)</f>
        <v/>
      </c>
      <c r="BX18" s="221">
        <f>BV18</f>
        <v/>
      </c>
      <c r="BY18" s="221">
        <f>IF(BN18&gt;0,BN18,SUM(BV18:BX18))</f>
        <v/>
      </c>
      <c r="BZ18" s="221">
        <f>$C$22*2</f>
        <v/>
      </c>
      <c r="CA18" s="221">
        <f>BY18*BZ18</f>
        <v/>
      </c>
      <c r="CC18" s="148" t="n">
        <v>4</v>
      </c>
      <c r="CE18" s="69" t="n"/>
    </row>
    <row r="19">
      <c r="A19" s="33">
        <f>"Combined cycle - Near "&amp;B19&amp;" m"</f>
        <v/>
      </c>
      <c r="B19" s="533">
        <f>($B$14*5%)+($B$15*5%)</f>
        <v/>
      </c>
      <c r="C19" s="38" t="n">
        <v>6</v>
      </c>
      <c r="D19" s="42">
        <f>Y6</f>
        <v/>
      </c>
      <c r="E19" s="36" t="n">
        <v>0.1</v>
      </c>
      <c r="F19" s="560">
        <f>IF($B$31="Default",$B$30*6,$B$32)</f>
        <v/>
      </c>
      <c r="G19" s="42">
        <f>D19*$B$25*2</f>
        <v/>
      </c>
      <c r="I19" s="160">
        <f>I18+1</f>
        <v/>
      </c>
      <c r="J19" s="220" t="inlineStr">
        <is>
          <t>Veloce Horizontal Running Loaded</t>
        </is>
      </c>
      <c r="K19" s="255" t="inlineStr">
        <is>
          <t>Distance between GTP station to dock loading station</t>
        </is>
      </c>
      <c r="L19" s="221">
        <f>IFERROR(VLOOKUP(J19,'Master List'!$A:$D,2,0),0)</f>
        <v/>
      </c>
      <c r="M19" s="221">
        <f>IFERROR(VLOOKUP(J19,'Master List'!$A:$D,3,0),0)</f>
        <v/>
      </c>
      <c r="N19" s="221">
        <f>IFERROR(VLOOKUP(J19,'Master List'!$A:$D,4,0),0)</f>
        <v/>
      </c>
      <c r="O19" s="221">
        <f>$B$26</f>
        <v/>
      </c>
      <c r="P19" s="221">
        <f>IFERROR(M19/N19,0)</f>
        <v/>
      </c>
      <c r="Q19" s="221">
        <f>IFERROR(IF(O19&lt;((1/2*N19*P19^2)*2),1/2*N19*SQRT((O19/2)*2/N19)^2,1/2*N19*P19^2),0)</f>
        <v/>
      </c>
      <c r="R19" s="221">
        <f>IFERROR(IF(O19-Q19-S19&lt;=0,0,O19-Q19-S19),0)</f>
        <v/>
      </c>
      <c r="S19" s="221">
        <f>Q19</f>
        <v/>
      </c>
      <c r="T19" s="221">
        <f>IFERROR(IF(O19&lt;((1/2*N19*P19^2)*2),SQRT((O19/2)*2/N19),P19),0)</f>
        <v/>
      </c>
      <c r="U19" s="221">
        <f>IFERROR(R19/M19,0)</f>
        <v/>
      </c>
      <c r="V19" s="221">
        <f>T19</f>
        <v/>
      </c>
      <c r="W19" s="221">
        <f>IF(L19&gt;0,L19,SUM(T19:V19))</f>
        <v/>
      </c>
      <c r="X19" s="221" t="n">
        <v>1</v>
      </c>
      <c r="Y19" s="221">
        <f>W19*X19</f>
        <v/>
      </c>
      <c r="AA19" s="160">
        <f>AA18+1</f>
        <v/>
      </c>
      <c r="AB19" s="220" t="inlineStr">
        <is>
          <t>Veloce Horizontal Running Loaded</t>
        </is>
      </c>
      <c r="AC19" s="220" t="inlineStr">
        <is>
          <t>Distance between GTP station to dock loading station</t>
        </is>
      </c>
      <c r="AD19" s="221">
        <f>IFERROR(VLOOKUP(AB19,'Master List'!$A:$D,2,0),0)</f>
        <v/>
      </c>
      <c r="AE19" s="221">
        <f>IFERROR(VLOOKUP(AB19,'Master List'!$A:$D,3,0),0)</f>
        <v/>
      </c>
      <c r="AF19" s="221">
        <f>IFERROR(VLOOKUP(AB19,'Master List'!$A:$D,4,0),0)</f>
        <v/>
      </c>
      <c r="AG19" s="221">
        <f>$B$26</f>
        <v/>
      </c>
      <c r="AH19" s="221">
        <f>IFERROR(AE19/AF19,0)</f>
        <v/>
      </c>
      <c r="AI19" s="221">
        <f>IFERROR(IF(AG19&lt;((1/2*AF19*AH19^2)*2),1/2*AF19*SQRT((AG19/2)*2/AF19)^2,1/2*AF19*AH19^2),0)</f>
        <v/>
      </c>
      <c r="AJ19" s="221">
        <f>IFERROR(IF(AG19-AI19-AK19&lt;=0,0,AG19-AI19-AK19),0)</f>
        <v/>
      </c>
      <c r="AK19" s="221">
        <f>AI19</f>
        <v/>
      </c>
      <c r="AL19" s="221">
        <f>IFERROR(IF(AG19&lt;((1/2*AF19*AH19^2)*2),SQRT((AG19/2)*2/AF19),AH19),0)</f>
        <v/>
      </c>
      <c r="AM19" s="221">
        <f>IFERROR(AJ19/AE19,0)</f>
        <v/>
      </c>
      <c r="AN19" s="221">
        <f>AL19</f>
        <v/>
      </c>
      <c r="AO19" s="221">
        <f>IF(AD19&gt;0,AD19,SUM(AL19:AN19))</f>
        <v/>
      </c>
      <c r="AP19" s="221" t="n">
        <v>1</v>
      </c>
      <c r="AQ19" s="221">
        <f>AO19*AP19</f>
        <v/>
      </c>
      <c r="AS19" s="160">
        <f>AS18+1</f>
        <v/>
      </c>
      <c r="AT19" s="220" t="inlineStr">
        <is>
          <t>Veloce Horizontal Running Loaded</t>
        </is>
      </c>
      <c r="AU19" s="220" t="inlineStr">
        <is>
          <t>Distance between GTP station to dock loading station</t>
        </is>
      </c>
      <c r="AV19" s="221">
        <f>IFERROR(VLOOKUP(AT19,'Master List'!$A:$D,2,0),0)</f>
        <v/>
      </c>
      <c r="AW19" s="221">
        <f>IFERROR(VLOOKUP(AT19,'Master List'!$A:$D,3,0),0)</f>
        <v/>
      </c>
      <c r="AX19" s="221">
        <f>IFERROR(VLOOKUP(AT19,'Master List'!$A:$D,4,0),0)</f>
        <v/>
      </c>
      <c r="AY19" s="221">
        <f>$B$26</f>
        <v/>
      </c>
      <c r="AZ19" s="221">
        <f>IFERROR(AW19/AX19,0)</f>
        <v/>
      </c>
      <c r="BA19" s="221">
        <f>IFERROR(IF(AY19&lt;((1/2*AX19*AZ19^2)*2),1/2*AX19*SQRT((AY19/2)*2/AX19)^2,1/2*AX19*AZ19^2),0)</f>
        <v/>
      </c>
      <c r="BB19" s="221">
        <f>IFERROR(IF(AY19-BA19-BC19&lt;=0,0,AY19-BA19-BC19),0)</f>
        <v/>
      </c>
      <c r="BC19" s="221">
        <f>BA19</f>
        <v/>
      </c>
      <c r="BD19" s="221">
        <f>IFERROR(IF(AY19&lt;((1/2*AX19*AZ19^2)*2),SQRT((AY19/2)*2/AX19),AZ19),0)</f>
        <v/>
      </c>
      <c r="BE19" s="221">
        <f>IFERROR(BB19/AW19,0)</f>
        <v/>
      </c>
      <c r="BF19" s="221">
        <f>BD19</f>
        <v/>
      </c>
      <c r="BG19" s="221">
        <f>IF(AV19&gt;0,AV19,SUM(BD19:BF19))</f>
        <v/>
      </c>
      <c r="BH19" s="221" t="n">
        <v>1</v>
      </c>
      <c r="BI19" s="221">
        <f>BG19*BH19</f>
        <v/>
      </c>
      <c r="BK19" s="160">
        <f>BK18+1</f>
        <v/>
      </c>
      <c r="BL19" s="220" t="inlineStr">
        <is>
          <t>Veloce Horizontal Running Loaded</t>
        </is>
      </c>
      <c r="BM19" s="220" t="inlineStr">
        <is>
          <t>Distance between GTP station to dock loading station</t>
        </is>
      </c>
      <c r="BN19" s="221">
        <f>IFERROR(VLOOKUP(BL19,'Master List'!$A:$D,2,0),0)</f>
        <v/>
      </c>
      <c r="BO19" s="221">
        <f>IFERROR(VLOOKUP(BL19,'Master List'!$A:$D,3,0),0)</f>
        <v/>
      </c>
      <c r="BP19" s="221">
        <f>IFERROR(VLOOKUP(BL19,'Master List'!$A:$D,4,0),0)</f>
        <v/>
      </c>
      <c r="BQ19" s="221">
        <f>$B$26</f>
        <v/>
      </c>
      <c r="BR19" s="221">
        <f>IFERROR(BO19/BP19,0)</f>
        <v/>
      </c>
      <c r="BS19" s="221">
        <f>IFERROR(IF(BQ19&lt;((1/2*BP19*BR19^2)*2),1/2*BP19*SQRT((BQ19/2)*2/BP19)^2,1/2*BP19*BR19^2),0)</f>
        <v/>
      </c>
      <c r="BT19" s="221">
        <f>IFERROR(IF(BQ19-BS19-BU19&lt;=0,0,BQ19-BS19-BU19),0)</f>
        <v/>
      </c>
      <c r="BU19" s="221">
        <f>BS19</f>
        <v/>
      </c>
      <c r="BV19" s="221">
        <f>IFERROR(IF(BQ19&lt;((1/2*BP19*BR19^2)*2),SQRT((BQ19/2)*2/BP19),BR19),0)</f>
        <v/>
      </c>
      <c r="BW19" s="221">
        <f>IFERROR(BT19/BO19,0)</f>
        <v/>
      </c>
      <c r="BX19" s="221">
        <f>BV19</f>
        <v/>
      </c>
      <c r="BY19" s="221">
        <f>IF(BN19&gt;0,BN19,SUM(BV19:BX19))</f>
        <v/>
      </c>
      <c r="BZ19" s="221" t="n">
        <v>1</v>
      </c>
      <c r="CA19" s="221">
        <f>BY19*BZ19</f>
        <v/>
      </c>
      <c r="CC19" s="148" t="n">
        <v>0</v>
      </c>
      <c r="CE19" s="69" t="n"/>
    </row>
    <row r="20" ht="47" customHeight="1" s="516">
      <c r="A20" s="33">
        <f>"Combined cycle - Mid "&amp;B20&amp;" m"</f>
        <v/>
      </c>
      <c r="B20" s="533">
        <f>($B$14*30%)+($B$15*30%)</f>
        <v/>
      </c>
      <c r="C20" s="38" t="n">
        <v>6</v>
      </c>
      <c r="D20" s="42">
        <f>AQ6</f>
        <v/>
      </c>
      <c r="E20" s="36" t="n">
        <v>0.4</v>
      </c>
      <c r="F20" s="560">
        <f>IF($B$31="Default",$B$30*6,$B$32)</f>
        <v/>
      </c>
      <c r="G20" s="42">
        <f>D20*$B$25*2</f>
        <v/>
      </c>
      <c r="I20" s="160">
        <f>I19+1</f>
        <v/>
      </c>
      <c r="J20" s="255" t="inlineStr">
        <is>
          <t>Time taken by Veloce to complete one Pick/ Drop cycle with 
Veloce Tower</t>
        </is>
      </c>
      <c r="K20" s="255" t="inlineStr">
        <is>
          <t>Time taken by Veloce to complete one Pick/ Drop cycle with 
Veloce Tower</t>
        </is>
      </c>
      <c r="L20" s="163">
        <f>IFERROR(VLOOKUP(J20,'Master List'!$A:$D,2,0),0)</f>
        <v/>
      </c>
      <c r="M20" s="163">
        <f>IFERROR(VLOOKUP(J20,'Master List'!$A:$D,3,0),0)</f>
        <v/>
      </c>
      <c r="N20" s="163">
        <f>IFERROR(VLOOKUP(J20,'Master List'!$A:$D,4,0),0)</f>
        <v/>
      </c>
      <c r="O20" s="163" t="n"/>
      <c r="P20" s="163">
        <f>IFERROR(M20/N20,0)</f>
        <v/>
      </c>
      <c r="Q20" s="163">
        <f>IFERROR(IF(O20&lt;((1/2*N20*P20^2)*2),1/2*N20*SQRT((O20/2)*2/N20)^2,1/2*N20*P20^2),0)</f>
        <v/>
      </c>
      <c r="R20" s="163">
        <f>IFERROR(IF(O20-Q20-S20&lt;=0,0,O20-Q20-S20),0)</f>
        <v/>
      </c>
      <c r="S20" s="163">
        <f>Q20</f>
        <v/>
      </c>
      <c r="T20" s="163">
        <f>IFERROR(IF(O20&lt;((1/2*N20*P20^2)*2),SQRT((O20/2)*2/N20),P20),0)</f>
        <v/>
      </c>
      <c r="U20" s="163">
        <f>IFERROR(R20/M20,0)</f>
        <v/>
      </c>
      <c r="V20" s="163">
        <f>T20</f>
        <v/>
      </c>
      <c r="W20" s="163">
        <f>IF(L20&gt;0,L20,SUM(T20:V20))</f>
        <v/>
      </c>
      <c r="X20" s="163">
        <f>IF(B24="Yes",2,0)</f>
        <v/>
      </c>
      <c r="Y20" s="163">
        <f>W20*X20</f>
        <v/>
      </c>
      <c r="AA20" s="160">
        <f>AA19+1</f>
        <v/>
      </c>
      <c r="AB20" s="255" t="inlineStr">
        <is>
          <t>Time taken by Veloce to complete one Pick/ Drop cycle with 
Veloce Tower</t>
        </is>
      </c>
      <c r="AC20" s="255" t="inlineStr">
        <is>
          <t>Time taken by Veloce to complete one Pick/ Drop cycle with 
Veloce Tower</t>
        </is>
      </c>
      <c r="AD20" s="163">
        <f>IFERROR(VLOOKUP(AB20,'Master List'!$A:$D,2,0),0)</f>
        <v/>
      </c>
      <c r="AE20" s="163">
        <f>IFERROR(VLOOKUP(AB20,'Master List'!$A:$D,3,0),0)</f>
        <v/>
      </c>
      <c r="AF20" s="163">
        <f>IFERROR(VLOOKUP(AB20,'Master List'!$A:$D,4,0),0)</f>
        <v/>
      </c>
      <c r="AG20" s="163" t="n"/>
      <c r="AH20" s="163">
        <f>IFERROR(AE20/AF20,0)</f>
        <v/>
      </c>
      <c r="AI20" s="163">
        <f>IFERROR(IF(AG20&lt;((1/2*AF20*AH20^2)*2),1/2*AF20*SQRT((AG20/2)*2/AF20)^2,1/2*AF20*AH20^2),0)</f>
        <v/>
      </c>
      <c r="AJ20" s="163">
        <f>IFERROR(IF(AG20-AI20-AK20&lt;=0,0,AG20-AI20-AK20),0)</f>
        <v/>
      </c>
      <c r="AK20" s="163">
        <f>AI20</f>
        <v/>
      </c>
      <c r="AL20" s="163">
        <f>IFERROR(IF(AG20&lt;((1/2*AF20*AH20^2)*2),SQRT((AG20/2)*2/AF20),AH20),0)</f>
        <v/>
      </c>
      <c r="AM20" s="163">
        <f>IFERROR(AJ20/AE20,0)</f>
        <v/>
      </c>
      <c r="AN20" s="163">
        <f>AL20</f>
        <v/>
      </c>
      <c r="AO20" s="163">
        <f>IF(AD20&gt;0,AD20,SUM(AL20:AN20))</f>
        <v/>
      </c>
      <c r="AP20" s="163">
        <f>X20</f>
        <v/>
      </c>
      <c r="AQ20" s="163">
        <f>AO20*AP20</f>
        <v/>
      </c>
      <c r="AS20" s="160">
        <f>AS19+1</f>
        <v/>
      </c>
      <c r="AT20" s="255" t="inlineStr">
        <is>
          <t>Time taken by Veloce to complete one Pick/ Drop cycle with 
Veloce Tower</t>
        </is>
      </c>
      <c r="AU20" s="255" t="inlineStr">
        <is>
          <t>Time taken by Veloce to complete one Pick/ Drop cycle with 
Veloce Tower</t>
        </is>
      </c>
      <c r="AV20" s="163">
        <f>IFERROR(VLOOKUP(AT20,'Master List'!$A:$D,2,0),0)</f>
        <v/>
      </c>
      <c r="AW20" s="163">
        <f>IFERROR(VLOOKUP(AT20,'Master List'!$A:$D,3,0),0)</f>
        <v/>
      </c>
      <c r="AX20" s="163">
        <f>IFERROR(VLOOKUP(AT20,'Master List'!$A:$D,4,0),0)</f>
        <v/>
      </c>
      <c r="AY20" s="163" t="n"/>
      <c r="AZ20" s="163">
        <f>IFERROR(AW20/AX20,0)</f>
        <v/>
      </c>
      <c r="BA20" s="163">
        <f>IFERROR(IF(AY20&lt;((1/2*AX20*AZ20^2)*2),1/2*AX20*SQRT((AY20/2)*2/AX20)^2,1/2*AX20*AZ20^2),0)</f>
        <v/>
      </c>
      <c r="BB20" s="163">
        <f>IFERROR(IF(AY20-BA20-BC20&lt;=0,0,AY20-BA20-BC20),0)</f>
        <v/>
      </c>
      <c r="BC20" s="163">
        <f>BA20</f>
        <v/>
      </c>
      <c r="BD20" s="163">
        <f>IFERROR(IF(AY20&lt;((1/2*AX20*AZ20^2)*2),SQRT((AY20/2)*2/AX20),AZ20),0)</f>
        <v/>
      </c>
      <c r="BE20" s="163">
        <f>IFERROR(BB20/AW20,0)</f>
        <v/>
      </c>
      <c r="BF20" s="163">
        <f>BD20</f>
        <v/>
      </c>
      <c r="BG20" s="163">
        <f>IF(AV20&gt;0,AV20,SUM(BD20:BF20))</f>
        <v/>
      </c>
      <c r="BH20" s="163">
        <f>AP20</f>
        <v/>
      </c>
      <c r="BI20" s="163">
        <f>BG20*BH20</f>
        <v/>
      </c>
      <c r="BK20" s="160">
        <f>BK19+1</f>
        <v/>
      </c>
      <c r="BL20" s="255" t="inlineStr">
        <is>
          <t>Time taken by Veloce to complete one Pick/ Drop cycle with 
Veloce Tower</t>
        </is>
      </c>
      <c r="BM20" s="255" t="inlineStr">
        <is>
          <t>Time taken by Veloce to complete one Pick/ Drop cycle with 
Veloce Tower</t>
        </is>
      </c>
      <c r="BN20" s="163">
        <f>IFERROR(VLOOKUP(BL20,'Master List'!$A:$D,2,0),0)</f>
        <v/>
      </c>
      <c r="BO20" s="163">
        <f>IFERROR(VLOOKUP(BL20,'Master List'!$A:$D,3,0),0)</f>
        <v/>
      </c>
      <c r="BP20" s="163">
        <f>IFERROR(VLOOKUP(BL20,'Master List'!$A:$D,4,0),0)</f>
        <v/>
      </c>
      <c r="BQ20" s="163" t="n"/>
      <c r="BR20" s="163">
        <f>IFERROR(BO20/BP20,0)</f>
        <v/>
      </c>
      <c r="BS20" s="163">
        <f>IFERROR(IF(BQ20&lt;((1/2*BP20*BR20^2)*2),1/2*BP20*SQRT((BQ20/2)*2/BP20)^2,1/2*BP20*BR20^2),0)</f>
        <v/>
      </c>
      <c r="BT20" s="163">
        <f>IFERROR(IF(BQ20-BS20-BU20&lt;=0,0,BQ20-BS20-BU20),0)</f>
        <v/>
      </c>
      <c r="BU20" s="163">
        <f>BS20</f>
        <v/>
      </c>
      <c r="BV20" s="163">
        <f>IFERROR(IF(BQ20&lt;((1/2*BP20*BR20^2)*2),SQRT((BQ20/2)*2/BP20),BR20),0)</f>
        <v/>
      </c>
      <c r="BW20" s="163">
        <f>IFERROR(BT20/BO20,0)</f>
        <v/>
      </c>
      <c r="BX20" s="163">
        <f>BV20</f>
        <v/>
      </c>
      <c r="BY20" s="163">
        <f>IF(BN20&gt;0,BN20,SUM(BV20:BX20))</f>
        <v/>
      </c>
      <c r="BZ20" s="163">
        <f>IF(B24="Yes",1,0)</f>
        <v/>
      </c>
      <c r="CA20" s="163">
        <f>BY20*BZ20</f>
        <v/>
      </c>
      <c r="CC20" s="148" t="n">
        <v>5</v>
      </c>
      <c r="CE20" s="69" t="n"/>
    </row>
    <row r="21">
      <c r="A21" s="33">
        <f>"Combined cycle - Far "&amp;B21&amp;" m"</f>
        <v/>
      </c>
      <c r="B21" s="533">
        <f>($B$14*75%)+($B$15*75%)</f>
        <v/>
      </c>
      <c r="C21" s="38" t="n">
        <v>6</v>
      </c>
      <c r="D21" s="42">
        <f>BI6</f>
        <v/>
      </c>
      <c r="E21" s="36" t="n">
        <v>0.4</v>
      </c>
      <c r="F21" s="560">
        <f>IF($B$31="Default",$B$30*6,$B$32)</f>
        <v/>
      </c>
      <c r="G21" s="42">
        <f>D21*$B$25*2</f>
        <v/>
      </c>
      <c r="I21" s="160">
        <f>I20+1</f>
        <v/>
      </c>
      <c r="J21" s="161" t="n"/>
      <c r="K21" s="508" t="inlineStr">
        <is>
          <t>Reshuffling activities below</t>
        </is>
      </c>
      <c r="L21" s="163">
        <f>IFERROR(VLOOKUP(J21,'Master List'!$A:$D,2,0),0)</f>
        <v/>
      </c>
      <c r="M21" s="163">
        <f>IFERROR(VLOOKUP(J21,'Master List'!$A:$D,3,0),0)</f>
        <v/>
      </c>
      <c r="N21" s="163">
        <f>IFERROR(VLOOKUP(J21,'Master List'!$A:$D,4,0),0)</f>
        <v/>
      </c>
      <c r="O21" s="163" t="n"/>
      <c r="P21" s="163">
        <f>IFERROR(M21/N21,0)</f>
        <v/>
      </c>
      <c r="Q21" s="163">
        <f>IFERROR(IF(O21&lt;((1/2*N21*P21^2)*2),1/2*N21*SQRT((O21/2)*2/N21)^2,1/2*N21*P21^2),0)</f>
        <v/>
      </c>
      <c r="R21" s="163">
        <f>IFERROR(IF(O21-Q21-S21&lt;=0,0,O21-Q21-S21),0)</f>
        <v/>
      </c>
      <c r="S21" s="163">
        <f>Q21</f>
        <v/>
      </c>
      <c r="T21" s="163">
        <f>IFERROR(IF(O21&lt;((1/2*N21*P21^2)*2),SQRT((O21/2)*2/N21),P21),0)</f>
        <v/>
      </c>
      <c r="U21" s="163">
        <f>IFERROR(R21/M21,0)</f>
        <v/>
      </c>
      <c r="V21" s="163">
        <f>T21</f>
        <v/>
      </c>
      <c r="W21" s="163">
        <f>IF(L21&gt;0,L21,SUM(T21:V21))</f>
        <v/>
      </c>
      <c r="X21" s="163" t="n"/>
      <c r="Y21" s="163">
        <f>W21*X21</f>
        <v/>
      </c>
      <c r="AA21" s="160">
        <f>AA20+1</f>
        <v/>
      </c>
      <c r="AB21" s="161" t="n"/>
      <c r="AC21" s="508" t="inlineStr">
        <is>
          <t>Reshuffling activities below</t>
        </is>
      </c>
      <c r="AD21" s="163">
        <f>IFERROR(VLOOKUP(AB21,'Master List'!$A:$D,2,0),0)</f>
        <v/>
      </c>
      <c r="AE21" s="163">
        <f>IFERROR(VLOOKUP(AB21,'Master List'!$A:$D,3,0),0)</f>
        <v/>
      </c>
      <c r="AF21" s="163">
        <f>IFERROR(VLOOKUP(AB21,'Master List'!$A:$D,4,0),0)</f>
        <v/>
      </c>
      <c r="AG21" s="163" t="n"/>
      <c r="AH21" s="163">
        <f>IFERROR(AE21/AF21,0)</f>
        <v/>
      </c>
      <c r="AI21" s="163">
        <f>IFERROR(IF(AG21&lt;((1/2*AF21*AH21^2)*2),1/2*AF21*SQRT((AG21/2)*2/AF21)^2,1/2*AF21*AH21^2),0)</f>
        <v/>
      </c>
      <c r="AJ21" s="163">
        <f>IFERROR(IF(AG21-AI21-AK21&lt;=0,0,AG21-AI21-AK21),0)</f>
        <v/>
      </c>
      <c r="AK21" s="163">
        <f>AI21</f>
        <v/>
      </c>
      <c r="AL21" s="163">
        <f>IFERROR(IF(AG21&lt;((1/2*AF21*AH21^2)*2),SQRT((AG21/2)*2/AF21),AH21),0)</f>
        <v/>
      </c>
      <c r="AM21" s="163">
        <f>IFERROR(AJ21/AE21,0)</f>
        <v/>
      </c>
      <c r="AN21" s="163">
        <f>AL21</f>
        <v/>
      </c>
      <c r="AO21" s="163">
        <f>IF(AD21&gt;0,AD21,SUM(AL21:AN21))</f>
        <v/>
      </c>
      <c r="AP21" s="163" t="n"/>
      <c r="AQ21" s="163">
        <f>AO21*AP21</f>
        <v/>
      </c>
      <c r="AS21" s="160">
        <f>AS20+1</f>
        <v/>
      </c>
      <c r="AT21" s="161" t="n"/>
      <c r="AU21" s="508" t="inlineStr">
        <is>
          <t>Reshuffling activities below</t>
        </is>
      </c>
      <c r="AV21" s="163">
        <f>IFERROR(VLOOKUP(AT21,'Master List'!$A:$D,2,0),0)</f>
        <v/>
      </c>
      <c r="AW21" s="163">
        <f>IFERROR(VLOOKUP(AT21,'Master List'!$A:$D,3,0),0)</f>
        <v/>
      </c>
      <c r="AX21" s="163">
        <f>IFERROR(VLOOKUP(AT21,'Master List'!$A:$D,4,0),0)</f>
        <v/>
      </c>
      <c r="AY21" s="163" t="n"/>
      <c r="AZ21" s="163">
        <f>IFERROR(AW21/AX21,0)</f>
        <v/>
      </c>
      <c r="BA21" s="163">
        <f>IFERROR(IF(AY21&lt;((1/2*AX21*AZ21^2)*2),1/2*AX21*SQRT((AY21/2)*2/AX21)^2,1/2*AX21*AZ21^2),0)</f>
        <v/>
      </c>
      <c r="BB21" s="163">
        <f>IFERROR(IF(AY21-BA21-BC21&lt;=0,0,AY21-BA21-BC21),0)</f>
        <v/>
      </c>
      <c r="BC21" s="163">
        <f>BA21</f>
        <v/>
      </c>
      <c r="BD21" s="163">
        <f>IFERROR(IF(AY21&lt;((1/2*AX21*AZ21^2)*2),SQRT((AY21/2)*2/AX21),AZ21),0)</f>
        <v/>
      </c>
      <c r="BE21" s="163">
        <f>IFERROR(BB21/AW21,0)</f>
        <v/>
      </c>
      <c r="BF21" s="163">
        <f>BD21</f>
        <v/>
      </c>
      <c r="BG21" s="163">
        <f>IF(AV21&gt;0,AV21,SUM(BD21:BF21))</f>
        <v/>
      </c>
      <c r="BH21" s="163" t="n"/>
      <c r="BI21" s="163">
        <f>BG21*BH21</f>
        <v/>
      </c>
      <c r="BK21" s="160">
        <f>BK20+1</f>
        <v/>
      </c>
      <c r="BL21" s="161" t="n"/>
      <c r="BM21" s="162" t="n"/>
      <c r="BN21" s="163">
        <f>IFERROR(VLOOKUP(BL21,'Master List'!$A:$D,2,0),0)</f>
        <v/>
      </c>
      <c r="BO21" s="163">
        <f>IFERROR(VLOOKUP(BL21,'Master List'!$A:$D,3,0),0)</f>
        <v/>
      </c>
      <c r="BP21" s="163">
        <f>IFERROR(VLOOKUP(BL21,'Master List'!$A:$D,4,0),0)</f>
        <v/>
      </c>
      <c r="BQ21" s="163" t="n"/>
      <c r="BR21" s="163">
        <f>IFERROR(BO21/BP21,0)</f>
        <v/>
      </c>
      <c r="BS21" s="163">
        <f>IFERROR(IF(BQ21&lt;((1/2*BP21*BR21^2)*2),1/2*BP21*SQRT((BQ21/2)*2/BP21)^2,1/2*BP21*BR21^2),0)</f>
        <v/>
      </c>
      <c r="BT21" s="163">
        <f>IFERROR(IF(BQ21-BS21-BU21&lt;=0,0,BQ21-BS21-BU21),0)</f>
        <v/>
      </c>
      <c r="BU21" s="163">
        <f>BS21</f>
        <v/>
      </c>
      <c r="BV21" s="163">
        <f>IFERROR(IF(BQ21&lt;((1/2*BP21*BR21^2)*2),SQRT((BQ21/2)*2/BP21),BR21),0)</f>
        <v/>
      </c>
      <c r="BW21" s="163">
        <f>IFERROR(BT21/BO21,0)</f>
        <v/>
      </c>
      <c r="BX21" s="163">
        <f>BV21</f>
        <v/>
      </c>
      <c r="BY21" s="163">
        <f>IF(BN21&gt;0,BN21,SUM(BV21:BX21))</f>
        <v/>
      </c>
      <c r="BZ21" s="163" t="n"/>
      <c r="CA21" s="163">
        <f>BY21*BZ21</f>
        <v/>
      </c>
      <c r="CC21" s="148" t="n">
        <v>0</v>
      </c>
      <c r="CE21" s="69" t="n"/>
    </row>
    <row r="22">
      <c r="A22" s="33">
        <f>"Single cycle "&amp;B22&amp;" m"</f>
        <v/>
      </c>
      <c r="B22" s="533">
        <f>($B$14*30%)+($B$15*30%)</f>
        <v/>
      </c>
      <c r="C22" s="38" t="n">
        <v>6</v>
      </c>
      <c r="D22" s="42">
        <f>CA6</f>
        <v/>
      </c>
      <c r="E22" s="36" t="n">
        <v>0.1</v>
      </c>
      <c r="F22" s="560">
        <f>IF($B$31="Default",$B$30*6,$B$32)</f>
        <v/>
      </c>
      <c r="G22" s="42">
        <f>D22*$B$25</f>
        <v/>
      </c>
      <c r="I22" s="160">
        <f>I21+1</f>
        <v/>
      </c>
      <c r="J22" s="220" t="inlineStr">
        <is>
          <t>Veloce Vertical Movement</t>
        </is>
      </c>
      <c r="K22" s="507" t="inlineStr">
        <is>
          <t>Move up and down to reshuffle the tote</t>
        </is>
      </c>
      <c r="L22" s="163">
        <f>IFERROR(VLOOKUP(J22,'Master List'!$A:$D,2,0),0)</f>
        <v/>
      </c>
      <c r="M22" s="163">
        <f>IFERROR(VLOOKUP(J22,'Master List'!$A:$D,3,0),0)</f>
        <v/>
      </c>
      <c r="N22" s="163">
        <f>IFERROR(VLOOKUP(J22,'Master List'!$A:$D,4,0),0)</f>
        <v/>
      </c>
      <c r="O22" s="163">
        <f>($B$25*$B$28)/2</f>
        <v/>
      </c>
      <c r="P22" s="163">
        <f>IFERROR(M22/N22,0)</f>
        <v/>
      </c>
      <c r="Q22" s="163">
        <f>IFERROR(IF(O22&lt;((1/2*N22*P22^2)*2),1/2*N22*SQRT((O22/2)*2/N22)^2,1/2*N22*P22^2),0)</f>
        <v/>
      </c>
      <c r="R22" s="163">
        <f>IFERROR(IF(O22-Q22-S22&lt;=0,0,O22-Q22-S22),0)</f>
        <v/>
      </c>
      <c r="S22" s="163">
        <f>Q22</f>
        <v/>
      </c>
      <c r="T22" s="163">
        <f>IFERROR(IF(O22&lt;((1/2*N22*P22^2)*2),SQRT((O22/2)*2/N22),P22),0)</f>
        <v/>
      </c>
      <c r="U22" s="163">
        <f>IFERROR(R22/M22,0)</f>
        <v/>
      </c>
      <c r="V22" s="163">
        <f>T22</f>
        <v/>
      </c>
      <c r="W22" s="163">
        <f>IF(L22&gt;0,L22,SUM(T22:V22))</f>
        <v/>
      </c>
      <c r="X22" s="163">
        <f>IF(B33="No",0,(($B$25/2)*2))</f>
        <v/>
      </c>
      <c r="Y22" s="163">
        <f>W22*X22</f>
        <v/>
      </c>
      <c r="AA22" s="160">
        <f>AA21+1</f>
        <v/>
      </c>
      <c r="AB22" s="220" t="inlineStr">
        <is>
          <t>Veloce Vertical Movement</t>
        </is>
      </c>
      <c r="AC22" s="507" t="inlineStr">
        <is>
          <t>Move up and down to reshuffle the tote</t>
        </is>
      </c>
      <c r="AD22" s="163">
        <f>IFERROR(VLOOKUP(AB22,'Master List'!$A:$D,2,0),0)</f>
        <v/>
      </c>
      <c r="AE22" s="163">
        <f>IFERROR(VLOOKUP(AB22,'Master List'!$A:$D,3,0),0)</f>
        <v/>
      </c>
      <c r="AF22" s="163">
        <f>IFERROR(VLOOKUP(AB22,'Master List'!$A:$D,4,0),0)</f>
        <v/>
      </c>
      <c r="AG22" s="163">
        <f>($B$25*$B$28)/2</f>
        <v/>
      </c>
      <c r="AH22" s="163">
        <f>IFERROR(AE22/AF22,0)</f>
        <v/>
      </c>
      <c r="AI22" s="163">
        <f>IFERROR(IF(AG22&lt;((1/2*AF22*AH22^2)*2),1/2*AF22*SQRT((AG22/2)*2/AF22)^2,1/2*AF22*AH22^2),0)</f>
        <v/>
      </c>
      <c r="AJ22" s="163">
        <f>IFERROR(IF(AG22-AI22-AK22&lt;=0,0,AG22-AI22-AK22),0)</f>
        <v/>
      </c>
      <c r="AK22" s="163">
        <f>AI22</f>
        <v/>
      </c>
      <c r="AL22" s="163">
        <f>IFERROR(IF(AG22&lt;((1/2*AF22*AH22^2)*2),SQRT((AG22/2)*2/AF22),AH22),0)</f>
        <v/>
      </c>
      <c r="AM22" s="163">
        <f>IFERROR(AJ22/AE22,0)</f>
        <v/>
      </c>
      <c r="AN22" s="163">
        <f>AL22</f>
        <v/>
      </c>
      <c r="AO22" s="163">
        <f>IF(AD22&gt;0,AD22,SUM(AL22:AN22))</f>
        <v/>
      </c>
      <c r="AP22" s="163">
        <f>IF(T33="No",0,(($B$25/2)*2))</f>
        <v/>
      </c>
      <c r="AQ22" s="163">
        <f>AO22*AP22</f>
        <v/>
      </c>
      <c r="AS22" s="160">
        <f>AS21+1</f>
        <v/>
      </c>
      <c r="AT22" s="220" t="inlineStr">
        <is>
          <t>Veloce Vertical Movement</t>
        </is>
      </c>
      <c r="AU22" s="507" t="inlineStr">
        <is>
          <t>Move up and down to reshuffle the tote</t>
        </is>
      </c>
      <c r="AV22" s="163">
        <f>IFERROR(VLOOKUP(AT22,'Master List'!$A:$D,2,0),0)</f>
        <v/>
      </c>
      <c r="AW22" s="163">
        <f>IFERROR(VLOOKUP(AT22,'Master List'!$A:$D,3,0),0)</f>
        <v/>
      </c>
      <c r="AX22" s="163">
        <f>IFERROR(VLOOKUP(AT22,'Master List'!$A:$D,4,0),0)</f>
        <v/>
      </c>
      <c r="AY22" s="163">
        <f>($B$25*$B$28)/2</f>
        <v/>
      </c>
      <c r="AZ22" s="163">
        <f>IFERROR(AW22/AX22,0)</f>
        <v/>
      </c>
      <c r="BA22" s="163">
        <f>IFERROR(IF(AY22&lt;((1/2*AX22*AZ22^2)*2),1/2*AX22*SQRT((AY22/2)*2/AX22)^2,1/2*AX22*AZ22^2),0)</f>
        <v/>
      </c>
      <c r="BB22" s="163">
        <f>IFERROR(IF(AY22-BA22-BC22&lt;=0,0,AY22-BA22-BC22),0)</f>
        <v/>
      </c>
      <c r="BC22" s="163">
        <f>BA22</f>
        <v/>
      </c>
      <c r="BD22" s="163">
        <f>IFERROR(IF(AY22&lt;((1/2*AX22*AZ22^2)*2),SQRT((AY22/2)*2/AX22),AZ22),0)</f>
        <v/>
      </c>
      <c r="BE22" s="163">
        <f>IFERROR(BB22/AW22,0)</f>
        <v/>
      </c>
      <c r="BF22" s="163">
        <f>BD22</f>
        <v/>
      </c>
      <c r="BG22" s="163">
        <f>IF(AV22&gt;0,AV22,SUM(BD22:BF22))</f>
        <v/>
      </c>
      <c r="BH22" s="163">
        <f>IF(AL33="No",0,(($B$25/2)*2))</f>
        <v/>
      </c>
      <c r="BI22" s="163">
        <f>BG22*BH22</f>
        <v/>
      </c>
      <c r="BK22" s="160">
        <f>BK21+1</f>
        <v/>
      </c>
      <c r="BL22" s="161" t="n"/>
      <c r="BM22" s="162" t="n"/>
      <c r="BN22" s="163">
        <f>IFERROR(VLOOKUP(BL22,'Master List'!$A:$D,2,0),0)</f>
        <v/>
      </c>
      <c r="BO22" s="163">
        <f>IFERROR(VLOOKUP(BL22,'Master List'!$A:$D,3,0),0)</f>
        <v/>
      </c>
      <c r="BP22" s="163">
        <f>IFERROR(VLOOKUP(BL22,'Master List'!$A:$D,4,0),0)</f>
        <v/>
      </c>
      <c r="BQ22" s="163" t="n"/>
      <c r="BR22" s="163">
        <f>IFERROR(BO22/BP22,0)</f>
        <v/>
      </c>
      <c r="BS22" s="163">
        <f>IFERROR(IF(BQ22&lt;((1/2*BP22*BR22^2)*2),1/2*BP22*SQRT((BQ22/2)*2/BP22)^2,1/2*BP22*BR22^2),0)</f>
        <v/>
      </c>
      <c r="BT22" s="163">
        <f>IFERROR(IF(BQ22-BS22-BU22&lt;=0,0,BQ22-BS22-BU22),0)</f>
        <v/>
      </c>
      <c r="BU22" s="163">
        <f>BS22</f>
        <v/>
      </c>
      <c r="BV22" s="163">
        <f>IFERROR(IF(BQ22&lt;((1/2*BP22*BR22^2)*2),SQRT((BQ22/2)*2/BP22),BR22),0)</f>
        <v/>
      </c>
      <c r="BW22" s="163">
        <f>IFERROR(BT22/BO22,0)</f>
        <v/>
      </c>
      <c r="BX22" s="163">
        <f>BV22</f>
        <v/>
      </c>
      <c r="BY22" s="163">
        <f>IF(BN22&gt;0,BN22,SUM(BV22:BX22))</f>
        <v/>
      </c>
      <c r="BZ22" s="163" t="n"/>
      <c r="CA22" s="163">
        <f>BY22*BZ22</f>
        <v/>
      </c>
      <c r="CC22" s="148" t="n">
        <v>6</v>
      </c>
      <c r="CE22" s="69" t="n"/>
    </row>
    <row r="23" ht="30" customHeight="1" s="516">
      <c r="B23" s="252" t="n"/>
      <c r="D23" s="253" t="n"/>
      <c r="E23" s="44">
        <f>SUM(E19:E22)</f>
        <v/>
      </c>
      <c r="F23" s="254" t="n"/>
      <c r="G23" s="253" t="n"/>
      <c r="I23" s="160">
        <f>I22+1</f>
        <v/>
      </c>
      <c r="J23" s="220" t="inlineStr">
        <is>
          <t>Veloce Fork Movement</t>
        </is>
      </c>
      <c r="K23" s="507" t="inlineStr">
        <is>
          <t>Fork movement for reshuffling, pick and place on diff location</t>
        </is>
      </c>
      <c r="L23" s="163">
        <f>IFERROR(VLOOKUP(J23,'Master List'!$A:$D,2,0),0)</f>
        <v/>
      </c>
      <c r="M23" s="163">
        <f>IFERROR(VLOOKUP(J23,'Master List'!$A:$D,3,0),0)</f>
        <v/>
      </c>
      <c r="N23" s="163">
        <f>IFERROR(VLOOKUP(J23,'Master List'!$A:$D,4,0),0)</f>
        <v/>
      </c>
      <c r="O23" s="163" t="n"/>
      <c r="P23" s="163">
        <f>IFERROR(M23/N23,0)</f>
        <v/>
      </c>
      <c r="Q23" s="163">
        <f>IFERROR(IF(O23&lt;((1/2*N23*P23^2)*2),1/2*N23*SQRT((O23/2)*2/N23)^2,1/2*N23*P23^2),0)</f>
        <v/>
      </c>
      <c r="R23" s="163">
        <f>IFERROR(IF(O23-Q23-S23&lt;=0,0,O23-Q23-S23),0)</f>
        <v/>
      </c>
      <c r="S23" s="163">
        <f>Q23</f>
        <v/>
      </c>
      <c r="T23" s="163">
        <f>IFERROR(IF(O23&lt;((1/2*N23*P23^2)*2),SQRT((O23/2)*2/N23),P23),0)</f>
        <v/>
      </c>
      <c r="U23" s="163">
        <f>IFERROR(R23/M23,0)</f>
        <v/>
      </c>
      <c r="V23" s="163">
        <f>T23</f>
        <v/>
      </c>
      <c r="W23" s="163">
        <f>IF(L23&gt;0,L23,SUM(T23:V23))</f>
        <v/>
      </c>
      <c r="X23" s="163">
        <f>X22</f>
        <v/>
      </c>
      <c r="Y23" s="163">
        <f>W23*X23</f>
        <v/>
      </c>
      <c r="AA23" s="160">
        <f>AA22+1</f>
        <v/>
      </c>
      <c r="AB23" s="220" t="inlineStr">
        <is>
          <t>Veloce Fork Movement</t>
        </is>
      </c>
      <c r="AC23" s="507" t="inlineStr">
        <is>
          <t>Fork movement for reshuffling, pick and place on diff location</t>
        </is>
      </c>
      <c r="AD23" s="163">
        <f>IFERROR(VLOOKUP(AB23,'Master List'!$A:$D,2,0),0)</f>
        <v/>
      </c>
      <c r="AE23" s="163">
        <f>IFERROR(VLOOKUP(AB23,'Master List'!$A:$D,3,0),0)</f>
        <v/>
      </c>
      <c r="AF23" s="163">
        <f>IFERROR(VLOOKUP(AB23,'Master List'!$A:$D,4,0),0)</f>
        <v/>
      </c>
      <c r="AG23" s="163" t="n"/>
      <c r="AH23" s="163">
        <f>IFERROR(AE23/AF23,0)</f>
        <v/>
      </c>
      <c r="AI23" s="163">
        <f>IFERROR(IF(AG23&lt;((1/2*AF23*AH23^2)*2),1/2*AF23*SQRT((AG23/2)*2/AF23)^2,1/2*AF23*AH23^2),0)</f>
        <v/>
      </c>
      <c r="AJ23" s="163">
        <f>IFERROR(IF(AG23-AI23-AK23&lt;=0,0,AG23-AI23-AK23),0)</f>
        <v/>
      </c>
      <c r="AK23" s="163">
        <f>AI23</f>
        <v/>
      </c>
      <c r="AL23" s="163">
        <f>IFERROR(IF(AG23&lt;((1/2*AF23*AH23^2)*2),SQRT((AG23/2)*2/AF23),AH23),0)</f>
        <v/>
      </c>
      <c r="AM23" s="163">
        <f>IFERROR(AJ23/AE23,0)</f>
        <v/>
      </c>
      <c r="AN23" s="163">
        <f>AL23</f>
        <v/>
      </c>
      <c r="AO23" s="163">
        <f>IF(AD23&gt;0,AD23,SUM(AL23:AN23))</f>
        <v/>
      </c>
      <c r="AP23" s="163">
        <f>AP22</f>
        <v/>
      </c>
      <c r="AQ23" s="163">
        <f>AO23*AP23</f>
        <v/>
      </c>
      <c r="AS23" s="160">
        <f>AS22+1</f>
        <v/>
      </c>
      <c r="AT23" s="220" t="inlineStr">
        <is>
          <t>Veloce Fork Movement</t>
        </is>
      </c>
      <c r="AU23" s="507" t="inlineStr">
        <is>
          <t>Fork movement for reshuffling, pick and place on diff location</t>
        </is>
      </c>
      <c r="AV23" s="163">
        <f>IFERROR(VLOOKUP(AT23,'Master List'!$A:$D,2,0),0)</f>
        <v/>
      </c>
      <c r="AW23" s="163">
        <f>IFERROR(VLOOKUP(AT23,'Master List'!$A:$D,3,0),0)</f>
        <v/>
      </c>
      <c r="AX23" s="163">
        <f>IFERROR(VLOOKUP(AT23,'Master List'!$A:$D,4,0),0)</f>
        <v/>
      </c>
      <c r="AY23" s="163" t="n"/>
      <c r="AZ23" s="163">
        <f>IFERROR(AW23/AX23,0)</f>
        <v/>
      </c>
      <c r="BA23" s="163">
        <f>IFERROR(IF(AY23&lt;((1/2*AX23*AZ23^2)*2),1/2*AX23*SQRT((AY23/2)*2/AX23)^2,1/2*AX23*AZ23^2),0)</f>
        <v/>
      </c>
      <c r="BB23" s="163">
        <f>IFERROR(IF(AY23-BA23-BC23&lt;=0,0,AY23-BA23-BC23),0)</f>
        <v/>
      </c>
      <c r="BC23" s="163">
        <f>BA23</f>
        <v/>
      </c>
      <c r="BD23" s="163">
        <f>IFERROR(IF(AY23&lt;((1/2*AX23*AZ23^2)*2),SQRT((AY23/2)*2/AX23),AZ23),0)</f>
        <v/>
      </c>
      <c r="BE23" s="163">
        <f>IFERROR(BB23/AW23,0)</f>
        <v/>
      </c>
      <c r="BF23" s="163">
        <f>BD23</f>
        <v/>
      </c>
      <c r="BG23" s="163">
        <f>IF(AV23&gt;0,AV23,SUM(BD23:BF23))</f>
        <v/>
      </c>
      <c r="BH23" s="163">
        <f>BH22</f>
        <v/>
      </c>
      <c r="BI23" s="163">
        <f>BG23*BH23</f>
        <v/>
      </c>
      <c r="BK23" s="160">
        <f>BK22+1</f>
        <v/>
      </c>
      <c r="BL23" s="161" t="n"/>
      <c r="BM23" s="162" t="n"/>
      <c r="BN23" s="163">
        <f>IFERROR(VLOOKUP(BL23,'Master List'!$A:$D,2,0),0)</f>
        <v/>
      </c>
      <c r="BO23" s="163">
        <f>IFERROR(VLOOKUP(BL23,'Master List'!$A:$D,3,0),0)</f>
        <v/>
      </c>
      <c r="BP23" s="163">
        <f>IFERROR(VLOOKUP(BL23,'Master List'!$A:$D,4,0),0)</f>
        <v/>
      </c>
      <c r="BQ23" s="163" t="n"/>
      <c r="BR23" s="163">
        <f>IFERROR(BO23/BP23,0)</f>
        <v/>
      </c>
      <c r="BS23" s="163">
        <f>IFERROR(IF(BQ23&lt;((1/2*BP23*BR23^2)*2),1/2*BP23*SQRT((BQ23/2)*2/BP23)^2,1/2*BP23*BR23^2),0)</f>
        <v/>
      </c>
      <c r="BT23" s="163">
        <f>IFERROR(IF(BQ23-BS23-BU23&lt;=0,0,BQ23-BS23-BU23),0)</f>
        <v/>
      </c>
      <c r="BU23" s="163">
        <f>BS23</f>
        <v/>
      </c>
      <c r="BV23" s="163">
        <f>IFERROR(IF(BQ23&lt;((1/2*BP23*BR23^2)*2),SQRT((BQ23/2)*2/BP23),BR23),0)</f>
        <v/>
      </c>
      <c r="BW23" s="163">
        <f>IFERROR(BT23/BO23,0)</f>
        <v/>
      </c>
      <c r="BX23" s="163">
        <f>BV23</f>
        <v/>
      </c>
      <c r="BY23" s="163">
        <f>IF(BN23&gt;0,BN23,SUM(BV23:BX23))</f>
        <v/>
      </c>
      <c r="BZ23" s="163" t="n"/>
      <c r="CA23" s="163">
        <f>BY23*BZ23</f>
        <v/>
      </c>
      <c r="CC23" s="148" t="n">
        <v>0</v>
      </c>
    </row>
    <row r="24">
      <c r="A24" s="33" t="inlineStr">
        <is>
          <t>Veloce tower being used?</t>
        </is>
      </c>
      <c r="B24" s="26" t="inlineStr">
        <is>
          <t>Yes</t>
        </is>
      </c>
      <c r="I24" s="160">
        <f>I23+1</f>
        <v/>
      </c>
      <c r="J24" s="220" t="inlineStr">
        <is>
          <t>Veloce Craddle Rotation</t>
        </is>
      </c>
      <c r="K24" s="507" t="inlineStr">
        <is>
          <t>Cradle movement for reshuffling</t>
        </is>
      </c>
      <c r="L24" s="163">
        <f>IFERROR(VLOOKUP(J24,'Master List'!$A:$D,2,0),0)</f>
        <v/>
      </c>
      <c r="M24" s="163">
        <f>IFERROR(VLOOKUP(J24,'Master List'!$A:$D,3,0),0)</f>
        <v/>
      </c>
      <c r="N24" s="163">
        <f>IFERROR(VLOOKUP(J24,'Master List'!$A:$D,4,0),0)</f>
        <v/>
      </c>
      <c r="O24" s="163" t="n"/>
      <c r="P24" s="163">
        <f>IFERROR(M24/N24,0)</f>
        <v/>
      </c>
      <c r="Q24" s="163">
        <f>IFERROR(IF(O24&lt;((1/2*N24*P24^2)*2),1/2*N24*SQRT((O24/2)*2/N24)^2,1/2*N24*P24^2),0)</f>
        <v/>
      </c>
      <c r="R24" s="163">
        <f>IFERROR(IF(O24-Q24-S24&lt;=0,0,O24-Q24-S24),0)</f>
        <v/>
      </c>
      <c r="S24" s="163">
        <f>Q24</f>
        <v/>
      </c>
      <c r="T24" s="163">
        <f>IFERROR(IF(O24&lt;((1/2*N24*P24^2)*2),SQRT((O24/2)*2/N24),P24),0)</f>
        <v/>
      </c>
      <c r="U24" s="163">
        <f>IFERROR(R24/M24,0)</f>
        <v/>
      </c>
      <c r="V24" s="163">
        <f>T24</f>
        <v/>
      </c>
      <c r="W24" s="163">
        <f>IF(L24&gt;0,L24,SUM(T24:V24))</f>
        <v/>
      </c>
      <c r="X24" s="163">
        <f>X23</f>
        <v/>
      </c>
      <c r="Y24" s="163">
        <f>W24*X24</f>
        <v/>
      </c>
      <c r="AA24" s="160">
        <f>AA23+1</f>
        <v/>
      </c>
      <c r="AB24" s="220" t="inlineStr">
        <is>
          <t>Veloce Craddle Rotation</t>
        </is>
      </c>
      <c r="AC24" s="507" t="inlineStr">
        <is>
          <t>Cradle movement for reshuffling</t>
        </is>
      </c>
      <c r="AD24" s="163">
        <f>IFERROR(VLOOKUP(AB24,'Master List'!$A:$D,2,0),0)</f>
        <v/>
      </c>
      <c r="AE24" s="163">
        <f>IFERROR(VLOOKUP(AB24,'Master List'!$A:$D,3,0),0)</f>
        <v/>
      </c>
      <c r="AF24" s="163">
        <f>IFERROR(VLOOKUP(AB24,'Master List'!$A:$D,4,0),0)</f>
        <v/>
      </c>
      <c r="AG24" s="163" t="n"/>
      <c r="AH24" s="163">
        <f>IFERROR(AE24/AF24,0)</f>
        <v/>
      </c>
      <c r="AI24" s="163">
        <f>IFERROR(IF(AG24&lt;((1/2*AF24*AH24^2)*2),1/2*AF24*SQRT((AG24/2)*2/AF24)^2,1/2*AF24*AH24^2),0)</f>
        <v/>
      </c>
      <c r="AJ24" s="163">
        <f>IFERROR(IF(AG24-AI24-AK24&lt;=0,0,AG24-AI24-AK24),0)</f>
        <v/>
      </c>
      <c r="AK24" s="163">
        <f>AI24</f>
        <v/>
      </c>
      <c r="AL24" s="163">
        <f>IFERROR(IF(AG24&lt;((1/2*AF24*AH24^2)*2),SQRT((AG24/2)*2/AF24),AH24),0)</f>
        <v/>
      </c>
      <c r="AM24" s="163">
        <f>IFERROR(AJ24/AE24,0)</f>
        <v/>
      </c>
      <c r="AN24" s="163">
        <f>AL24</f>
        <v/>
      </c>
      <c r="AO24" s="163">
        <f>IF(AD24&gt;0,AD24,SUM(AL24:AN24))</f>
        <v/>
      </c>
      <c r="AP24" s="163">
        <f>AP23</f>
        <v/>
      </c>
      <c r="AQ24" s="163">
        <f>AO24*AP24</f>
        <v/>
      </c>
      <c r="AS24" s="160">
        <f>AS23+1</f>
        <v/>
      </c>
      <c r="AT24" s="220" t="inlineStr">
        <is>
          <t>Veloce Craddle Rotation</t>
        </is>
      </c>
      <c r="AU24" s="507" t="inlineStr">
        <is>
          <t>Cradle movement for reshuffling</t>
        </is>
      </c>
      <c r="AV24" s="163">
        <f>IFERROR(VLOOKUP(AT24,'Master List'!$A:$D,2,0),0)</f>
        <v/>
      </c>
      <c r="AW24" s="163">
        <f>IFERROR(VLOOKUP(AT24,'Master List'!$A:$D,3,0),0)</f>
        <v/>
      </c>
      <c r="AX24" s="163">
        <f>IFERROR(VLOOKUP(AT24,'Master List'!$A:$D,4,0),0)</f>
        <v/>
      </c>
      <c r="AY24" s="163" t="n"/>
      <c r="AZ24" s="163">
        <f>IFERROR(AW24/AX24,0)</f>
        <v/>
      </c>
      <c r="BA24" s="163">
        <f>IFERROR(IF(AY24&lt;((1/2*AX24*AZ24^2)*2),1/2*AX24*SQRT((AY24/2)*2/AX24)^2,1/2*AX24*AZ24^2),0)</f>
        <v/>
      </c>
      <c r="BB24" s="163">
        <f>IFERROR(IF(AY24-BA24-BC24&lt;=0,0,AY24-BA24-BC24),0)</f>
        <v/>
      </c>
      <c r="BC24" s="163">
        <f>BA24</f>
        <v/>
      </c>
      <c r="BD24" s="163">
        <f>IFERROR(IF(AY24&lt;((1/2*AX24*AZ24^2)*2),SQRT((AY24/2)*2/AX24),AZ24),0)</f>
        <v/>
      </c>
      <c r="BE24" s="163">
        <f>IFERROR(BB24/AW24,0)</f>
        <v/>
      </c>
      <c r="BF24" s="163">
        <f>BD24</f>
        <v/>
      </c>
      <c r="BG24" s="163">
        <f>IF(AV24&gt;0,AV24,SUM(BD24:BF24))</f>
        <v/>
      </c>
      <c r="BH24" s="163">
        <f>BH23</f>
        <v/>
      </c>
      <c r="BI24" s="163">
        <f>BG24*BH24</f>
        <v/>
      </c>
      <c r="BK24" s="160">
        <f>BK23+1</f>
        <v/>
      </c>
      <c r="BL24" s="161" t="n"/>
      <c r="BM24" s="162" t="n"/>
      <c r="BN24" s="163">
        <f>IFERROR(VLOOKUP(BL24,'Master List'!$A:$D,2,0),0)</f>
        <v/>
      </c>
      <c r="BO24" s="163">
        <f>IFERROR(VLOOKUP(BL24,'Master List'!$A:$D,3,0),0)</f>
        <v/>
      </c>
      <c r="BP24" s="163">
        <f>IFERROR(VLOOKUP(BL24,'Master List'!$A:$D,4,0),0)</f>
        <v/>
      </c>
      <c r="BQ24" s="163" t="n"/>
      <c r="BR24" s="163">
        <f>IFERROR(BO24/BP24,0)</f>
        <v/>
      </c>
      <c r="BS24" s="163">
        <f>IFERROR(IF(BQ24&lt;((1/2*BP24*BR24^2)*2),1/2*BP24*SQRT((BQ24/2)*2/BP24)^2,1/2*BP24*BR24^2),0)</f>
        <v/>
      </c>
      <c r="BT24" s="163">
        <f>IFERROR(IF(BQ24-BS24-BU24&lt;=0,0,BQ24-BS24-BU24),0)</f>
        <v/>
      </c>
      <c r="BU24" s="163">
        <f>BS24</f>
        <v/>
      </c>
      <c r="BV24" s="163">
        <f>IFERROR(IF(BQ24&lt;((1/2*BP24*BR24^2)*2),SQRT((BQ24/2)*2/BP24),BR24),0)</f>
        <v/>
      </c>
      <c r="BW24" s="163">
        <f>IFERROR(BT24/BO24,0)</f>
        <v/>
      </c>
      <c r="BX24" s="163">
        <f>BV24</f>
        <v/>
      </c>
      <c r="BY24" s="163">
        <f>IF(BN24&gt;0,BN24,SUM(BV24:BX24))</f>
        <v/>
      </c>
      <c r="BZ24" s="163" t="n"/>
      <c r="CA24" s="163">
        <f>BY24*BZ24</f>
        <v/>
      </c>
      <c r="CC24" s="148" t="n">
        <v>7</v>
      </c>
    </row>
    <row r="25" ht="30" customHeight="1" s="516">
      <c r="A25" s="33" t="inlineStr">
        <is>
          <t>Tote positions on Veloce</t>
        </is>
      </c>
      <c r="B25" s="26" t="n">
        <v>7</v>
      </c>
      <c r="I25" s="160">
        <f>I24+1</f>
        <v/>
      </c>
      <c r="J25" s="220" t="inlineStr">
        <is>
          <t>Veloce Horizontal Running Loaded</t>
        </is>
      </c>
      <c r="K25" s="507" t="inlineStr">
        <is>
          <t>Movement to reach and come back from reshuffled location, assumed to be 4 totes away</t>
        </is>
      </c>
      <c r="L25" s="163">
        <f>IFERROR(VLOOKUP(J25,'Master List'!$A:$D,2,0),0)</f>
        <v/>
      </c>
      <c r="M25" s="163">
        <f>IFERROR(VLOOKUP(J25,'Master List'!$A:$D,3,0),0)</f>
        <v/>
      </c>
      <c r="N25" s="163">
        <f>IFERROR(VLOOKUP(J25,'Master List'!$A:$D,4,0),0)</f>
        <v/>
      </c>
      <c r="O25" s="163">
        <f>$B$30*4</f>
        <v/>
      </c>
      <c r="P25" s="163">
        <f>IFERROR(M25/N25,0)</f>
        <v/>
      </c>
      <c r="Q25" s="163">
        <f>IFERROR(IF(O25&lt;((1/2*N25*P25^2)*2),1/2*N25*SQRT((O25/2)*2/N25)^2,1/2*N25*P25^2),0)</f>
        <v/>
      </c>
      <c r="R25" s="163">
        <f>IFERROR(IF(O25-Q25-S25&lt;=0,0,O25-Q25-S25),0)</f>
        <v/>
      </c>
      <c r="S25" s="163">
        <f>Q25</f>
        <v/>
      </c>
      <c r="T25" s="163">
        <f>IFERROR(IF(O25&lt;((1/2*N25*P25^2)*2),SQRT((O25/2)*2/N25),P25),0)</f>
        <v/>
      </c>
      <c r="U25" s="163">
        <f>IFERROR(R25/M25,0)</f>
        <v/>
      </c>
      <c r="V25" s="163">
        <f>T25</f>
        <v/>
      </c>
      <c r="W25" s="163">
        <f>IF(L25&gt;0,L25,SUM(T25:V25))</f>
        <v/>
      </c>
      <c r="X25" s="163">
        <f>X24</f>
        <v/>
      </c>
      <c r="Y25" s="163">
        <f>W25*X25</f>
        <v/>
      </c>
      <c r="AA25" s="160">
        <f>AA24+1</f>
        <v/>
      </c>
      <c r="AB25" s="220" t="inlineStr">
        <is>
          <t>Veloce Horizontal Running Loaded</t>
        </is>
      </c>
      <c r="AC25" s="507" t="inlineStr">
        <is>
          <t>Movement to reach and come back from reshuffled location, assumed to be 4 totes away</t>
        </is>
      </c>
      <c r="AD25" s="163">
        <f>IFERROR(VLOOKUP(AB25,'Master List'!$A:$D,2,0),0)</f>
        <v/>
      </c>
      <c r="AE25" s="163">
        <f>IFERROR(VLOOKUP(AB25,'Master List'!$A:$D,3,0),0)</f>
        <v/>
      </c>
      <c r="AF25" s="163">
        <f>IFERROR(VLOOKUP(AB25,'Master List'!$A:$D,4,0),0)</f>
        <v/>
      </c>
      <c r="AG25" s="163">
        <f>$B$30*4</f>
        <v/>
      </c>
      <c r="AH25" s="163">
        <f>IFERROR(AE25/AF25,0)</f>
        <v/>
      </c>
      <c r="AI25" s="163">
        <f>IFERROR(IF(AG25&lt;((1/2*AF25*AH25^2)*2),1/2*AF25*SQRT((AG25/2)*2/AF25)^2,1/2*AF25*AH25^2),0)</f>
        <v/>
      </c>
      <c r="AJ25" s="163">
        <f>IFERROR(IF(AG25-AI25-AK25&lt;=0,0,AG25-AI25-AK25),0)</f>
        <v/>
      </c>
      <c r="AK25" s="163">
        <f>AI25</f>
        <v/>
      </c>
      <c r="AL25" s="163">
        <f>IFERROR(IF(AG25&lt;((1/2*AF25*AH25^2)*2),SQRT((AG25/2)*2/AF25),AH25),0)</f>
        <v/>
      </c>
      <c r="AM25" s="163">
        <f>IFERROR(AJ25/AE25,0)</f>
        <v/>
      </c>
      <c r="AN25" s="163">
        <f>AL25</f>
        <v/>
      </c>
      <c r="AO25" s="163">
        <f>IF(AD25&gt;0,AD25,SUM(AL25:AN25))</f>
        <v/>
      </c>
      <c r="AP25" s="163">
        <f>AP24</f>
        <v/>
      </c>
      <c r="AQ25" s="163">
        <f>AO25*AP25</f>
        <v/>
      </c>
      <c r="AS25" s="160">
        <f>AS24+1</f>
        <v/>
      </c>
      <c r="AT25" s="220" t="inlineStr">
        <is>
          <t>Veloce Horizontal Running Loaded</t>
        </is>
      </c>
      <c r="AU25" s="507" t="inlineStr">
        <is>
          <t>Movement to reach and come back from reshuffled location, assumed to be 4 totes away</t>
        </is>
      </c>
      <c r="AV25" s="163">
        <f>IFERROR(VLOOKUP(AT25,'Master List'!$A:$D,2,0),0)</f>
        <v/>
      </c>
      <c r="AW25" s="163">
        <f>IFERROR(VLOOKUP(AT25,'Master List'!$A:$D,3,0),0)</f>
        <v/>
      </c>
      <c r="AX25" s="163">
        <f>IFERROR(VLOOKUP(AT25,'Master List'!$A:$D,4,0),0)</f>
        <v/>
      </c>
      <c r="AY25" s="163">
        <f>$B$30*4</f>
        <v/>
      </c>
      <c r="AZ25" s="163">
        <f>IFERROR(AW25/AX25,0)</f>
        <v/>
      </c>
      <c r="BA25" s="163">
        <f>IFERROR(IF(AY25&lt;((1/2*AX25*AZ25^2)*2),1/2*AX25*SQRT((AY25/2)*2/AX25)^2,1/2*AX25*AZ25^2),0)</f>
        <v/>
      </c>
      <c r="BB25" s="163">
        <f>IFERROR(IF(AY25-BA25-BC25&lt;=0,0,AY25-BA25-BC25),0)</f>
        <v/>
      </c>
      <c r="BC25" s="163">
        <f>BA25</f>
        <v/>
      </c>
      <c r="BD25" s="163">
        <f>IFERROR(IF(AY25&lt;((1/2*AX25*AZ25^2)*2),SQRT((AY25/2)*2/AX25),AZ25),0)</f>
        <v/>
      </c>
      <c r="BE25" s="163">
        <f>IFERROR(BB25/AW25,0)</f>
        <v/>
      </c>
      <c r="BF25" s="163">
        <f>BD25</f>
        <v/>
      </c>
      <c r="BG25" s="163">
        <f>IF(AV25&gt;0,AV25,SUM(BD25:BF25))</f>
        <v/>
      </c>
      <c r="BH25" s="163">
        <f>BH24</f>
        <v/>
      </c>
      <c r="BI25" s="163">
        <f>BG25*BH25</f>
        <v/>
      </c>
      <c r="BK25" s="160">
        <f>BK24+1</f>
        <v/>
      </c>
      <c r="BL25" s="161" t="n"/>
      <c r="BM25" s="162" t="n"/>
      <c r="BN25" s="163">
        <f>IFERROR(VLOOKUP(BL25,'Master List'!$A:$D,2,0),0)</f>
        <v/>
      </c>
      <c r="BO25" s="163">
        <f>IFERROR(VLOOKUP(BL25,'Master List'!$A:$D,3,0),0)</f>
        <v/>
      </c>
      <c r="BP25" s="163">
        <f>IFERROR(VLOOKUP(BL25,'Master List'!$A:$D,4,0),0)</f>
        <v/>
      </c>
      <c r="BQ25" s="163" t="n"/>
      <c r="BR25" s="163">
        <f>IFERROR(BO25/BP25,0)</f>
        <v/>
      </c>
      <c r="BS25" s="163">
        <f>IFERROR(IF(BQ25&lt;((1/2*BP25*BR25^2)*2),1/2*BP25*SQRT((BQ25/2)*2/BP25)^2,1/2*BP25*BR25^2),0)</f>
        <v/>
      </c>
      <c r="BT25" s="163">
        <f>IFERROR(IF(BQ25-BS25-BU25&lt;=0,0,BQ25-BS25-BU25),0)</f>
        <v/>
      </c>
      <c r="BU25" s="163">
        <f>BS25</f>
        <v/>
      </c>
      <c r="BV25" s="163">
        <f>IFERROR(IF(BQ25&lt;((1/2*BP25*BR25^2)*2),SQRT((BQ25/2)*2/BP25),BR25),0)</f>
        <v/>
      </c>
      <c r="BW25" s="163">
        <f>IFERROR(BT25/BO25,0)</f>
        <v/>
      </c>
      <c r="BX25" s="163">
        <f>BV25</f>
        <v/>
      </c>
      <c r="BY25" s="163">
        <f>IF(BN25&gt;0,BN25,SUM(BV25:BX25))</f>
        <v/>
      </c>
      <c r="BZ25" s="163" t="n"/>
      <c r="CA25" s="163">
        <f>BY25*BZ25</f>
        <v/>
      </c>
      <c r="CC25" s="148" t="n">
        <v>0</v>
      </c>
    </row>
    <row r="26">
      <c r="A26" s="30" t="inlineStr">
        <is>
          <t>Distance between GTP station to dock loading station m</t>
        </is>
      </c>
      <c r="B26" s="26" t="n">
        <v>10</v>
      </c>
      <c r="I26" s="160">
        <f>I25+1</f>
        <v/>
      </c>
      <c r="J26" s="161" t="n"/>
      <c r="K26" s="508" t="inlineStr">
        <is>
          <t>Aisle hopping</t>
        </is>
      </c>
      <c r="L26" s="163">
        <f>IFERROR(VLOOKUP(J26,'Master List'!$A:$D,2,0),0)</f>
        <v/>
      </c>
      <c r="M26" s="163">
        <f>IFERROR(VLOOKUP(J26,'Master List'!$A:$D,3,0),0)</f>
        <v/>
      </c>
      <c r="N26" s="163">
        <f>IFERROR(VLOOKUP(J26,'Master List'!$A:$D,4,0),0)</f>
        <v/>
      </c>
      <c r="O26" s="163" t="n"/>
      <c r="P26" s="163">
        <f>IFERROR(M26/N26,0)</f>
        <v/>
      </c>
      <c r="Q26" s="163">
        <f>IFERROR(IF(O26&lt;((1/2*N26*P26^2)*2),1/2*N26*SQRT((O26/2)*2/N26)^2,1/2*N26*P26^2),0)</f>
        <v/>
      </c>
      <c r="R26" s="163">
        <f>IFERROR(IF(O26-Q26-S26&lt;=0,0,O26-Q26-S26),0)</f>
        <v/>
      </c>
      <c r="S26" s="163">
        <f>Q26</f>
        <v/>
      </c>
      <c r="T26" s="163">
        <f>IFERROR(IF(O26&lt;((1/2*N26*P26^2)*2),SQRT((O26/2)*2/N26),P26),0)</f>
        <v/>
      </c>
      <c r="U26" s="163">
        <f>IFERROR(R26/M26,0)</f>
        <v/>
      </c>
      <c r="V26" s="163">
        <f>T26</f>
        <v/>
      </c>
      <c r="W26" s="163">
        <f>IF(L26&gt;0,L26,SUM(T26:V26))</f>
        <v/>
      </c>
      <c r="X26" s="163" t="n"/>
      <c r="Y26" s="163">
        <f>W26*X26</f>
        <v/>
      </c>
      <c r="AA26" s="160">
        <f>AA25+1</f>
        <v/>
      </c>
      <c r="AB26" s="161" t="n"/>
      <c r="AC26" s="508" t="inlineStr">
        <is>
          <t>Aisle hopping</t>
        </is>
      </c>
      <c r="AD26" s="163">
        <f>IFERROR(VLOOKUP(AB26,'Master List'!$A:$D,2,0),0)</f>
        <v/>
      </c>
      <c r="AE26" s="163">
        <f>IFERROR(VLOOKUP(AB26,'Master List'!$A:$D,3,0),0)</f>
        <v/>
      </c>
      <c r="AF26" s="163">
        <f>IFERROR(VLOOKUP(AB26,'Master List'!$A:$D,4,0),0)</f>
        <v/>
      </c>
      <c r="AG26" s="163" t="n"/>
      <c r="AH26" s="163">
        <f>IFERROR(AE26/AF26,0)</f>
        <v/>
      </c>
      <c r="AI26" s="163">
        <f>IFERROR(IF(AG26&lt;((1/2*AF26*AH26^2)*2),1/2*AF26*SQRT((AG26/2)*2/AF26)^2,1/2*AF26*AH26^2),0)</f>
        <v/>
      </c>
      <c r="AJ26" s="163">
        <f>IFERROR(IF(AG26-AI26-AK26&lt;=0,0,AG26-AI26-AK26),0)</f>
        <v/>
      </c>
      <c r="AK26" s="163">
        <f>AI26</f>
        <v/>
      </c>
      <c r="AL26" s="163">
        <f>IFERROR(IF(AG26&lt;((1/2*AF26*AH26^2)*2),SQRT((AG26/2)*2/AF26),AH26),0)</f>
        <v/>
      </c>
      <c r="AM26" s="163">
        <f>IFERROR(AJ26/AE26,0)</f>
        <v/>
      </c>
      <c r="AN26" s="163">
        <f>AL26</f>
        <v/>
      </c>
      <c r="AO26" s="163">
        <f>IF(AD26&gt;0,AD26,SUM(AL26:AN26))</f>
        <v/>
      </c>
      <c r="AP26" s="163" t="n"/>
      <c r="AQ26" s="163">
        <f>AO26*AP26</f>
        <v/>
      </c>
      <c r="AS26" s="160">
        <f>AS25+1</f>
        <v/>
      </c>
      <c r="AT26" s="161" t="n"/>
      <c r="AU26" s="508" t="inlineStr">
        <is>
          <t>Aisle hopping</t>
        </is>
      </c>
      <c r="AV26" s="163">
        <f>IFERROR(VLOOKUP(AT26,'Master List'!$A:$D,2,0),0)</f>
        <v/>
      </c>
      <c r="AW26" s="163">
        <f>IFERROR(VLOOKUP(AT26,'Master List'!$A:$D,3,0),0)</f>
        <v/>
      </c>
      <c r="AX26" s="163">
        <f>IFERROR(VLOOKUP(AT26,'Master List'!$A:$D,4,0),0)</f>
        <v/>
      </c>
      <c r="AY26" s="163" t="n"/>
      <c r="AZ26" s="163">
        <f>IFERROR(AW26/AX26,0)</f>
        <v/>
      </c>
      <c r="BA26" s="163">
        <f>IFERROR(IF(AY26&lt;((1/2*AX26*AZ26^2)*2),1/2*AX26*SQRT((AY26/2)*2/AX26)^2,1/2*AX26*AZ26^2),0)</f>
        <v/>
      </c>
      <c r="BB26" s="163">
        <f>IFERROR(IF(AY26-BA26-BC26&lt;=0,0,AY26-BA26-BC26),0)</f>
        <v/>
      </c>
      <c r="BC26" s="163">
        <f>BA26</f>
        <v/>
      </c>
      <c r="BD26" s="163">
        <f>IFERROR(IF(AY26&lt;((1/2*AX26*AZ26^2)*2),SQRT((AY26/2)*2/AX26),AZ26),0)</f>
        <v/>
      </c>
      <c r="BE26" s="163">
        <f>IFERROR(BB26/AW26,0)</f>
        <v/>
      </c>
      <c r="BF26" s="163">
        <f>BD26</f>
        <v/>
      </c>
      <c r="BG26" s="163">
        <f>IF(AV26&gt;0,AV26,SUM(BD26:BF26))</f>
        <v/>
      </c>
      <c r="BH26" s="163" t="n"/>
      <c r="BI26" s="163">
        <f>BG26*BH26</f>
        <v/>
      </c>
      <c r="BK26" s="160">
        <f>BK25+1</f>
        <v/>
      </c>
      <c r="BL26" s="161" t="n"/>
      <c r="BM26" s="508" t="inlineStr">
        <is>
          <t>Aisle hopping</t>
        </is>
      </c>
      <c r="BN26" s="163">
        <f>IFERROR(VLOOKUP(BL26,'Master List'!$A:$D,2,0),0)</f>
        <v/>
      </c>
      <c r="BO26" s="163">
        <f>IFERROR(VLOOKUP(BL26,'Master List'!$A:$D,3,0),0)</f>
        <v/>
      </c>
      <c r="BP26" s="163">
        <f>IFERROR(VLOOKUP(BL26,'Master List'!$A:$D,4,0),0)</f>
        <v/>
      </c>
      <c r="BQ26" s="163" t="n"/>
      <c r="BR26" s="163">
        <f>IFERROR(BO26/BP26,0)</f>
        <v/>
      </c>
      <c r="BS26" s="163">
        <f>IFERROR(IF(BQ26&lt;((1/2*BP26*BR26^2)*2),1/2*BP26*SQRT((BQ26/2)*2/BP26)^2,1/2*BP26*BR26^2),0)</f>
        <v/>
      </c>
      <c r="BT26" s="163">
        <f>IFERROR(IF(BQ26-BS26-BU26&lt;=0,0,BQ26-BS26-BU26),0)</f>
        <v/>
      </c>
      <c r="BU26" s="163">
        <f>BS26</f>
        <v/>
      </c>
      <c r="BV26" s="163">
        <f>IFERROR(IF(BQ26&lt;((1/2*BP26*BR26^2)*2),SQRT((BQ26/2)*2/BP26),BR26),0)</f>
        <v/>
      </c>
      <c r="BW26" s="163">
        <f>IFERROR(BT26/BO26,0)</f>
        <v/>
      </c>
      <c r="BX26" s="163">
        <f>BV26</f>
        <v/>
      </c>
      <c r="BY26" s="163">
        <f>IF(BN26&gt;0,BN26,SUM(BV26:BX26))</f>
        <v/>
      </c>
      <c r="BZ26" s="163" t="n"/>
      <c r="CA26" s="163">
        <f>BY26*BZ26</f>
        <v/>
      </c>
      <c r="CC26" s="148" t="n">
        <v>8</v>
      </c>
    </row>
    <row r="27">
      <c r="A27" s="1" t="inlineStr">
        <is>
          <t>First level height in racks from ground m</t>
        </is>
      </c>
      <c r="B27" s="26" t="n">
        <v>0.4</v>
      </c>
      <c r="I27" s="160">
        <f>I26+1</f>
        <v/>
      </c>
      <c r="J27" s="220" t="inlineStr">
        <is>
          <t>Veloce Horizontal Running Loaded</t>
        </is>
      </c>
      <c r="K27" s="162" t="inlineStr">
        <is>
          <t>Crossing aisle for hopping</t>
        </is>
      </c>
      <c r="L27" s="163">
        <f>IFERROR(VLOOKUP(J27,'Master List'!$A:$D,2,0),0)</f>
        <v/>
      </c>
      <c r="M27" s="163">
        <f>IFERROR(VLOOKUP(J27,'Master List'!$A:$D,3,0),0)</f>
        <v/>
      </c>
      <c r="N27" s="163">
        <f>IFERROR(VLOOKUP(J27,'Master List'!$A:$D,4,0),0)</f>
        <v/>
      </c>
      <c r="O27" s="163" t="n">
        <v>1.3</v>
      </c>
      <c r="P27" s="163">
        <f>IFERROR(M27/N27,0)</f>
        <v/>
      </c>
      <c r="Q27" s="163">
        <f>IFERROR(IF(O27&lt;((1/2*N27*P27^2)*2),1/2*N27*SQRT((O27/2)*2/N27)^2,1/2*N27*P27^2),0)</f>
        <v/>
      </c>
      <c r="R27" s="163">
        <f>IFERROR(IF(O27-Q27-S27&lt;=0,0,O27-Q27-S27),0)</f>
        <v/>
      </c>
      <c r="S27" s="163">
        <f>Q27</f>
        <v/>
      </c>
      <c r="T27" s="163">
        <f>IFERROR(IF(O27&lt;((1/2*N27*P27^2)*2),SQRT((O27/2)*2/N27),P27),0)</f>
        <v/>
      </c>
      <c r="U27" s="163">
        <f>IFERROR(R27/M27,0)</f>
        <v/>
      </c>
      <c r="V27" s="163">
        <f>T27</f>
        <v/>
      </c>
      <c r="W27" s="163">
        <f>IF(L27&gt;0,L27,SUM(T27:V27))</f>
        <v/>
      </c>
      <c r="X27" s="163">
        <f>IF($B$34="No",0,2)</f>
        <v/>
      </c>
      <c r="Y27" s="163">
        <f>W27*X27</f>
        <v/>
      </c>
      <c r="AA27" s="160">
        <f>AA26+1</f>
        <v/>
      </c>
      <c r="AB27" s="220" t="inlineStr">
        <is>
          <t>Veloce Horizontal Running Loaded</t>
        </is>
      </c>
      <c r="AC27" s="162" t="inlineStr">
        <is>
          <t>Crossing aisle for hopping</t>
        </is>
      </c>
      <c r="AD27" s="163">
        <f>IFERROR(VLOOKUP(AB27,'Master List'!$A:$D,2,0),0)</f>
        <v/>
      </c>
      <c r="AE27" s="163">
        <f>IFERROR(VLOOKUP(AB27,'Master List'!$A:$D,3,0),0)</f>
        <v/>
      </c>
      <c r="AF27" s="163">
        <f>IFERROR(VLOOKUP(AB27,'Master List'!$A:$D,4,0),0)</f>
        <v/>
      </c>
      <c r="AG27" s="163" t="n">
        <v>1.3</v>
      </c>
      <c r="AH27" s="163">
        <f>IFERROR(AE27/AF27,0)</f>
        <v/>
      </c>
      <c r="AI27" s="163">
        <f>IFERROR(IF(AG27&lt;((1/2*AF27*AH27^2)*2),1/2*AF27*SQRT((AG27/2)*2/AF27)^2,1/2*AF27*AH27^2),0)</f>
        <v/>
      </c>
      <c r="AJ27" s="163">
        <f>IFERROR(IF(AG27-AI27-AK27&lt;=0,0,AG27-AI27-AK27),0)</f>
        <v/>
      </c>
      <c r="AK27" s="163">
        <f>AI27</f>
        <v/>
      </c>
      <c r="AL27" s="163">
        <f>IFERROR(IF(AG27&lt;((1/2*AF27*AH27^2)*2),SQRT((AG27/2)*2/AF27),AH27),0)</f>
        <v/>
      </c>
      <c r="AM27" s="163">
        <f>IFERROR(AJ27/AE27,0)</f>
        <v/>
      </c>
      <c r="AN27" s="163">
        <f>AL27</f>
        <v/>
      </c>
      <c r="AO27" s="163">
        <f>IF(AD27&gt;0,AD27,SUM(AL27:AN27))</f>
        <v/>
      </c>
      <c r="AP27" s="163">
        <f>IF($B$34="No",0,2)</f>
        <v/>
      </c>
      <c r="AQ27" s="163">
        <f>AO27*AP27</f>
        <v/>
      </c>
      <c r="AS27" s="160">
        <f>AS26+1</f>
        <v/>
      </c>
      <c r="AT27" s="220" t="inlineStr">
        <is>
          <t>Veloce Horizontal Running Loaded</t>
        </is>
      </c>
      <c r="AU27" s="162" t="inlineStr">
        <is>
          <t>Crossing aisle for hopping</t>
        </is>
      </c>
      <c r="AV27" s="163">
        <f>IFERROR(VLOOKUP(AT27,'Master List'!$A:$D,2,0),0)</f>
        <v/>
      </c>
      <c r="AW27" s="163">
        <f>IFERROR(VLOOKUP(AT27,'Master List'!$A:$D,3,0),0)</f>
        <v/>
      </c>
      <c r="AX27" s="163">
        <f>IFERROR(VLOOKUP(AT27,'Master List'!$A:$D,4,0),0)</f>
        <v/>
      </c>
      <c r="AY27" s="163" t="n">
        <v>1.3</v>
      </c>
      <c r="AZ27" s="163">
        <f>IFERROR(AW27/AX27,0)</f>
        <v/>
      </c>
      <c r="BA27" s="163">
        <f>IFERROR(IF(AY27&lt;((1/2*AX27*AZ27^2)*2),1/2*AX27*SQRT((AY27/2)*2/AX27)^2,1/2*AX27*AZ27^2),0)</f>
        <v/>
      </c>
      <c r="BB27" s="163">
        <f>IFERROR(IF(AY27-BA27-BC27&lt;=0,0,AY27-BA27-BC27),0)</f>
        <v/>
      </c>
      <c r="BC27" s="163">
        <f>BA27</f>
        <v/>
      </c>
      <c r="BD27" s="163">
        <f>IFERROR(IF(AY27&lt;((1/2*AX27*AZ27^2)*2),SQRT((AY27/2)*2/AX27),AZ27),0)</f>
        <v/>
      </c>
      <c r="BE27" s="163">
        <f>IFERROR(BB27/AW27,0)</f>
        <v/>
      </c>
      <c r="BF27" s="163">
        <f>BD27</f>
        <v/>
      </c>
      <c r="BG27" s="163">
        <f>IF(AV27&gt;0,AV27,SUM(BD27:BF27))</f>
        <v/>
      </c>
      <c r="BH27" s="163">
        <f>IF($B$34="No",0,2)</f>
        <v/>
      </c>
      <c r="BI27" s="163">
        <f>BG27*BH27</f>
        <v/>
      </c>
      <c r="BK27" s="160">
        <f>BK26+1</f>
        <v/>
      </c>
      <c r="BL27" s="220" t="inlineStr">
        <is>
          <t>Veloce Horizontal Running Loaded</t>
        </is>
      </c>
      <c r="BM27" s="162" t="inlineStr">
        <is>
          <t>Crossing aisle for hopping</t>
        </is>
      </c>
      <c r="BN27" s="163">
        <f>IFERROR(VLOOKUP(BL27,'Master List'!$A:$D,2,0),0)</f>
        <v/>
      </c>
      <c r="BO27" s="163">
        <f>IFERROR(VLOOKUP(BL27,'Master List'!$A:$D,3,0),0)</f>
        <v/>
      </c>
      <c r="BP27" s="163">
        <f>IFERROR(VLOOKUP(BL27,'Master List'!$A:$D,4,0),0)</f>
        <v/>
      </c>
      <c r="BQ27" s="163" t="n">
        <v>1.3</v>
      </c>
      <c r="BR27" s="163">
        <f>IFERROR(BO27/BP27,0)</f>
        <v/>
      </c>
      <c r="BS27" s="163">
        <f>IFERROR(IF(BQ27&lt;((1/2*BP27*BR27^2)*2),1/2*BP27*SQRT((BQ27/2)*2/BP27)^2,1/2*BP27*BR27^2),0)</f>
        <v/>
      </c>
      <c r="BT27" s="163">
        <f>IFERROR(IF(BQ27-BS27-BU27&lt;=0,0,BQ27-BS27-BU27),0)</f>
        <v/>
      </c>
      <c r="BU27" s="163">
        <f>BS27</f>
        <v/>
      </c>
      <c r="BV27" s="163">
        <f>IFERROR(IF(BQ27&lt;((1/2*BP27*BR27^2)*2),SQRT((BQ27/2)*2/BP27),BR27),0)</f>
        <v/>
      </c>
      <c r="BW27" s="163">
        <f>IFERROR(BT27/BO27,0)</f>
        <v/>
      </c>
      <c r="BX27" s="163">
        <f>BV27</f>
        <v/>
      </c>
      <c r="BY27" s="163">
        <f>IF(BN27&gt;0,BN27,SUM(BV27:BX27))</f>
        <v/>
      </c>
      <c r="BZ27" s="163">
        <f>IF($B$34="No",0,2)</f>
        <v/>
      </c>
      <c r="CA27" s="163">
        <f>BY27*BZ27</f>
        <v/>
      </c>
      <c r="CC27" s="148" t="n">
        <v>0</v>
      </c>
    </row>
    <row r="28">
      <c r="A28" s="33" t="inlineStr">
        <is>
          <t>Per level height m</t>
        </is>
      </c>
      <c r="B28" s="26" t="n">
        <v>0.8</v>
      </c>
      <c r="I28" s="160">
        <f>I27+1</f>
        <v/>
      </c>
      <c r="J28" s="220" t="inlineStr">
        <is>
          <t>Veloce 90 degree Turn</t>
        </is>
      </c>
      <c r="K28" s="162" t="inlineStr">
        <is>
          <t>90 degree turns while hopping</t>
        </is>
      </c>
      <c r="L28" s="163">
        <f>IFERROR(VLOOKUP(J28,'Master List'!$A:$D,2,0),0)</f>
        <v/>
      </c>
      <c r="M28" s="163">
        <f>IFERROR(VLOOKUP(J28,'Master List'!$A:$D,3,0),0)</f>
        <v/>
      </c>
      <c r="N28" s="163">
        <f>IFERROR(VLOOKUP(J28,'Master List'!$A:$D,4,0),0)</f>
        <v/>
      </c>
      <c r="O28" s="163" t="n"/>
      <c r="P28" s="163">
        <f>IFERROR(M28/N28,0)</f>
        <v/>
      </c>
      <c r="Q28" s="163">
        <f>IFERROR(IF(O28&lt;((1/2*N28*P28^2)*2),1/2*N28*SQRT((O28/2)*2/N28)^2,1/2*N28*P28^2),0)</f>
        <v/>
      </c>
      <c r="R28" s="163">
        <f>IFERROR(IF(O28-Q28-S28&lt;=0,0,O28-Q28-S28),0)</f>
        <v/>
      </c>
      <c r="S28" s="163">
        <f>Q28</f>
        <v/>
      </c>
      <c r="T28" s="163">
        <f>IFERROR(IF(O28&lt;((1/2*N28*P28^2)*2),SQRT((O28/2)*2/N28),P28),0)</f>
        <v/>
      </c>
      <c r="U28" s="163">
        <f>IFERROR(R28/M28,0)</f>
        <v/>
      </c>
      <c r="V28" s="163">
        <f>T28</f>
        <v/>
      </c>
      <c r="W28" s="163">
        <f>IF(L28&gt;0,L28,SUM(T28:V28))</f>
        <v/>
      </c>
      <c r="X28" s="163">
        <f>IF($B$34="No",0,(2*2))</f>
        <v/>
      </c>
      <c r="Y28" s="163">
        <f>W28*X28</f>
        <v/>
      </c>
      <c r="AA28" s="160">
        <f>AA27+1</f>
        <v/>
      </c>
      <c r="AB28" s="220" t="inlineStr">
        <is>
          <t>Veloce 90 degree Turn</t>
        </is>
      </c>
      <c r="AC28" s="162" t="inlineStr">
        <is>
          <t>90 degree turns while hopping</t>
        </is>
      </c>
      <c r="AD28" s="163">
        <f>IFERROR(VLOOKUP(AB28,'Master List'!$A:$D,2,0),0)</f>
        <v/>
      </c>
      <c r="AE28" s="163">
        <f>IFERROR(VLOOKUP(AB28,'Master List'!$A:$D,3,0),0)</f>
        <v/>
      </c>
      <c r="AF28" s="163">
        <f>IFERROR(VLOOKUP(AB28,'Master List'!$A:$D,4,0),0)</f>
        <v/>
      </c>
      <c r="AG28" s="163" t="n"/>
      <c r="AH28" s="163">
        <f>IFERROR(AE28/AF28,0)</f>
        <v/>
      </c>
      <c r="AI28" s="163">
        <f>IFERROR(IF(AG28&lt;((1/2*AF28*AH28^2)*2),1/2*AF28*SQRT((AG28/2)*2/AF28)^2,1/2*AF28*AH28^2),0)</f>
        <v/>
      </c>
      <c r="AJ28" s="163">
        <f>IFERROR(IF(AG28-AI28-AK28&lt;=0,0,AG28-AI28-AK28),0)</f>
        <v/>
      </c>
      <c r="AK28" s="163">
        <f>AI28</f>
        <v/>
      </c>
      <c r="AL28" s="163">
        <f>IFERROR(IF(AG28&lt;((1/2*AF28*AH28^2)*2),SQRT((AG28/2)*2/AF28),AH28),0)</f>
        <v/>
      </c>
      <c r="AM28" s="163">
        <f>IFERROR(AJ28/AE28,0)</f>
        <v/>
      </c>
      <c r="AN28" s="163">
        <f>AL28</f>
        <v/>
      </c>
      <c r="AO28" s="163">
        <f>IF(AD28&gt;0,AD28,SUM(AL28:AN28))</f>
        <v/>
      </c>
      <c r="AP28" s="163">
        <f>IF($B$34="No",0,(2*2))</f>
        <v/>
      </c>
      <c r="AQ28" s="163">
        <f>AO28*AP28</f>
        <v/>
      </c>
      <c r="AS28" s="160">
        <f>AS27+1</f>
        <v/>
      </c>
      <c r="AT28" s="220" t="inlineStr">
        <is>
          <t>Veloce 90 degree Turn</t>
        </is>
      </c>
      <c r="AU28" s="162" t="inlineStr">
        <is>
          <t>90 degree turns while hopping</t>
        </is>
      </c>
      <c r="AV28" s="163">
        <f>IFERROR(VLOOKUP(AT28,'Master List'!$A:$D,2,0),0)</f>
        <v/>
      </c>
      <c r="AW28" s="163">
        <f>IFERROR(VLOOKUP(AT28,'Master List'!$A:$D,3,0),0)</f>
        <v/>
      </c>
      <c r="AX28" s="163">
        <f>IFERROR(VLOOKUP(AT28,'Master List'!$A:$D,4,0),0)</f>
        <v/>
      </c>
      <c r="AY28" s="163" t="n"/>
      <c r="AZ28" s="163">
        <f>IFERROR(AW28/AX28,0)</f>
        <v/>
      </c>
      <c r="BA28" s="163">
        <f>IFERROR(IF(AY28&lt;((1/2*AX28*AZ28^2)*2),1/2*AX28*SQRT((AY28/2)*2/AX28)^2,1/2*AX28*AZ28^2),0)</f>
        <v/>
      </c>
      <c r="BB28" s="163">
        <f>IFERROR(IF(AY28-BA28-BC28&lt;=0,0,AY28-BA28-BC28),0)</f>
        <v/>
      </c>
      <c r="BC28" s="163">
        <f>BA28</f>
        <v/>
      </c>
      <c r="BD28" s="163">
        <f>IFERROR(IF(AY28&lt;((1/2*AX28*AZ28^2)*2),SQRT((AY28/2)*2/AX28),AZ28),0)</f>
        <v/>
      </c>
      <c r="BE28" s="163">
        <f>IFERROR(BB28/AW28,0)</f>
        <v/>
      </c>
      <c r="BF28" s="163">
        <f>BD28</f>
        <v/>
      </c>
      <c r="BG28" s="163">
        <f>IF(AV28&gt;0,AV28,SUM(BD28:BF28))</f>
        <v/>
      </c>
      <c r="BH28" s="163">
        <f>IF($B$34="No",0,(2*2))</f>
        <v/>
      </c>
      <c r="BI28" s="163">
        <f>BG28*BH28</f>
        <v/>
      </c>
      <c r="BK28" s="160">
        <f>BK27+1</f>
        <v/>
      </c>
      <c r="BL28" s="220" t="inlineStr">
        <is>
          <t>Veloce 90 degree Turn</t>
        </is>
      </c>
      <c r="BM28" s="162" t="inlineStr">
        <is>
          <t>90 degree turns while hopping</t>
        </is>
      </c>
      <c r="BN28" s="163">
        <f>IFERROR(VLOOKUP(BL28,'Master List'!$A:$D,2,0),0)</f>
        <v/>
      </c>
      <c r="BO28" s="163">
        <f>IFERROR(VLOOKUP(BL28,'Master List'!$A:$D,3,0),0)</f>
        <v/>
      </c>
      <c r="BP28" s="163">
        <f>IFERROR(VLOOKUP(BL28,'Master List'!$A:$D,4,0),0)</f>
        <v/>
      </c>
      <c r="BQ28" s="163" t="n"/>
      <c r="BR28" s="163">
        <f>IFERROR(BO28/BP28,0)</f>
        <v/>
      </c>
      <c r="BS28" s="163">
        <f>IFERROR(IF(BQ28&lt;((1/2*BP28*BR28^2)*2),1/2*BP28*SQRT((BQ28/2)*2/BP28)^2,1/2*BP28*BR28^2),0)</f>
        <v/>
      </c>
      <c r="BT28" s="163">
        <f>IFERROR(IF(BQ28-BS28-BU28&lt;=0,0,BQ28-BS28-BU28),0)</f>
        <v/>
      </c>
      <c r="BU28" s="163">
        <f>BS28</f>
        <v/>
      </c>
      <c r="BV28" s="163">
        <f>IFERROR(IF(BQ28&lt;((1/2*BP28*BR28^2)*2),SQRT((BQ28/2)*2/BP28),BR28),0)</f>
        <v/>
      </c>
      <c r="BW28" s="163">
        <f>IFERROR(BT28/BO28,0)</f>
        <v/>
      </c>
      <c r="BX28" s="163">
        <f>BV28</f>
        <v/>
      </c>
      <c r="BY28" s="163">
        <f>IF(BN28&gt;0,BN28,SUM(BV28:BX28))</f>
        <v/>
      </c>
      <c r="BZ28" s="163">
        <f>IF($B$34="No",0,(2*2))</f>
        <v/>
      </c>
      <c r="CA28" s="163">
        <f>BY28*BZ28</f>
        <v/>
      </c>
      <c r="CC28" s="148" t="n">
        <v>9</v>
      </c>
    </row>
    <row r="29">
      <c r="A29" s="33" t="inlineStr">
        <is>
          <t>Veloce cradle height (Max travel distance of cradle on Veloce)</t>
        </is>
      </c>
      <c r="B29" s="26" t="n">
        <v>4</v>
      </c>
      <c r="I29" s="160">
        <f>I28+1</f>
        <v/>
      </c>
      <c r="J29" s="220" t="inlineStr">
        <is>
          <t>Veloce Horizontal Running Loaded</t>
        </is>
      </c>
      <c r="K29" s="162" t="inlineStr">
        <is>
          <t>Additional distance to reach cross asile and vice versa</t>
        </is>
      </c>
      <c r="L29" s="163">
        <f>IFERROR(VLOOKUP(J29,'Master List'!$A:$D,2,0),0)</f>
        <v/>
      </c>
      <c r="M29" s="163">
        <f>IFERROR(VLOOKUP(J29,'Master List'!$A:$D,3,0),0)</f>
        <v/>
      </c>
      <c r="N29" s="163">
        <f>IFERROR(VLOOKUP(J29,'Master List'!$A:$D,4,0),0)</f>
        <v/>
      </c>
      <c r="O29" s="163" t="n">
        <v>3</v>
      </c>
      <c r="P29" s="163">
        <f>IFERROR(M29/N29,0)</f>
        <v/>
      </c>
      <c r="Q29" s="163">
        <f>IFERROR(IF(O29&lt;((1/2*N29*P29^2)*2),1/2*N29*SQRT((O29/2)*2/N29)^2,1/2*N29*P29^2),0)</f>
        <v/>
      </c>
      <c r="R29" s="163">
        <f>IFERROR(IF(O29-Q29-S29&lt;=0,0,O29-Q29-S29),0)</f>
        <v/>
      </c>
      <c r="S29" s="163">
        <f>Q29</f>
        <v/>
      </c>
      <c r="T29" s="163">
        <f>IFERROR(IF(O29&lt;((1/2*N29*P29^2)*2),SQRT((O29/2)*2/N29),P29),0)</f>
        <v/>
      </c>
      <c r="U29" s="163">
        <f>IFERROR(R29/M29,0)</f>
        <v/>
      </c>
      <c r="V29" s="163">
        <f>T29</f>
        <v/>
      </c>
      <c r="W29" s="163">
        <f>IF(L29&gt;0,L29,SUM(T29:V29))</f>
        <v/>
      </c>
      <c r="X29" s="163" t="n">
        <v>2</v>
      </c>
      <c r="Y29" s="163">
        <f>W29*X29</f>
        <v/>
      </c>
      <c r="AA29" s="160">
        <f>AA28+1</f>
        <v/>
      </c>
      <c r="AB29" s="220" t="inlineStr">
        <is>
          <t>Veloce Horizontal Running Loaded</t>
        </is>
      </c>
      <c r="AC29" s="162" t="inlineStr">
        <is>
          <t>Additional distance to reach cross asile and vice versa</t>
        </is>
      </c>
      <c r="AD29" s="163">
        <f>IFERROR(VLOOKUP(AB29,'Master List'!$A:$D,2,0),0)</f>
        <v/>
      </c>
      <c r="AE29" s="163">
        <f>IFERROR(VLOOKUP(AB29,'Master List'!$A:$D,3,0),0)</f>
        <v/>
      </c>
      <c r="AF29" s="163">
        <f>IFERROR(VLOOKUP(AB29,'Master List'!$A:$D,4,0),0)</f>
        <v/>
      </c>
      <c r="AG29" s="163" t="n">
        <v>3</v>
      </c>
      <c r="AH29" s="163">
        <f>IFERROR(AE29/AF29,0)</f>
        <v/>
      </c>
      <c r="AI29" s="163">
        <f>IFERROR(IF(AG29&lt;((1/2*AF29*AH29^2)*2),1/2*AF29*SQRT((AG29/2)*2/AF29)^2,1/2*AF29*AH29^2),0)</f>
        <v/>
      </c>
      <c r="AJ29" s="163">
        <f>IFERROR(IF(AG29-AI29-AK29&lt;=0,0,AG29-AI29-AK29),0)</f>
        <v/>
      </c>
      <c r="AK29" s="163">
        <f>AI29</f>
        <v/>
      </c>
      <c r="AL29" s="163">
        <f>IFERROR(IF(AG29&lt;((1/2*AF29*AH29^2)*2),SQRT((AG29/2)*2/AF29),AH29),0)</f>
        <v/>
      </c>
      <c r="AM29" s="163">
        <f>IFERROR(AJ29/AE29,0)</f>
        <v/>
      </c>
      <c r="AN29" s="163">
        <f>AL29</f>
        <v/>
      </c>
      <c r="AO29" s="163">
        <f>IF(AD29&gt;0,AD29,SUM(AL29:AN29))</f>
        <v/>
      </c>
      <c r="AP29" s="163" t="n">
        <v>2</v>
      </c>
      <c r="AQ29" s="163">
        <f>AO29*AP29</f>
        <v/>
      </c>
      <c r="AS29" s="160">
        <f>AS28+1</f>
        <v/>
      </c>
      <c r="AT29" s="220" t="inlineStr">
        <is>
          <t>Veloce Horizontal Running Loaded</t>
        </is>
      </c>
      <c r="AU29" s="162" t="inlineStr">
        <is>
          <t>Additional distance to reach cross asile and vice versa</t>
        </is>
      </c>
      <c r="AV29" s="163">
        <f>IFERROR(VLOOKUP(AT29,'Master List'!$A:$D,2,0),0)</f>
        <v/>
      </c>
      <c r="AW29" s="163">
        <f>IFERROR(VLOOKUP(AT29,'Master List'!$A:$D,3,0),0)</f>
        <v/>
      </c>
      <c r="AX29" s="163">
        <f>IFERROR(VLOOKUP(AT29,'Master List'!$A:$D,4,0),0)</f>
        <v/>
      </c>
      <c r="AY29" s="163" t="n">
        <v>3</v>
      </c>
      <c r="AZ29" s="163">
        <f>IFERROR(AW29/AX29,0)</f>
        <v/>
      </c>
      <c r="BA29" s="163">
        <f>IFERROR(IF(AY29&lt;((1/2*AX29*AZ29^2)*2),1/2*AX29*SQRT((AY29/2)*2/AX29)^2,1/2*AX29*AZ29^2),0)</f>
        <v/>
      </c>
      <c r="BB29" s="163">
        <f>IFERROR(IF(AY29-BA29-BC29&lt;=0,0,AY29-BA29-BC29),0)</f>
        <v/>
      </c>
      <c r="BC29" s="163">
        <f>BA29</f>
        <v/>
      </c>
      <c r="BD29" s="163">
        <f>IFERROR(IF(AY29&lt;((1/2*AX29*AZ29^2)*2),SQRT((AY29/2)*2/AX29),AZ29),0)</f>
        <v/>
      </c>
      <c r="BE29" s="163">
        <f>IFERROR(BB29/AW29,0)</f>
        <v/>
      </c>
      <c r="BF29" s="163">
        <f>BD29</f>
        <v/>
      </c>
      <c r="BG29" s="163">
        <f>IF(AV29&gt;0,AV29,SUM(BD29:BF29))</f>
        <v/>
      </c>
      <c r="BH29" s="163" t="n">
        <v>2</v>
      </c>
      <c r="BI29" s="163">
        <f>BG29*BH29</f>
        <v/>
      </c>
      <c r="BK29" s="160">
        <f>BK28+1</f>
        <v/>
      </c>
      <c r="BL29" s="220" t="inlineStr">
        <is>
          <t>Veloce Horizontal Running Loaded</t>
        </is>
      </c>
      <c r="BM29" s="162" t="inlineStr">
        <is>
          <t>Additional distance to reach cross asile and vice versa</t>
        </is>
      </c>
      <c r="BN29" s="163">
        <f>IFERROR(VLOOKUP(BL29,'Master List'!$A:$D,2,0),0)</f>
        <v/>
      </c>
      <c r="BO29" s="163">
        <f>IFERROR(VLOOKUP(BL29,'Master List'!$A:$D,3,0),0)</f>
        <v/>
      </c>
      <c r="BP29" s="163">
        <f>IFERROR(VLOOKUP(BL29,'Master List'!$A:$D,4,0),0)</f>
        <v/>
      </c>
      <c r="BQ29" s="163" t="n">
        <v>3</v>
      </c>
      <c r="BR29" s="163">
        <f>IFERROR(BO29/BP29,0)</f>
        <v/>
      </c>
      <c r="BS29" s="163">
        <f>IFERROR(IF(BQ29&lt;((1/2*BP29*BR29^2)*2),1/2*BP29*SQRT((BQ29/2)*2/BP29)^2,1/2*BP29*BR29^2),0)</f>
        <v/>
      </c>
      <c r="BT29" s="163">
        <f>IFERROR(IF(BQ29-BS29-BU29&lt;=0,0,BQ29-BS29-BU29),0)</f>
        <v/>
      </c>
      <c r="BU29" s="163">
        <f>BS29</f>
        <v/>
      </c>
      <c r="BV29" s="163">
        <f>IFERROR(IF(BQ29&lt;((1/2*BP29*BR29^2)*2),SQRT((BQ29/2)*2/BP29),BR29),0)</f>
        <v/>
      </c>
      <c r="BW29" s="163">
        <f>IFERROR(BT29/BO29,0)</f>
        <v/>
      </c>
      <c r="BX29" s="163">
        <f>BV29</f>
        <v/>
      </c>
      <c r="BY29" s="163">
        <f>IF(BN29&gt;0,BN29,SUM(BV29:BX29))</f>
        <v/>
      </c>
      <c r="BZ29" s="163" t="n">
        <v>2</v>
      </c>
      <c r="CA29" s="163">
        <f>BY29*BZ29</f>
        <v/>
      </c>
      <c r="CC29" s="148" t="n">
        <v>0</v>
      </c>
    </row>
    <row r="30">
      <c r="A30" s="33" t="inlineStr">
        <is>
          <t>Width of tote/ case in storage</t>
        </is>
      </c>
      <c r="B30" s="26" t="n">
        <v>0.4</v>
      </c>
      <c r="I30" s="160">
        <f>I29+1</f>
        <v/>
      </c>
      <c r="J30" s="165" t="n"/>
      <c r="K30" s="162" t="n"/>
      <c r="L30" s="163">
        <f>IFERROR(VLOOKUP(J30,'Master List'!$A:$D,2,0),0)</f>
        <v/>
      </c>
      <c r="M30" s="163">
        <f>IFERROR(VLOOKUP(J30,'Master List'!$A:$D,3,0),0)</f>
        <v/>
      </c>
      <c r="N30" s="163">
        <f>IFERROR(VLOOKUP(J30,'Master List'!$A:$D,4,0),0)</f>
        <v/>
      </c>
      <c r="O30" s="163" t="n"/>
      <c r="P30" s="163">
        <f>IFERROR(M30/N30,0)</f>
        <v/>
      </c>
      <c r="Q30" s="163">
        <f>IFERROR(IF(O30&lt;((1/2*N30*P30^2)*2),1/2*N30*SQRT((O30/2)*2/N30)^2,1/2*N30*P30^2),0)</f>
        <v/>
      </c>
      <c r="R30" s="163">
        <f>IFERROR(IF(O30-Q30-S30&lt;=0,0,O30-Q30-S30),0)</f>
        <v/>
      </c>
      <c r="S30" s="163">
        <f>Q30</f>
        <v/>
      </c>
      <c r="T30" s="163">
        <f>IFERROR(IF(O30&lt;((1/2*N30*P30^2)*2),SQRT((O30/2)*2/N30),P30),0)</f>
        <v/>
      </c>
      <c r="U30" s="163">
        <f>IFERROR(R30/M30,0)</f>
        <v/>
      </c>
      <c r="V30" s="163">
        <f>T30</f>
        <v/>
      </c>
      <c r="W30" s="163">
        <f>IF(L30&gt;0,L30,SUM(T30:V30))</f>
        <v/>
      </c>
      <c r="X30" s="163" t="n"/>
      <c r="Y30" s="163">
        <f>W30*X30</f>
        <v/>
      </c>
      <c r="AA30" s="160">
        <f>AA29+1</f>
        <v/>
      </c>
      <c r="AB30" s="165" t="n"/>
      <c r="AC30" s="162" t="n"/>
      <c r="AD30" s="163">
        <f>IFERROR(VLOOKUP(AB30,'Master List'!$A:$D,2,0),0)</f>
        <v/>
      </c>
      <c r="AE30" s="163">
        <f>IFERROR(VLOOKUP(AB30,'Master List'!$A:$D,3,0),0)</f>
        <v/>
      </c>
      <c r="AF30" s="163">
        <f>IFERROR(VLOOKUP(AB30,'Master List'!$A:$D,4,0),0)</f>
        <v/>
      </c>
      <c r="AG30" s="163" t="n"/>
      <c r="AH30" s="163">
        <f>IFERROR(AE30/AF30,0)</f>
        <v/>
      </c>
      <c r="AI30" s="163">
        <f>IFERROR(IF(AG30&lt;((1/2*AF30*AH30^2)*2),1/2*AF30*SQRT((AG30/2)*2/AF30)^2,1/2*AF30*AH30^2),0)</f>
        <v/>
      </c>
      <c r="AJ30" s="163">
        <f>IFERROR(IF(AG30-AI30-AK30&lt;=0,0,AG30-AI30-AK30),0)</f>
        <v/>
      </c>
      <c r="AK30" s="163">
        <f>AI30</f>
        <v/>
      </c>
      <c r="AL30" s="163">
        <f>IFERROR(IF(AG30&lt;((1/2*AF30*AH30^2)*2),SQRT((AG30/2)*2/AF30),AH30),0)</f>
        <v/>
      </c>
      <c r="AM30" s="163">
        <f>IFERROR(AJ30/AE30,0)</f>
        <v/>
      </c>
      <c r="AN30" s="163">
        <f>AL30</f>
        <v/>
      </c>
      <c r="AO30" s="163">
        <f>IF(AD30&gt;0,AD30,SUM(AL30:AN30))</f>
        <v/>
      </c>
      <c r="AP30" s="163" t="n"/>
      <c r="AQ30" s="163">
        <f>AO30*AP30</f>
        <v/>
      </c>
      <c r="AS30" s="160">
        <f>AS29+1</f>
        <v/>
      </c>
      <c r="AT30" s="165" t="n"/>
      <c r="AU30" s="162" t="n"/>
      <c r="AV30" s="163">
        <f>IFERROR(VLOOKUP(AT30,'Master List'!$A:$D,2,0),0)</f>
        <v/>
      </c>
      <c r="AW30" s="163">
        <f>IFERROR(VLOOKUP(AT30,'Master List'!$A:$D,3,0),0)</f>
        <v/>
      </c>
      <c r="AX30" s="163">
        <f>IFERROR(VLOOKUP(AT30,'Master List'!$A:$D,4,0),0)</f>
        <v/>
      </c>
      <c r="AY30" s="163" t="n"/>
      <c r="AZ30" s="163">
        <f>IFERROR(AW30/AX30,0)</f>
        <v/>
      </c>
      <c r="BA30" s="163">
        <f>IFERROR(IF(AY30&lt;((1/2*AX30*AZ30^2)*2),1/2*AX30*SQRT((AY30/2)*2/AX30)^2,1/2*AX30*AZ30^2),0)</f>
        <v/>
      </c>
      <c r="BB30" s="163">
        <f>IFERROR(IF(AY30-BA30-BC30&lt;=0,0,AY30-BA30-BC30),0)</f>
        <v/>
      </c>
      <c r="BC30" s="163">
        <f>BA30</f>
        <v/>
      </c>
      <c r="BD30" s="163">
        <f>IFERROR(IF(AY30&lt;((1/2*AX30*AZ30^2)*2),SQRT((AY30/2)*2/AX30),AZ30),0)</f>
        <v/>
      </c>
      <c r="BE30" s="163">
        <f>IFERROR(BB30/AW30,0)</f>
        <v/>
      </c>
      <c r="BF30" s="163">
        <f>BD30</f>
        <v/>
      </c>
      <c r="BG30" s="163">
        <f>IF(AV30&gt;0,AV30,SUM(BD30:BF30))</f>
        <v/>
      </c>
      <c r="BH30" s="163" t="n"/>
      <c r="BI30" s="163">
        <f>BG30*BH30</f>
        <v/>
      </c>
      <c r="BK30" s="160">
        <f>BK29+1</f>
        <v/>
      </c>
      <c r="BL30" s="165" t="n"/>
      <c r="BM30" s="162" t="n"/>
      <c r="BN30" s="163">
        <f>IFERROR(VLOOKUP(BL30,'Master List'!$A:$D,2,0),0)</f>
        <v/>
      </c>
      <c r="BO30" s="163">
        <f>IFERROR(VLOOKUP(BL30,'Master List'!$A:$D,3,0),0)</f>
        <v/>
      </c>
      <c r="BP30" s="163">
        <f>IFERROR(VLOOKUP(BL30,'Master List'!$A:$D,4,0),0)</f>
        <v/>
      </c>
      <c r="BQ30" s="163" t="n"/>
      <c r="BR30" s="163">
        <f>IFERROR(BO30/BP30,0)</f>
        <v/>
      </c>
      <c r="BS30" s="163">
        <f>IFERROR(IF(BQ30&lt;((1/2*BP30*BR30^2)*2),1/2*BP30*SQRT((BQ30/2)*2/BP30)^2,1/2*BP30*BR30^2),0)</f>
        <v/>
      </c>
      <c r="BT30" s="163">
        <f>IFERROR(IF(BQ30-BS30-BU30&lt;=0,0,BQ30-BS30-BU30),0)</f>
        <v/>
      </c>
      <c r="BU30" s="163">
        <f>BS30</f>
        <v/>
      </c>
      <c r="BV30" s="163">
        <f>IFERROR(IF(BQ30&lt;((1/2*BP30*BR30^2)*2),SQRT((BQ30/2)*2/BP30),BR30),0)</f>
        <v/>
      </c>
      <c r="BW30" s="163">
        <f>IFERROR(BT30/BO30,0)</f>
        <v/>
      </c>
      <c r="BX30" s="163">
        <f>BV30</f>
        <v/>
      </c>
      <c r="BY30" s="163">
        <f>IF(BN30&gt;0,BN30,SUM(BV30:BX30))</f>
        <v/>
      </c>
      <c r="BZ30" s="163" t="n"/>
      <c r="CA30" s="163">
        <f>BY30*BZ30</f>
        <v/>
      </c>
      <c r="CC30" s="148" t="n">
        <v>10</v>
      </c>
    </row>
    <row r="31">
      <c r="A31" s="33" t="inlineStr">
        <is>
          <t>Distance between next pick or drop</t>
        </is>
      </c>
      <c r="B31" s="26" t="inlineStr">
        <is>
          <t>Default</t>
        </is>
      </c>
      <c r="I31" s="160">
        <f>I30+1</f>
        <v/>
      </c>
      <c r="J31" s="165" t="n"/>
      <c r="K31" s="162" t="n"/>
      <c r="L31" s="163">
        <f>IFERROR(VLOOKUP(J31,'Master List'!$A:$D,2,0),0)</f>
        <v/>
      </c>
      <c r="M31" s="163">
        <f>IFERROR(VLOOKUP(J31,'Master List'!$A:$D,3,0),0)</f>
        <v/>
      </c>
      <c r="N31" s="163">
        <f>IFERROR(VLOOKUP(J31,'Master List'!$A:$D,4,0),0)</f>
        <v/>
      </c>
      <c r="O31" s="163" t="n"/>
      <c r="P31" s="163">
        <f>IFERROR(M31/N31,0)</f>
        <v/>
      </c>
      <c r="Q31" s="163">
        <f>IFERROR(IF(O31&lt;((1/2*N31*P31^2)*2),1/2*N31*SQRT((O31/2)*2/N31)^2,1/2*N31*P31^2),0)</f>
        <v/>
      </c>
      <c r="R31" s="163">
        <f>IFERROR(IF(O31-Q31-S31&lt;=0,0,O31-Q31-S31),0)</f>
        <v/>
      </c>
      <c r="S31" s="163">
        <f>Q31</f>
        <v/>
      </c>
      <c r="T31" s="163">
        <f>IFERROR(IF(O31&lt;((1/2*N31*P31^2)*2),SQRT((O31/2)*2/N31),P31),0)</f>
        <v/>
      </c>
      <c r="U31" s="163">
        <f>IFERROR(R31/M31,0)</f>
        <v/>
      </c>
      <c r="V31" s="163">
        <f>T31</f>
        <v/>
      </c>
      <c r="W31" s="163">
        <f>IF(L31&gt;0,L31,SUM(T31:V31))</f>
        <v/>
      </c>
      <c r="X31" s="163" t="n"/>
      <c r="Y31" s="163">
        <f>W31*X31</f>
        <v/>
      </c>
      <c r="AA31" s="160">
        <f>AA30+1</f>
        <v/>
      </c>
      <c r="AB31" s="165" t="n"/>
      <c r="AC31" s="162" t="n"/>
      <c r="AD31" s="163">
        <f>IFERROR(VLOOKUP(AB31,'Master List'!$A:$D,2,0),0)</f>
        <v/>
      </c>
      <c r="AE31" s="163">
        <f>IFERROR(VLOOKUP(AB31,'Master List'!$A:$D,3,0),0)</f>
        <v/>
      </c>
      <c r="AF31" s="163">
        <f>IFERROR(VLOOKUP(AB31,'Master List'!$A:$D,4,0),0)</f>
        <v/>
      </c>
      <c r="AG31" s="163" t="n"/>
      <c r="AH31" s="163">
        <f>IFERROR(AE31/AF31,0)</f>
        <v/>
      </c>
      <c r="AI31" s="163">
        <f>IFERROR(IF(AG31&lt;((1/2*AF31*AH31^2)*2),1/2*AF31*SQRT((AG31/2)*2/AF31)^2,1/2*AF31*AH31^2),0)</f>
        <v/>
      </c>
      <c r="AJ31" s="163">
        <f>IFERROR(IF(AG31-AI31-AK31&lt;=0,0,AG31-AI31-AK31),0)</f>
        <v/>
      </c>
      <c r="AK31" s="163">
        <f>AI31</f>
        <v/>
      </c>
      <c r="AL31" s="163">
        <f>IFERROR(IF(AG31&lt;((1/2*AF31*AH31^2)*2),SQRT((AG31/2)*2/AF31),AH31),0)</f>
        <v/>
      </c>
      <c r="AM31" s="163">
        <f>IFERROR(AJ31/AE31,0)</f>
        <v/>
      </c>
      <c r="AN31" s="163">
        <f>AL31</f>
        <v/>
      </c>
      <c r="AO31" s="163">
        <f>IF(AD31&gt;0,AD31,SUM(AL31:AN31))</f>
        <v/>
      </c>
      <c r="AP31" s="163" t="n"/>
      <c r="AQ31" s="163">
        <f>AO31*AP31</f>
        <v/>
      </c>
      <c r="AS31" s="160">
        <f>AS30+1</f>
        <v/>
      </c>
      <c r="AT31" s="165" t="n"/>
      <c r="AU31" s="162" t="n"/>
      <c r="AV31" s="163">
        <f>IFERROR(VLOOKUP(AT31,'Master List'!$A:$D,2,0),0)</f>
        <v/>
      </c>
      <c r="AW31" s="163">
        <f>IFERROR(VLOOKUP(AT31,'Master List'!$A:$D,3,0),0)</f>
        <v/>
      </c>
      <c r="AX31" s="163">
        <f>IFERROR(VLOOKUP(AT31,'Master List'!$A:$D,4,0),0)</f>
        <v/>
      </c>
      <c r="AY31" s="163" t="n"/>
      <c r="AZ31" s="163">
        <f>IFERROR(AW31/AX31,0)</f>
        <v/>
      </c>
      <c r="BA31" s="163">
        <f>IFERROR(IF(AY31&lt;((1/2*AX31*AZ31^2)*2),1/2*AX31*SQRT((AY31/2)*2/AX31)^2,1/2*AX31*AZ31^2),0)</f>
        <v/>
      </c>
      <c r="BB31" s="163">
        <f>IFERROR(IF(AY31-BA31-BC31&lt;=0,0,AY31-BA31-BC31),0)</f>
        <v/>
      </c>
      <c r="BC31" s="163">
        <f>BA31</f>
        <v/>
      </c>
      <c r="BD31" s="163">
        <f>IFERROR(IF(AY31&lt;((1/2*AX31*AZ31^2)*2),SQRT((AY31/2)*2/AX31),AZ31),0)</f>
        <v/>
      </c>
      <c r="BE31" s="163">
        <f>IFERROR(BB31/AW31,0)</f>
        <v/>
      </c>
      <c r="BF31" s="163">
        <f>BD31</f>
        <v/>
      </c>
      <c r="BG31" s="163">
        <f>IF(AV31&gt;0,AV31,SUM(BD31:BF31))</f>
        <v/>
      </c>
      <c r="BH31" s="163" t="n"/>
      <c r="BI31" s="163">
        <f>BG31*BH31</f>
        <v/>
      </c>
      <c r="BK31" s="160">
        <f>BK30+1</f>
        <v/>
      </c>
      <c r="BL31" s="165" t="n"/>
      <c r="BM31" s="162" t="n"/>
      <c r="BN31" s="163">
        <f>IFERROR(VLOOKUP(BL31,'Master List'!$A:$D,2,0),0)</f>
        <v/>
      </c>
      <c r="BO31" s="163">
        <f>IFERROR(VLOOKUP(BL31,'Master List'!$A:$D,3,0),0)</f>
        <v/>
      </c>
      <c r="BP31" s="163">
        <f>IFERROR(VLOOKUP(BL31,'Master List'!$A:$D,4,0),0)</f>
        <v/>
      </c>
      <c r="BQ31" s="163" t="n"/>
      <c r="BR31" s="163">
        <f>IFERROR(BO31/BP31,0)</f>
        <v/>
      </c>
      <c r="BS31" s="163">
        <f>IFERROR(IF(BQ31&lt;((1/2*BP31*BR31^2)*2),1/2*BP31*SQRT((BQ31/2)*2/BP31)^2,1/2*BP31*BR31^2),0)</f>
        <v/>
      </c>
      <c r="BT31" s="163">
        <f>IFERROR(IF(BQ31-BS31-BU31&lt;=0,0,BQ31-BS31-BU31),0)</f>
        <v/>
      </c>
      <c r="BU31" s="163">
        <f>BS31</f>
        <v/>
      </c>
      <c r="BV31" s="163">
        <f>IFERROR(IF(BQ31&lt;((1/2*BP31*BR31^2)*2),SQRT((BQ31/2)*2/BP31),BR31),0)</f>
        <v/>
      </c>
      <c r="BW31" s="163">
        <f>IFERROR(BT31/BO31,0)</f>
        <v/>
      </c>
      <c r="BX31" s="163">
        <f>BV31</f>
        <v/>
      </c>
      <c r="BY31" s="163">
        <f>IF(BN31&gt;0,BN31,SUM(BV31:BX31))</f>
        <v/>
      </c>
      <c r="BZ31" s="163" t="n"/>
      <c r="CA31" s="163">
        <f>BY31*BZ31</f>
        <v/>
      </c>
      <c r="CC31" s="148" t="n">
        <v>0</v>
      </c>
    </row>
    <row r="32">
      <c r="A32" s="33" t="inlineStr">
        <is>
          <t>If above is Custom value then input values in Meters here</t>
        </is>
      </c>
      <c r="B32" s="26" t="n">
        <v>4</v>
      </c>
      <c r="BQ32" s="219" t="n"/>
      <c r="CC32" s="148" t="n">
        <v>11</v>
      </c>
    </row>
    <row r="33">
      <c r="A33" s="33" t="inlineStr">
        <is>
          <t>Reshuffling required?</t>
        </is>
      </c>
      <c r="B33" s="26" t="inlineStr">
        <is>
          <t>Yes</t>
        </is>
      </c>
      <c r="C33" t="inlineStr">
        <is>
          <t>No reshuffling in single cycles</t>
        </is>
      </c>
      <c r="I33" s="222" t="n"/>
      <c r="J33" s="222" t="n"/>
      <c r="K33" s="222" t="n"/>
      <c r="L33" s="222" t="n"/>
      <c r="M33" s="222" t="n"/>
      <c r="N33" s="222" t="n"/>
      <c r="O33" s="222" t="n"/>
      <c r="P33" s="222" t="n"/>
      <c r="Q33" s="222" t="n"/>
      <c r="R33" s="222" t="n"/>
      <c r="S33" s="222" t="n"/>
      <c r="T33" s="222" t="n"/>
      <c r="U33" s="222" t="n"/>
      <c r="V33" s="222" t="n"/>
      <c r="W33" s="222" t="n"/>
      <c r="X33" s="222" t="n"/>
      <c r="Y33" s="222" t="n"/>
      <c r="Z33" s="222" t="n"/>
      <c r="AA33" s="222" t="n"/>
      <c r="AB33" s="222" t="n"/>
      <c r="AC33" s="222" t="n"/>
      <c r="AD33" s="222" t="n"/>
      <c r="AE33" s="222" t="n"/>
      <c r="AF33" s="222" t="n"/>
      <c r="AG33" s="222" t="n"/>
      <c r="AH33" s="222" t="n"/>
      <c r="AI33" s="222" t="n"/>
      <c r="AJ33" s="222" t="n"/>
      <c r="AK33" s="222" t="n"/>
      <c r="AL33" s="222" t="n"/>
      <c r="AM33" s="222" t="n"/>
      <c r="AN33" s="222" t="n"/>
      <c r="AO33" s="222" t="n"/>
      <c r="AP33" s="222" t="n"/>
      <c r="AQ33" s="222" t="n"/>
      <c r="AR33" s="222" t="n"/>
      <c r="AS33" s="222" t="n"/>
      <c r="AT33" s="222" t="n"/>
      <c r="AU33" s="222" t="n"/>
      <c r="AV33" s="222" t="n"/>
      <c r="AW33" s="222" t="n"/>
      <c r="AX33" s="222" t="n"/>
      <c r="AY33" s="222" t="n"/>
      <c r="AZ33" s="222" t="n"/>
      <c r="BA33" s="222" t="n"/>
      <c r="BB33" s="222" t="n"/>
      <c r="BC33" s="222" t="n"/>
      <c r="BD33" s="222" t="n"/>
      <c r="BE33" s="222" t="n"/>
      <c r="BF33" s="222" t="n"/>
      <c r="BG33" s="222" t="n"/>
      <c r="BH33" s="222" t="n"/>
      <c r="BI33" s="222" t="n"/>
      <c r="BJ33" s="222" t="n"/>
      <c r="BK33" s="222" t="n"/>
      <c r="BL33" s="222" t="n"/>
      <c r="BM33" s="222" t="n"/>
      <c r="BN33" s="222" t="n"/>
      <c r="BO33" s="222" t="n"/>
      <c r="BP33" s="222" t="n"/>
      <c r="BQ33" s="222" t="n"/>
      <c r="BR33" s="222" t="n"/>
      <c r="BS33" s="222" t="n"/>
      <c r="BT33" s="222" t="n"/>
      <c r="BU33" s="222" t="n"/>
      <c r="BV33" s="222" t="n"/>
      <c r="BW33" s="222" t="n"/>
      <c r="BX33" s="222" t="n"/>
      <c r="BY33" s="222" t="n"/>
      <c r="BZ33" s="222" t="n"/>
      <c r="CA33" s="222" t="n"/>
    </row>
    <row r="34">
      <c r="A34" s="33" t="inlineStr">
        <is>
          <t>Aisle hopping required?</t>
        </is>
      </c>
      <c r="B34" s="26" t="inlineStr">
        <is>
          <t>Yes</t>
        </is>
      </c>
      <c r="I34" s="222" t="n"/>
      <c r="J34" s="222" t="n"/>
      <c r="K34" s="222" t="n"/>
      <c r="L34" s="222" t="n"/>
      <c r="M34" s="222" t="n"/>
      <c r="N34" s="222" t="n"/>
      <c r="O34" s="222" t="n"/>
      <c r="P34" s="222" t="n"/>
      <c r="Q34" s="222" t="n"/>
      <c r="R34" s="222" t="n"/>
      <c r="S34" s="222" t="n"/>
      <c r="T34" s="222" t="n"/>
      <c r="U34" s="222" t="n"/>
      <c r="V34" s="222" t="n"/>
      <c r="W34" s="222" t="n"/>
      <c r="X34" s="222" t="n"/>
      <c r="Y34" s="222" t="n"/>
      <c r="Z34" s="222" t="n"/>
      <c r="AA34" s="222" t="n"/>
      <c r="AB34" s="222" t="n"/>
      <c r="AC34" s="222" t="n"/>
      <c r="AD34" s="222" t="n"/>
      <c r="AE34" s="222" t="n"/>
      <c r="AF34" s="222" t="n"/>
      <c r="AG34" s="222" t="n"/>
      <c r="AH34" s="222" t="n"/>
      <c r="AI34" s="222" t="n"/>
      <c r="AJ34" s="222" t="n"/>
      <c r="AK34" s="222" t="n"/>
      <c r="AL34" s="222" t="n"/>
      <c r="AM34" s="222" t="n"/>
      <c r="AN34" s="222" t="n"/>
      <c r="AO34" s="222" t="n"/>
      <c r="AP34" s="222" t="n"/>
      <c r="AQ34" s="222" t="n"/>
      <c r="AR34" s="222" t="n"/>
      <c r="AS34" s="222" t="n"/>
      <c r="AT34" s="222" t="n"/>
      <c r="AU34" s="222" t="n"/>
      <c r="AV34" s="222" t="n"/>
      <c r="AW34" s="222" t="n"/>
      <c r="AX34" s="222" t="n"/>
      <c r="AY34" s="222" t="n"/>
      <c r="AZ34" s="222" t="n"/>
      <c r="BA34" s="222" t="n"/>
      <c r="BB34" s="222" t="n"/>
      <c r="BC34" s="222" t="n"/>
      <c r="BD34" s="222" t="n"/>
      <c r="BE34" s="222" t="n"/>
      <c r="BF34" s="222" t="n"/>
      <c r="BG34" s="222" t="n"/>
      <c r="BH34" s="222" t="n"/>
      <c r="BI34" s="222" t="n"/>
      <c r="BJ34" s="222" t="n"/>
      <c r="BK34" s="222" t="n"/>
      <c r="BL34" s="222" t="n"/>
      <c r="BM34" s="222" t="n"/>
      <c r="BN34" s="222" t="n"/>
      <c r="BO34" s="222" t="n"/>
      <c r="BP34" s="222" t="n"/>
      <c r="BQ34" s="222" t="n"/>
      <c r="BR34" s="222" t="n"/>
      <c r="BS34" s="222" t="n"/>
      <c r="BT34" s="222" t="n"/>
      <c r="BU34" s="222" t="n"/>
      <c r="BV34" s="222" t="n"/>
      <c r="BW34" s="222" t="n"/>
      <c r="BX34" s="222" t="n"/>
      <c r="BY34" s="222" t="n"/>
      <c r="BZ34" s="222" t="n"/>
      <c r="CA34" s="222" t="n"/>
    </row>
    <row r="35">
      <c r="I35" s="222" t="n"/>
      <c r="J35" s="222" t="n"/>
      <c r="K35" s="222" t="n"/>
      <c r="L35" s="222" t="n"/>
      <c r="M35" s="222" t="n"/>
      <c r="N35" s="222" t="n"/>
      <c r="O35" s="222" t="n"/>
      <c r="P35" s="222" t="n"/>
      <c r="Q35" s="222" t="n"/>
      <c r="R35" s="222" t="n"/>
      <c r="S35" s="222" t="n"/>
      <c r="T35" s="222" t="n"/>
      <c r="U35" s="222" t="n"/>
      <c r="V35" s="222" t="n"/>
      <c r="W35" s="222" t="n"/>
      <c r="X35" s="222" t="n"/>
      <c r="Y35" s="222" t="n"/>
      <c r="Z35" s="222" t="n"/>
      <c r="AA35" s="222" t="n"/>
      <c r="AB35" s="222" t="n"/>
      <c r="AC35" s="222" t="n"/>
      <c r="AD35" s="222" t="n"/>
      <c r="AE35" s="222" t="n"/>
      <c r="AF35" s="222" t="n"/>
      <c r="AG35" s="222" t="n"/>
      <c r="AH35" s="222" t="n"/>
      <c r="AI35" s="222" t="n"/>
      <c r="AJ35" s="222" t="n"/>
      <c r="AK35" s="222" t="n"/>
      <c r="AL35" s="222" t="n"/>
      <c r="AM35" s="222" t="n"/>
      <c r="AN35" s="222" t="n"/>
      <c r="AO35" s="222" t="n"/>
      <c r="AP35" s="222" t="n"/>
      <c r="AQ35" s="222" t="n"/>
      <c r="AR35" s="222" t="n"/>
      <c r="AS35" s="222" t="n"/>
      <c r="AT35" s="222" t="n"/>
      <c r="AU35" s="222" t="n"/>
      <c r="AV35" s="222" t="n"/>
      <c r="AW35" s="222" t="n"/>
      <c r="AX35" s="222" t="n"/>
      <c r="AY35" s="222" t="n"/>
      <c r="AZ35" s="222" t="n"/>
      <c r="BA35" s="222" t="n"/>
      <c r="BB35" s="222" t="n"/>
      <c r="BC35" s="222" t="n"/>
      <c r="BD35" s="222" t="n"/>
      <c r="BE35" s="222" t="n"/>
      <c r="BF35" s="222" t="n"/>
      <c r="BG35" s="222" t="n"/>
      <c r="BH35" s="222" t="n"/>
      <c r="BI35" s="222" t="n"/>
      <c r="BJ35" s="222" t="n"/>
      <c r="BK35" s="222" t="n"/>
      <c r="BL35" s="222" t="n"/>
      <c r="BM35" s="222" t="n"/>
      <c r="BN35" s="222" t="n"/>
      <c r="BO35" s="222" t="n"/>
      <c r="BP35" s="222" t="n"/>
      <c r="BQ35" s="222" t="n"/>
      <c r="BR35" s="222" t="n"/>
      <c r="BS35" s="222" t="n"/>
      <c r="BT35" s="222" t="n"/>
      <c r="BU35" s="222" t="n"/>
      <c r="BV35" s="222" t="n"/>
      <c r="BW35" s="222" t="n"/>
      <c r="BX35" s="222" t="n"/>
      <c r="BY35" s="222" t="n"/>
      <c r="BZ35" s="222" t="n"/>
      <c r="CA35" s="222" t="n"/>
    </row>
    <row r="36" ht="30" customHeight="1" s="516">
      <c r="A36" s="34" t="inlineStr">
        <is>
          <t>Levels to pick or putaway in shelves</t>
        </is>
      </c>
      <c r="B36" s="40" t="inlineStr">
        <is>
          <t>Weightage</t>
        </is>
      </c>
      <c r="C36" s="50" t="inlineStr">
        <is>
          <t>Distance from gound</t>
        </is>
      </c>
      <c r="I36" s="222" t="n"/>
      <c r="J36" s="222" t="n"/>
      <c r="K36" s="222" t="n"/>
      <c r="L36" s="222" t="n"/>
      <c r="M36" s="222" t="n"/>
      <c r="N36" s="222" t="n"/>
      <c r="O36" s="222" t="n"/>
      <c r="P36" s="222" t="n"/>
      <c r="Q36" s="222" t="n"/>
      <c r="R36" s="222" t="n"/>
      <c r="S36" s="222" t="n"/>
      <c r="T36" s="222" t="n"/>
      <c r="U36" s="222" t="n"/>
      <c r="V36" s="222" t="n"/>
      <c r="W36" s="222" t="n"/>
      <c r="X36" s="222" t="n"/>
      <c r="Y36" s="222" t="n"/>
      <c r="Z36" s="222" t="n"/>
      <c r="AA36" s="222" t="n"/>
      <c r="AB36" s="222" t="n"/>
      <c r="AC36" s="222" t="n"/>
      <c r="AD36" s="222" t="n"/>
      <c r="AE36" s="222" t="n"/>
      <c r="AF36" s="222" t="n"/>
      <c r="AG36" s="222" t="n"/>
      <c r="AH36" s="222" t="n"/>
      <c r="AI36" s="222" t="n"/>
      <c r="AJ36" s="222" t="n"/>
      <c r="AK36" s="222" t="n"/>
      <c r="AL36" s="222" t="n"/>
      <c r="AM36" s="222" t="n"/>
      <c r="AN36" s="222" t="n"/>
      <c r="AO36" s="222" t="n"/>
      <c r="AP36" s="222" t="n"/>
      <c r="AQ36" s="222" t="n"/>
      <c r="AR36" s="222" t="n"/>
      <c r="AS36" s="222" t="n"/>
      <c r="AT36" s="222" t="n"/>
      <c r="AU36" s="222" t="n"/>
      <c r="AV36" s="222" t="n"/>
      <c r="AW36" s="222" t="n"/>
      <c r="AX36" s="222" t="n"/>
      <c r="AY36" s="222" t="n"/>
      <c r="AZ36" s="222" t="n"/>
      <c r="BA36" s="222" t="n"/>
      <c r="BB36" s="222" t="n"/>
      <c r="BC36" s="222" t="n"/>
      <c r="BD36" s="222" t="n"/>
      <c r="BE36" s="222" t="n"/>
      <c r="BF36" s="222" t="n"/>
      <c r="BG36" s="222" t="n"/>
      <c r="BH36" s="222" t="n"/>
      <c r="BI36" s="222" t="n"/>
      <c r="BJ36" s="222" t="n"/>
      <c r="BK36" s="222" t="n"/>
      <c r="BL36" s="222" t="n"/>
      <c r="BM36" s="222" t="n"/>
      <c r="BN36" s="222" t="n"/>
      <c r="BO36" s="222" t="n"/>
      <c r="BP36" s="222" t="n"/>
      <c r="BQ36" s="222" t="n"/>
      <c r="BR36" s="222" t="n"/>
      <c r="BS36" s="222" t="n"/>
      <c r="BT36" s="222" t="n"/>
      <c r="BU36" s="222" t="n"/>
      <c r="BV36" s="222" t="n"/>
      <c r="BW36" s="222" t="n"/>
      <c r="BX36" s="222" t="n"/>
      <c r="BY36" s="222" t="n"/>
      <c r="BZ36" s="222" t="n"/>
      <c r="CA36" s="222" t="n"/>
    </row>
    <row r="37">
      <c r="A37" s="26" t="n">
        <v>1</v>
      </c>
      <c r="B37" s="52">
        <f>IF(A37=0,0,(100%/MAX($A$37:$A$48)))</f>
        <v/>
      </c>
      <c r="C37" s="560">
        <f>B27</f>
        <v/>
      </c>
      <c r="CC37" s="148" t="n">
        <v>0</v>
      </c>
    </row>
    <row r="38">
      <c r="A38" s="26" t="n">
        <v>2</v>
      </c>
      <c r="B38" s="52">
        <f>IF(A38=0,0,(100%/MAX($A$37:$A$48)))</f>
        <v/>
      </c>
      <c r="C38" s="560">
        <f>C37+$B$28</f>
        <v/>
      </c>
      <c r="CC38" s="148" t="n">
        <v>12</v>
      </c>
    </row>
    <row r="39">
      <c r="A39" s="26" t="n">
        <v>3</v>
      </c>
      <c r="B39" s="52">
        <f>IF(A39=0,0,(100%/MAX($A$37:$A$48)))</f>
        <v/>
      </c>
      <c r="C39" s="59">
        <f>C38+$B$28</f>
        <v/>
      </c>
    </row>
    <row r="40">
      <c r="A40" s="26" t="n">
        <v>4</v>
      </c>
      <c r="B40" s="52">
        <f>IF(A40=0,0,(100%/MAX($A$37:$A$48)))</f>
        <v/>
      </c>
      <c r="C40" s="560">
        <f>C39+$B$28</f>
        <v/>
      </c>
    </row>
    <row r="41">
      <c r="A41" s="26" t="n">
        <v>5</v>
      </c>
      <c r="B41" s="52">
        <f>IF(A41=0,0,(100%/MAX($A$37:$A$48)))</f>
        <v/>
      </c>
      <c r="C41" s="560">
        <f>C40+$B$28</f>
        <v/>
      </c>
      <c r="J41" s="216" t="n"/>
      <c r="K41" s="216" t="n"/>
    </row>
    <row r="42">
      <c r="A42" s="26" t="n">
        <v>6</v>
      </c>
      <c r="B42" s="52">
        <f>IF(A42=0,0,(100%/MAX($A$37:$A$48)))</f>
        <v/>
      </c>
      <c r="C42" s="560">
        <f>C41+$B$28</f>
        <v/>
      </c>
      <c r="J42" s="216" t="n"/>
      <c r="K42" s="216" t="n"/>
    </row>
    <row r="43">
      <c r="A43" s="26" t="n">
        <v>7</v>
      </c>
      <c r="B43" s="52">
        <f>IF(A43=0,0,(100%/MAX($A$37:$A$48)))</f>
        <v/>
      </c>
      <c r="C43" s="560">
        <f>C42+$B$28</f>
        <v/>
      </c>
    </row>
    <row r="44">
      <c r="A44" s="26" t="n">
        <v>8</v>
      </c>
      <c r="B44" s="52">
        <f>IF(A44=0,0,(100%/MAX($A$37:$A$48)))</f>
        <v/>
      </c>
      <c r="C44" s="560">
        <f>C43+$B$28</f>
        <v/>
      </c>
    </row>
    <row r="45">
      <c r="A45" s="26" t="n">
        <v>0</v>
      </c>
      <c r="B45" s="52">
        <f>IF(A45=0,0,(100%/MAX($A$37:$A$48)))</f>
        <v/>
      </c>
      <c r="C45" s="560">
        <f>C44+$B$28</f>
        <v/>
      </c>
    </row>
    <row r="46">
      <c r="A46" s="26" t="n">
        <v>0</v>
      </c>
      <c r="B46" s="52">
        <f>IF(A46=0,0,(100%/MAX($A$37:$A$48)))</f>
        <v/>
      </c>
      <c r="C46" s="560">
        <f>C45+$B$28</f>
        <v/>
      </c>
      <c r="J46" s="216" t="n"/>
    </row>
    <row r="47">
      <c r="A47" s="26" t="n">
        <v>0</v>
      </c>
      <c r="B47" s="52">
        <f>IF(A47=0,0,(100%/MAX($A$37:$A$48)))</f>
        <v/>
      </c>
      <c r="C47" s="560">
        <f>C46+$B$28</f>
        <v/>
      </c>
      <c r="J47" s="216" t="n"/>
    </row>
    <row r="48">
      <c r="A48" s="26" t="n">
        <v>0</v>
      </c>
      <c r="B48" s="52">
        <f>IF(A48=0,0,(100%/MAX($A$37:$A$48)))</f>
        <v/>
      </c>
      <c r="C48" s="560">
        <f>C47+$B$28</f>
        <v/>
      </c>
    </row>
    <row r="49">
      <c r="A49" s="533" t="inlineStr">
        <is>
          <t>Average distance</t>
        </is>
      </c>
      <c r="B49" s="534" t="n"/>
      <c r="C49" s="62">
        <f>SUMPRODUCT(B37:B43,C37:C43)</f>
        <v/>
      </c>
    </row>
    <row r="51">
      <c r="I51" s="218" t="n"/>
    </row>
  </sheetData>
  <sheetProtection selectLockedCells="0" selectUnlockedCells="0" algorithmName="SHA-512" sheet="1" objects="1" insertRows="1" insertHyperlinks="1" autoFilter="1" scenarios="1" formatColumns="1" deleteColumns="1" insertColumns="1" pivotTables="1" deleteRows="1" formatCells="1" saltValue="70d66YOCCrFF+Wq67zW+AQ==" formatRows="1" sort="1" spinCount="100000" hashValue="Fd0TLZ9XDigwUnMEdl8SPyF71MrlsbaMwC5d1T9nYJJOtTezfq0jJ0VEju+fDx0OI62+pFM3maVBoqCDam0NYg=="/>
  <mergeCells count="25">
    <mergeCell ref="AT8:BH8"/>
    <mergeCell ref="AS5:BI5"/>
    <mergeCell ref="BL9:BZ9"/>
    <mergeCell ref="J6:X6"/>
    <mergeCell ref="A49:B49"/>
    <mergeCell ref="BL6:BZ6"/>
    <mergeCell ref="AB9:AP9"/>
    <mergeCell ref="J7:X7"/>
    <mergeCell ref="BL7:BZ7"/>
    <mergeCell ref="I6:I10"/>
    <mergeCell ref="AT9:BH9"/>
    <mergeCell ref="AB8:AP8"/>
    <mergeCell ref="BK6:BK10"/>
    <mergeCell ref="AA5:AQ5"/>
    <mergeCell ref="AB7:AP7"/>
    <mergeCell ref="AA6:AA10"/>
    <mergeCell ref="J8:X8"/>
    <mergeCell ref="I5:Y5"/>
    <mergeCell ref="BL8:BZ8"/>
    <mergeCell ref="AB6:AP6"/>
    <mergeCell ref="BK5:CA5"/>
    <mergeCell ref="AT7:BH7"/>
    <mergeCell ref="AT6:BH6"/>
    <mergeCell ref="AS6:AS10"/>
    <mergeCell ref="J9:X9"/>
  </mergeCells>
  <conditionalFormatting sqref="E23">
    <cfRule type="cellIs" priority="1" operator="notEqual" dxfId="0">
      <formula>1</formula>
    </cfRule>
  </conditionalFormatting>
  <dataValidations disablePrompts="1" count="14">
    <dataValidation sqref="A37" showDropDown="0" showInputMessage="1" showErrorMessage="1" allowBlank="1" type="list">
      <formula1>$CC$11:$CC$12</formula1>
    </dataValidation>
    <dataValidation sqref="A38" showDropDown="0" showInputMessage="1" showErrorMessage="1" allowBlank="1" type="list">
      <formula1>$CC$13:$CC$14</formula1>
    </dataValidation>
    <dataValidation sqref="A39" showDropDown="0" showInputMessage="1" showErrorMessage="1" allowBlank="1" type="list">
      <formula1>$CC$15:$CC$16</formula1>
    </dataValidation>
    <dataValidation sqref="A40" showDropDown="0" showInputMessage="1" showErrorMessage="1" allowBlank="1" type="list">
      <formula1>$CC$17:$CC$18</formula1>
    </dataValidation>
    <dataValidation sqref="A41" showDropDown="0" showInputMessage="1" showErrorMessage="1" allowBlank="1" type="list">
      <formula1>$CC$19:$CC$20</formula1>
    </dataValidation>
    <dataValidation sqref="A42" showDropDown="0" showInputMessage="1" showErrorMessage="1" allowBlank="1" type="list">
      <formula1>$CC$21:$CC$22</formula1>
    </dataValidation>
    <dataValidation sqref="A43" showDropDown="0" showInputMessage="1" showErrorMessage="1" allowBlank="1" type="list">
      <formula1>$CC$23:$CC$24</formula1>
    </dataValidation>
    <dataValidation sqref="A44" showDropDown="0" showInputMessage="1" showErrorMessage="1" allowBlank="1" type="list">
      <formula1>$CC$25:$CC$26</formula1>
    </dataValidation>
    <dataValidation sqref="A45" showDropDown="0" showInputMessage="1" showErrorMessage="1" allowBlank="1" type="list">
      <formula1>$CC$27:$CC$28</formula1>
    </dataValidation>
    <dataValidation sqref="A46" showDropDown="0" showInputMessage="1" showErrorMessage="1" allowBlank="1" type="list">
      <formula1>$CC$29:$CC$30</formula1>
    </dataValidation>
    <dataValidation sqref="A47" showDropDown="0" showInputMessage="1" showErrorMessage="1" allowBlank="1" type="list">
      <formula1>$CC$31:$CC$32</formula1>
    </dataValidation>
    <dataValidation sqref="A48" showDropDown="0" showInputMessage="1" showErrorMessage="1" allowBlank="1" type="list">
      <formula1>$CC$37:$CC$38</formula1>
    </dataValidation>
    <dataValidation sqref="B31" showDropDown="0" showInputMessage="1" showErrorMessage="1" allowBlank="1" type="list">
      <formula1>$CE$11:$CE$12</formula1>
    </dataValidation>
    <dataValidation sqref="B24 B33:B34" showDropDown="0" showInputMessage="1" showErrorMessage="1" allowBlank="1" type="list">
      <formula1>$CE$14:$CE$15</formula1>
    </dataValidation>
  </dataValidations>
  <pageMargins left="0.7" right="0.7" top="0.75" bottom="0.75" header="0.3" footer="0.3"/>
  <pageSetup orientation="landscape" scale="59"/>
  <drawing r:id="rId1"/>
</worksheet>
</file>

<file path=xl/worksheets/sheet8.xml><?xml version="1.0" encoding="utf-8"?>
<worksheet xmlns:r="http://schemas.openxmlformats.org/officeDocument/2006/relationships" xmlns="http://schemas.openxmlformats.org/spreadsheetml/2006/main">
  <sheetPr codeName="Sheet8">
    <tabColor theme="7"/>
    <outlinePr summaryBelow="1" summaryRight="1"/>
    <pageSetUpPr fitToPage="1"/>
  </sheetPr>
  <dimension ref="A1:AR32"/>
  <sheetViews>
    <sheetView showGridLines="0" topLeftCell="A10" zoomScale="85" zoomScaleNormal="85" workbookViewId="0">
      <selection activeCell="G14" sqref="G14"/>
    </sheetView>
  </sheetViews>
  <sheetFormatPr baseColWidth="10" defaultColWidth="8.6640625" defaultRowHeight="15"/>
  <cols>
    <col width="35.1640625" customWidth="1" style="516" min="1" max="1"/>
    <col width="17.6640625" customWidth="1" style="516" min="2" max="2"/>
    <col width="20.83203125" bestFit="1" customWidth="1" style="516" min="3" max="3"/>
    <col width="19.5" bestFit="1" customWidth="1" style="516" min="4" max="4"/>
    <col width="22.5" customWidth="1" style="516" min="5" max="5"/>
    <col width="11.5" customWidth="1" style="516" min="6" max="6"/>
    <col width="8.6640625" customWidth="1" style="186" min="7" max="7"/>
    <col width="24.6640625" bestFit="1" customWidth="1" style="210" min="8" max="8"/>
    <col width="41.5" bestFit="1" customWidth="1" style="210" min="9" max="9"/>
    <col width="8.6640625" customWidth="1" style="186" min="10" max="12"/>
    <col width="8.6640625" customWidth="1" style="210" min="13" max="13"/>
    <col hidden="1" width="13" customWidth="1" style="186" min="14" max="20"/>
    <col width="8.6640625" customWidth="1" style="186" min="21" max="21"/>
    <col width="8.6640625" customWidth="1" style="210" min="22" max="22"/>
    <col width="8.6640625" customWidth="1" style="186" min="23" max="25"/>
    <col width="24.6640625" bestFit="1" customWidth="1" style="210" min="26" max="26"/>
    <col width="32.6640625" customWidth="1" style="210" min="27" max="27"/>
    <col width="8.6640625" customWidth="1" style="186" min="28" max="30"/>
    <col width="8.6640625" customWidth="1" style="210" min="31" max="31"/>
    <col hidden="1" width="13" customWidth="1" style="186" min="32" max="38"/>
    <col width="8.6640625" customWidth="1" style="186" min="39" max="39"/>
    <col width="8.6640625" customWidth="1" style="210" min="40" max="40"/>
    <col width="8.6640625" customWidth="1" style="186" min="41" max="44"/>
    <col width="8.6640625" customWidth="1" style="1" min="45" max="45"/>
    <col width="8.6640625" customWidth="1" style="1" min="46" max="16384"/>
  </cols>
  <sheetData>
    <row r="1" ht="47" customFormat="1" customHeight="1" s="24">
      <c r="B1" s="1">
        <f>'Master List'!$F$2</f>
        <v/>
      </c>
      <c r="G1" s="185" t="n"/>
      <c r="H1" s="185" t="n"/>
      <c r="I1" s="185" t="n"/>
      <c r="J1" s="185" t="n"/>
      <c r="K1" s="185" t="n"/>
      <c r="L1" s="185" t="n"/>
      <c r="M1" s="185" t="n"/>
      <c r="N1" s="185" t="n"/>
      <c r="O1" s="185" t="n"/>
      <c r="P1" s="185" t="n"/>
      <c r="Q1" s="185" t="n"/>
      <c r="R1" s="185" t="n"/>
      <c r="S1" s="185" t="n"/>
      <c r="T1" s="185" t="n"/>
      <c r="U1" s="185" t="n"/>
      <c r="V1" s="185" t="n"/>
      <c r="W1" s="185" t="n"/>
      <c r="X1" s="185" t="n"/>
      <c r="Y1" s="185" t="n"/>
      <c r="Z1" s="185" t="n"/>
      <c r="AA1" s="185" t="n"/>
      <c r="AB1" s="185" t="n"/>
      <c r="AC1" s="185" t="n"/>
      <c r="AD1" s="185" t="n"/>
      <c r="AE1" s="185" t="n"/>
      <c r="AF1" s="185" t="n"/>
      <c r="AG1" s="185" t="n"/>
      <c r="AH1" s="185" t="n"/>
      <c r="AI1" s="185" t="n"/>
      <c r="AJ1" s="185" t="n"/>
      <c r="AK1" s="185" t="n"/>
      <c r="AL1" s="185" t="n"/>
      <c r="AM1" s="185" t="n"/>
      <c r="AN1" s="185" t="n"/>
      <c r="AO1" s="185" t="n"/>
      <c r="AP1" s="185" t="n"/>
      <c r="AQ1" s="185" t="n"/>
      <c r="AR1" s="185" t="n"/>
    </row>
    <row r="2" ht="18" customFormat="1" customHeight="1" s="24">
      <c r="A2" s="34" t="inlineStr">
        <is>
          <t>Equipment</t>
        </is>
      </c>
      <c r="B2" s="33" t="inlineStr">
        <is>
          <t>SortIE</t>
        </is>
      </c>
      <c r="G2" s="185" t="n"/>
      <c r="H2" s="185" t="n"/>
      <c r="I2" s="185" t="n"/>
      <c r="J2" s="185" t="n"/>
      <c r="K2" s="185" t="n"/>
      <c r="L2" s="185" t="n"/>
      <c r="M2" s="185" t="n"/>
      <c r="N2" s="185" t="n"/>
      <c r="O2" s="185" t="n"/>
      <c r="P2" s="185" t="n"/>
      <c r="Q2" s="185" t="n"/>
      <c r="R2" s="185" t="n"/>
      <c r="S2" s="185" t="n"/>
      <c r="T2" s="185" t="n"/>
      <c r="U2" s="185" t="n"/>
      <c r="V2" s="185" t="n"/>
      <c r="W2" s="185" t="n"/>
      <c r="X2" s="185" t="n"/>
      <c r="Y2" s="185" t="n"/>
      <c r="Z2" s="185" t="n"/>
      <c r="AA2" s="185" t="n"/>
      <c r="AB2" s="185" t="n"/>
      <c r="AC2" s="185" t="n"/>
      <c r="AD2" s="185" t="n"/>
      <c r="AE2" s="185" t="n"/>
      <c r="AF2" s="185" t="n"/>
      <c r="AG2" s="185" t="n"/>
      <c r="AH2" s="185" t="n"/>
      <c r="AI2" s="185" t="n"/>
      <c r="AJ2" s="185" t="n"/>
      <c r="AK2" s="185" t="n"/>
      <c r="AL2" s="185" t="n"/>
      <c r="AM2" s="185" t="n"/>
      <c r="AN2" s="185" t="n"/>
      <c r="AO2" s="185" t="n"/>
      <c r="AP2" s="185" t="n"/>
      <c r="AQ2" s="185" t="n"/>
      <c r="AR2" s="185" t="n"/>
    </row>
    <row r="3" ht="18" customFormat="1" customHeight="1" s="24">
      <c r="A3" s="34" t="inlineStr">
        <is>
          <t>Utilization</t>
        </is>
      </c>
      <c r="B3" s="402">
        <f>W8</f>
        <v/>
      </c>
      <c r="G3" s="185" t="n"/>
      <c r="H3" s="185" t="n"/>
      <c r="I3" s="185" t="n"/>
      <c r="J3" s="185" t="n"/>
      <c r="K3" s="185" t="n"/>
      <c r="L3" s="185" t="n"/>
      <c r="M3" s="185" t="n"/>
      <c r="N3" s="185" t="n"/>
      <c r="O3" s="185" t="n"/>
      <c r="P3" s="185" t="n"/>
      <c r="Q3" s="185" t="n"/>
      <c r="R3" s="185" t="n"/>
      <c r="S3" s="185" t="n"/>
      <c r="T3" s="185" t="n"/>
      <c r="U3" s="185" t="n"/>
      <c r="V3" s="185" t="n"/>
      <c r="W3" s="185" t="n"/>
      <c r="X3" s="185" t="n"/>
      <c r="Y3" s="185" t="n"/>
      <c r="Z3" s="185" t="n"/>
      <c r="AA3" s="185" t="n"/>
      <c r="AB3" s="185" t="n"/>
      <c r="AC3" s="185" t="n"/>
      <c r="AD3" s="185" t="n"/>
      <c r="AE3" s="185" t="n"/>
      <c r="AF3" s="185" t="n"/>
      <c r="AG3" s="185" t="n"/>
      <c r="AH3" s="185" t="n"/>
      <c r="AI3" s="185" t="n"/>
      <c r="AJ3" s="185" t="n"/>
      <c r="AK3" s="185" t="n"/>
      <c r="AL3" s="185" t="n"/>
      <c r="AM3" s="185" t="n"/>
      <c r="AN3" s="185" t="n"/>
      <c r="AO3" s="185" t="n"/>
      <c r="AP3" s="185" t="n"/>
      <c r="AQ3" s="185" t="n"/>
      <c r="AR3" s="185" t="n"/>
    </row>
    <row r="4" ht="18" customHeight="1" s="516">
      <c r="A4" s="180" t="inlineStr">
        <is>
          <t>Project name</t>
        </is>
      </c>
      <c r="B4" s="181" t="n"/>
      <c r="H4" s="186" t="n"/>
      <c r="I4" s="186" t="n"/>
      <c r="M4" s="186" t="n"/>
      <c r="V4" s="186" t="n"/>
      <c r="Z4" s="186" t="n"/>
      <c r="AA4" s="186" t="n"/>
      <c r="AE4" s="186" t="n"/>
      <c r="AN4" s="186" t="n"/>
    </row>
    <row r="5" ht="18" customHeight="1" s="516">
      <c r="A5" s="180" t="inlineStr">
        <is>
          <t>Revision</t>
        </is>
      </c>
      <c r="B5" s="181" t="n"/>
      <c r="G5" s="539">
        <f>A10</f>
        <v/>
      </c>
      <c r="H5" s="525" t="n"/>
      <c r="I5" s="525" t="n"/>
      <c r="J5" s="525" t="n"/>
      <c r="K5" s="525" t="n"/>
      <c r="L5" s="525" t="n"/>
      <c r="M5" s="525" t="n"/>
      <c r="N5" s="525" t="n"/>
      <c r="O5" s="525" t="n"/>
      <c r="P5" s="525" t="n"/>
      <c r="Q5" s="525" t="n"/>
      <c r="R5" s="525" t="n"/>
      <c r="S5" s="525" t="n"/>
      <c r="T5" s="525" t="n"/>
      <c r="U5" s="525" t="n"/>
      <c r="V5" s="525" t="n"/>
      <c r="W5" s="526" t="n"/>
      <c r="Y5" s="539">
        <f>A11</f>
        <v/>
      </c>
      <c r="Z5" s="525" t="n"/>
      <c r="AA5" s="525" t="n"/>
      <c r="AB5" s="525" t="n"/>
      <c r="AC5" s="525" t="n"/>
      <c r="AD5" s="525" t="n"/>
      <c r="AE5" s="525" t="n"/>
      <c r="AF5" s="525" t="n"/>
      <c r="AG5" s="525" t="n"/>
      <c r="AH5" s="525" t="n"/>
      <c r="AI5" s="525" t="n"/>
      <c r="AJ5" s="525" t="n"/>
      <c r="AK5" s="525" t="n"/>
      <c r="AL5" s="525" t="n"/>
      <c r="AM5" s="525" t="n"/>
      <c r="AN5" s="525" t="n"/>
      <c r="AO5" s="526" t="n"/>
    </row>
    <row r="6">
      <c r="G6" s="536" t="inlineStr">
        <is>
          <t>S.No</t>
        </is>
      </c>
      <c r="H6" s="535" t="inlineStr">
        <is>
          <t>Cycles / Hour</t>
        </is>
      </c>
      <c r="I6" s="522" t="n"/>
      <c r="J6" s="522" t="n"/>
      <c r="K6" s="522" t="n"/>
      <c r="L6" s="522" t="n"/>
      <c r="M6" s="522" t="n"/>
      <c r="N6" s="522" t="n"/>
      <c r="O6" s="522" t="n"/>
      <c r="P6" s="522" t="n"/>
      <c r="Q6" s="522" t="n"/>
      <c r="R6" s="522" t="n"/>
      <c r="S6" s="522" t="n"/>
      <c r="T6" s="522" t="n"/>
      <c r="U6" s="522" t="n"/>
      <c r="V6" s="523" t="n"/>
      <c r="W6" s="187">
        <f>3600/W7</f>
        <v/>
      </c>
      <c r="Y6" s="536" t="inlineStr">
        <is>
          <t>S.No</t>
        </is>
      </c>
      <c r="Z6" s="535" t="inlineStr">
        <is>
          <t>Cycles / Hour</t>
        </is>
      </c>
      <c r="AA6" s="522" t="n"/>
      <c r="AB6" s="522" t="n"/>
      <c r="AC6" s="522" t="n"/>
      <c r="AD6" s="522" t="n"/>
      <c r="AE6" s="522" t="n"/>
      <c r="AF6" s="522" t="n"/>
      <c r="AG6" s="522" t="n"/>
      <c r="AH6" s="522" t="n"/>
      <c r="AI6" s="522" t="n"/>
      <c r="AJ6" s="522" t="n"/>
      <c r="AK6" s="522" t="n"/>
      <c r="AL6" s="522" t="n"/>
      <c r="AM6" s="522" t="n"/>
      <c r="AN6" s="523" t="n"/>
      <c r="AO6" s="187">
        <f>3600/AO7</f>
        <v/>
      </c>
    </row>
    <row r="7" ht="24" customHeight="1" s="516">
      <c r="A7" s="35" t="inlineStr">
        <is>
          <t>Sorts per Hr</t>
        </is>
      </c>
      <c r="B7" s="53">
        <f>IF(MIN(B10:C11)=0,0,AVERAGE(D10:D11))</f>
        <v/>
      </c>
      <c r="G7" s="537" t="n"/>
      <c r="H7" s="535" t="inlineStr">
        <is>
          <t>Effective Cycle Time</t>
        </is>
      </c>
      <c r="I7" s="522" t="n"/>
      <c r="J7" s="522" t="n"/>
      <c r="K7" s="522" t="n"/>
      <c r="L7" s="522" t="n"/>
      <c r="M7" s="522" t="n"/>
      <c r="N7" s="522" t="n"/>
      <c r="O7" s="522" t="n"/>
      <c r="P7" s="522" t="n"/>
      <c r="Q7" s="522" t="n"/>
      <c r="R7" s="522" t="n"/>
      <c r="S7" s="522" t="n"/>
      <c r="T7" s="522" t="n"/>
      <c r="U7" s="522" t="n"/>
      <c r="V7" s="523" t="n"/>
      <c r="W7" s="188">
        <f>W9/W8</f>
        <v/>
      </c>
      <c r="Y7" s="537" t="n"/>
      <c r="Z7" s="535" t="inlineStr">
        <is>
          <t>Effective Cycle Time</t>
        </is>
      </c>
      <c r="AA7" s="522" t="n"/>
      <c r="AB7" s="522" t="n"/>
      <c r="AC7" s="522" t="n"/>
      <c r="AD7" s="522" t="n"/>
      <c r="AE7" s="522" t="n"/>
      <c r="AF7" s="522" t="n"/>
      <c r="AG7" s="522" t="n"/>
      <c r="AH7" s="522" t="n"/>
      <c r="AI7" s="522" t="n"/>
      <c r="AJ7" s="522" t="n"/>
      <c r="AK7" s="522" t="n"/>
      <c r="AL7" s="522" t="n"/>
      <c r="AM7" s="522" t="n"/>
      <c r="AN7" s="523" t="n"/>
      <c r="AO7" s="188">
        <f>AO9/AO8</f>
        <v/>
      </c>
      <c r="AR7" s="189">
        <f>'Master List'!G1</f>
        <v/>
      </c>
    </row>
    <row r="8">
      <c r="G8" s="537" t="n"/>
      <c r="H8" s="535" t="inlineStr">
        <is>
          <t>Equipment Utilization</t>
        </is>
      </c>
      <c r="I8" s="522" t="n"/>
      <c r="J8" s="522" t="n"/>
      <c r="K8" s="522" t="n"/>
      <c r="L8" s="522" t="n"/>
      <c r="M8" s="522" t="n"/>
      <c r="N8" s="522" t="n"/>
      <c r="O8" s="522" t="n"/>
      <c r="P8" s="522" t="n"/>
      <c r="Q8" s="522" t="n"/>
      <c r="R8" s="522" t="n"/>
      <c r="S8" s="522" t="n"/>
      <c r="T8" s="522" t="n"/>
      <c r="U8" s="522" t="n"/>
      <c r="V8" s="523" t="n"/>
      <c r="W8" s="190">
        <f>$AR$7</f>
        <v/>
      </c>
      <c r="Y8" s="537" t="n"/>
      <c r="Z8" s="535" t="inlineStr">
        <is>
          <t>Equipment Utilization</t>
        </is>
      </c>
      <c r="AA8" s="522" t="n"/>
      <c r="AB8" s="522" t="n"/>
      <c r="AC8" s="522" t="n"/>
      <c r="AD8" s="522" t="n"/>
      <c r="AE8" s="522" t="n"/>
      <c r="AF8" s="522" t="n"/>
      <c r="AG8" s="522" t="n"/>
      <c r="AH8" s="522" t="n"/>
      <c r="AI8" s="522" t="n"/>
      <c r="AJ8" s="522" t="n"/>
      <c r="AK8" s="522" t="n"/>
      <c r="AL8" s="522" t="n"/>
      <c r="AM8" s="522" t="n"/>
      <c r="AN8" s="523" t="n"/>
      <c r="AO8" s="190">
        <f>$AR$7</f>
        <v/>
      </c>
    </row>
    <row r="9" ht="18" customHeight="1" s="516">
      <c r="A9" s="75" t="inlineStr">
        <is>
          <t>Category</t>
        </is>
      </c>
      <c r="B9" s="75" t="inlineStr">
        <is>
          <t>X direction M</t>
        </is>
      </c>
      <c r="C9" s="75" t="inlineStr">
        <is>
          <t>Y direction M</t>
        </is>
      </c>
      <c r="D9" s="80" t="inlineStr">
        <is>
          <t>Sorts per hr</t>
        </is>
      </c>
      <c r="E9" s="82" t="n"/>
      <c r="F9" s="6" t="n"/>
      <c r="G9" s="537" t="n"/>
      <c r="H9" s="535" t="inlineStr">
        <is>
          <t>Cycle Time</t>
        </is>
      </c>
      <c r="I9" s="522" t="n"/>
      <c r="J9" s="522" t="n"/>
      <c r="K9" s="522" t="n"/>
      <c r="L9" s="522" t="n"/>
      <c r="M9" s="522" t="n"/>
      <c r="N9" s="522" t="n"/>
      <c r="O9" s="522" t="n"/>
      <c r="P9" s="522" t="n"/>
      <c r="Q9" s="522" t="n"/>
      <c r="R9" s="522" t="n"/>
      <c r="S9" s="522" t="n"/>
      <c r="T9" s="522" t="n"/>
      <c r="U9" s="522" t="n"/>
      <c r="V9" s="523" t="n"/>
      <c r="W9" s="191">
        <f>SUM(W11:W12,W15:W16)+(MAX(W13:W14))+(MAX(W17:W18))</f>
        <v/>
      </c>
      <c r="Y9" s="537" t="n"/>
      <c r="Z9" s="535" t="inlineStr">
        <is>
          <t>Cycle Time</t>
        </is>
      </c>
      <c r="AA9" s="522" t="n"/>
      <c r="AB9" s="522" t="n"/>
      <c r="AC9" s="522" t="n"/>
      <c r="AD9" s="522" t="n"/>
      <c r="AE9" s="522" t="n"/>
      <c r="AF9" s="522" t="n"/>
      <c r="AG9" s="522" t="n"/>
      <c r="AH9" s="522" t="n"/>
      <c r="AI9" s="522" t="n"/>
      <c r="AJ9" s="522" t="n"/>
      <c r="AK9" s="522" t="n"/>
      <c r="AL9" s="522" t="n"/>
      <c r="AM9" s="522" t="n"/>
      <c r="AN9" s="523" t="n"/>
      <c r="AO9" s="191">
        <f>SUM(AO11:AO12,AO15:AO16)+(MAX(AO13:AO14))+(MAX(AO17:AO18))</f>
        <v/>
      </c>
    </row>
    <row r="10" ht="15.5" customFormat="1" customHeight="1" s="6">
      <c r="A10" s="543" t="inlineStr">
        <is>
          <t>2/3L &amp; 1/5H</t>
        </is>
      </c>
      <c r="B10" s="42">
        <f>(2/3)*$E$14</f>
        <v/>
      </c>
      <c r="C10" s="42">
        <f>(1/5)*$E$15</f>
        <v/>
      </c>
      <c r="D10" s="39">
        <f>W6</f>
        <v/>
      </c>
      <c r="E10" s="99" t="n"/>
      <c r="G10" s="538" t="n"/>
      <c r="H10" s="192" t="inlineStr">
        <is>
          <t>Activity Type</t>
        </is>
      </c>
      <c r="I10" s="193" t="inlineStr">
        <is>
          <t>Steps</t>
        </is>
      </c>
      <c r="J10" s="194" t="inlineStr">
        <is>
          <t>Time to consider in absence of data (sec)</t>
        </is>
      </c>
      <c r="K10" s="194" t="inlineStr">
        <is>
          <t>Speed (m / sec)</t>
        </is>
      </c>
      <c r="L10" s="194" t="inlineStr">
        <is>
          <t>Acceleration (m / sec^2)</t>
        </is>
      </c>
      <c r="M10" s="195" t="inlineStr">
        <is>
          <t>Total Distance (m)</t>
        </is>
      </c>
      <c r="N10" s="196" t="inlineStr">
        <is>
          <t>Time to Reach Max Speed (sec)</t>
        </is>
      </c>
      <c r="O10" s="197" t="inlineStr">
        <is>
          <t>Distance in accerlaration (m)</t>
        </is>
      </c>
      <c r="P10" s="193" t="inlineStr">
        <is>
          <t>Distance in Max speed (m)</t>
        </is>
      </c>
      <c r="Q10" s="198" t="inlineStr">
        <is>
          <t>Distance in de-acceleration (m)</t>
        </is>
      </c>
      <c r="R10" s="197" t="inlineStr">
        <is>
          <t>Time in acceleration (sec)</t>
        </is>
      </c>
      <c r="S10" s="193" t="inlineStr">
        <is>
          <t>Time in full speed (sec)</t>
        </is>
      </c>
      <c r="T10" s="198" t="inlineStr">
        <is>
          <t>Time in de-acceleration (sec)</t>
        </is>
      </c>
      <c r="U10" s="199" t="inlineStr">
        <is>
          <t>Time (sec)</t>
        </is>
      </c>
      <c r="V10" s="195" t="inlineStr">
        <is>
          <t>Units</t>
        </is>
      </c>
      <c r="W10" s="200" t="inlineStr">
        <is>
          <t>Total Time</t>
        </is>
      </c>
      <c r="X10" s="201" t="n"/>
      <c r="Y10" s="538" t="n"/>
      <c r="Z10" s="192" t="inlineStr">
        <is>
          <t>Activity Type</t>
        </is>
      </c>
      <c r="AA10" s="193" t="inlineStr">
        <is>
          <t>Steps</t>
        </is>
      </c>
      <c r="AB10" s="194" t="inlineStr">
        <is>
          <t>Time to consider in absence of data (sec)</t>
        </is>
      </c>
      <c r="AC10" s="194" t="inlineStr">
        <is>
          <t>Speed (m / sec)</t>
        </is>
      </c>
      <c r="AD10" s="194" t="inlineStr">
        <is>
          <t>Acceleration (m / sec^2)</t>
        </is>
      </c>
      <c r="AE10" s="195" t="inlineStr">
        <is>
          <t>Total Distance (m)</t>
        </is>
      </c>
      <c r="AF10" s="196" t="inlineStr">
        <is>
          <t>Time to Reach Max Speed (sec)</t>
        </is>
      </c>
      <c r="AG10" s="197" t="inlineStr">
        <is>
          <t>Distance in accerlaration (m)</t>
        </is>
      </c>
      <c r="AH10" s="193" t="inlineStr">
        <is>
          <t>Distance in Max speed (m)</t>
        </is>
      </c>
      <c r="AI10" s="198" t="inlineStr">
        <is>
          <t>Distance in de-acceleration (m)</t>
        </is>
      </c>
      <c r="AJ10" s="197" t="inlineStr">
        <is>
          <t>Time in acceleration (sec)</t>
        </is>
      </c>
      <c r="AK10" s="193" t="inlineStr">
        <is>
          <t>Time in full speed (sec)</t>
        </is>
      </c>
      <c r="AL10" s="198" t="inlineStr">
        <is>
          <t>Time in de-acceleration (sec)</t>
        </is>
      </c>
      <c r="AM10" s="199" t="inlineStr">
        <is>
          <t>Time (sec)</t>
        </is>
      </c>
      <c r="AN10" s="195" t="inlineStr">
        <is>
          <t>Units</t>
        </is>
      </c>
      <c r="AO10" s="200" t="inlineStr">
        <is>
          <t>Total Time</t>
        </is>
      </c>
      <c r="AP10" s="201" t="n"/>
      <c r="AQ10" s="201" t="n"/>
      <c r="AR10" s="201" t="n"/>
    </row>
    <row r="11" ht="15.5" customHeight="1" s="516">
      <c r="A11" s="543" t="inlineStr">
        <is>
          <t>1/5H &amp; 2/3H</t>
        </is>
      </c>
      <c r="B11" s="42">
        <f>(1/5)*$E$14</f>
        <v/>
      </c>
      <c r="C11" s="42">
        <f>(2/3)*$E$15</f>
        <v/>
      </c>
      <c r="D11" s="39">
        <f>AO6</f>
        <v/>
      </c>
      <c r="E11" s="99" t="n"/>
      <c r="G11" s="202" t="n">
        <v>1</v>
      </c>
      <c r="H11" s="203" t="inlineStr">
        <is>
          <t>Sortie positioning time</t>
        </is>
      </c>
      <c r="I11" s="203" t="inlineStr">
        <is>
          <t>Positioning on induction conveyor</t>
        </is>
      </c>
      <c r="J11" s="204">
        <f>IFERROR(VLOOKUP(H11,'Master List'!$A:$D,2,0),0)</f>
        <v/>
      </c>
      <c r="K11" s="204">
        <f>IFERROR(VLOOKUP(H11,'Master List'!$A:$D,3,0),0)</f>
        <v/>
      </c>
      <c r="L11" s="204">
        <f>IFERROR(VLOOKUP(H11,'Master List'!$A:$D,4,0),0)</f>
        <v/>
      </c>
      <c r="M11" s="205" t="n"/>
      <c r="N11" s="206">
        <f>IFERROR(K11/L11,0)</f>
        <v/>
      </c>
      <c r="O11" s="207">
        <f>IFERROR(IF(M11&lt;((1/2*L11*N11^2)*2),1/2*L11*SQRT((M11/2)*2/L11)^2,1/2*L11*N11^2),0)</f>
        <v/>
      </c>
      <c r="P11" s="204">
        <f>IFERROR(IF(M11-O11-Q11&lt;=0,0,M11-O11-Q11),0)</f>
        <v/>
      </c>
      <c r="Q11" s="208">
        <f>O11</f>
        <v/>
      </c>
      <c r="R11" s="207">
        <f>IFERROR(IF(M11&lt;((1/2*L11*N11^2)*2),SQRT((M11/2)*2/L11),N11),0)</f>
        <v/>
      </c>
      <c r="S11" s="204">
        <f>IFERROR(P11/K11,0)</f>
        <v/>
      </c>
      <c r="T11" s="208">
        <f>R11</f>
        <v/>
      </c>
      <c r="U11" s="207">
        <f>IF(J11&gt;0,J11,SUM(R11:T11))</f>
        <v/>
      </c>
      <c r="V11" s="205" t="n">
        <v>1</v>
      </c>
      <c r="W11" s="208">
        <f>U11*V11</f>
        <v/>
      </c>
      <c r="Y11" s="202" t="n">
        <v>1</v>
      </c>
      <c r="Z11" s="203" t="inlineStr">
        <is>
          <t>Sortie positioning time</t>
        </is>
      </c>
      <c r="AA11" s="203" t="inlineStr">
        <is>
          <t>Positioning on induction conveyor</t>
        </is>
      </c>
      <c r="AB11" s="204">
        <f>IFERROR(VLOOKUP(Z11,'Master List'!$A:$D,2,0),0)</f>
        <v/>
      </c>
      <c r="AC11" s="204">
        <f>IFERROR(VLOOKUP(Z11,'Master List'!$A:$D,3,0),0)</f>
        <v/>
      </c>
      <c r="AD11" s="204">
        <f>IFERROR(VLOOKUP(Z11,'Master List'!$A:$D,4,0),0)</f>
        <v/>
      </c>
      <c r="AE11" s="205" t="n"/>
      <c r="AF11" s="206">
        <f>IFERROR(AC11/AD11,0)</f>
        <v/>
      </c>
      <c r="AG11" s="207">
        <f>IFERROR(IF(AE11&lt;((1/2*AD11*AF11^2)*2),1/2*AD11*SQRT((AE11/2)*2/AD11)^2,1/2*AD11*AF11^2),0)</f>
        <v/>
      </c>
      <c r="AH11" s="204">
        <f>IFERROR(IF(AE11-AG11-AI11&lt;=0,0,AE11-AG11-AI11),0)</f>
        <v/>
      </c>
      <c r="AI11" s="208">
        <f>AG11</f>
        <v/>
      </c>
      <c r="AJ11" s="207">
        <f>IFERROR(IF(AE11&lt;((1/2*AD11*AF11^2)*2),SQRT((AE11/2)*2/AD11),AF11),0)</f>
        <v/>
      </c>
      <c r="AK11" s="204">
        <f>IFERROR(AH11/AC11,0)</f>
        <v/>
      </c>
      <c r="AL11" s="208">
        <f>AJ11</f>
        <v/>
      </c>
      <c r="AM11" s="207">
        <f>IF(AB11&gt;0,AB11,SUM(AJ11:AL11))</f>
        <v/>
      </c>
      <c r="AN11" s="205" t="n">
        <v>1</v>
      </c>
      <c r="AO11" s="208">
        <f>AM11*AN11</f>
        <v/>
      </c>
    </row>
    <row r="12">
      <c r="G12" s="202">
        <f>G11+1</f>
        <v/>
      </c>
      <c r="H12" s="203" t="inlineStr">
        <is>
          <t>Sortie Conveyor transfer</t>
        </is>
      </c>
      <c r="I12" s="203" t="inlineStr">
        <is>
          <t>Induction time</t>
        </is>
      </c>
      <c r="J12" s="204">
        <f>IFERROR(VLOOKUP(H12,'Master List'!$A:$D,2,0),0)</f>
        <v/>
      </c>
      <c r="K12" s="204">
        <f>IFERROR(VLOOKUP(H12,'Master List'!$A:$D,3,0),0)</f>
        <v/>
      </c>
      <c r="L12" s="204">
        <f>IFERROR(VLOOKUP(H12,'Master List'!$A:$D,4,0),0)</f>
        <v/>
      </c>
      <c r="M12" s="205" t="n"/>
      <c r="N12" s="206">
        <f>IFERROR(K12/L12,0)</f>
        <v/>
      </c>
      <c r="O12" s="207">
        <f>IFERROR(IF(M12&lt;((1/2*L12*N12^2)*2),1/2*L12*SQRT((M12/2)*2/L12)^2,1/2*L12*N12^2),0)</f>
        <v/>
      </c>
      <c r="P12" s="204">
        <f>IFERROR(IF(M12-O12-Q12&lt;=0,0,M12-O12-Q12),0)</f>
        <v/>
      </c>
      <c r="Q12" s="208">
        <f>O12</f>
        <v/>
      </c>
      <c r="R12" s="207">
        <f>IFERROR(IF(M12&lt;((1/2*L12*N12^2)*2),SQRT((M12/2)*2/L12),N12),0)</f>
        <v/>
      </c>
      <c r="S12" s="204">
        <f>IFERROR(P12/K12,0)</f>
        <v/>
      </c>
      <c r="T12" s="208">
        <f>R12</f>
        <v/>
      </c>
      <c r="U12" s="207">
        <f>IF(J12&gt;0,J12,SUM(R12:T12))</f>
        <v/>
      </c>
      <c r="V12" s="205" t="n">
        <v>1</v>
      </c>
      <c r="W12" s="208">
        <f>U12*V12</f>
        <v/>
      </c>
      <c r="Y12" s="202">
        <f>Y11+1</f>
        <v/>
      </c>
      <c r="Z12" s="203" t="inlineStr">
        <is>
          <t>Sortie Conveyor transfer</t>
        </is>
      </c>
      <c r="AA12" s="203" t="inlineStr">
        <is>
          <t>Induction time</t>
        </is>
      </c>
      <c r="AB12" s="204">
        <f>IFERROR(VLOOKUP(Z12,'Master List'!$A:$D,2,0),0)</f>
        <v/>
      </c>
      <c r="AC12" s="204">
        <f>IFERROR(VLOOKUP(Z12,'Master List'!$A:$D,3,0),0)</f>
        <v/>
      </c>
      <c r="AD12" s="204">
        <f>IFERROR(VLOOKUP(Z12,'Master List'!$A:$D,4,0),0)</f>
        <v/>
      </c>
      <c r="AE12" s="205" t="n"/>
      <c r="AF12" s="206">
        <f>IFERROR(AC12/AD12,0)</f>
        <v/>
      </c>
      <c r="AG12" s="207">
        <f>IFERROR(IF(AE12&lt;((1/2*AD12*AF12^2)*2),1/2*AD12*SQRT((AE12/2)*2/AD12)^2,1/2*AD12*AF12^2),0)</f>
        <v/>
      </c>
      <c r="AH12" s="204">
        <f>IFERROR(IF(AE12-AG12-AI12&lt;=0,0,AE12-AG12-AI12),0)</f>
        <v/>
      </c>
      <c r="AI12" s="208">
        <f>AG12</f>
        <v/>
      </c>
      <c r="AJ12" s="207">
        <f>IFERROR(IF(AE12&lt;((1/2*AD12*AF12^2)*2),SQRT((AE12/2)*2/AD12),AF12),0)</f>
        <v/>
      </c>
      <c r="AK12" s="204">
        <f>IFERROR(AH12/AC12,0)</f>
        <v/>
      </c>
      <c r="AL12" s="208">
        <f>AJ12</f>
        <v/>
      </c>
      <c r="AM12" s="207">
        <f>IF(AB12&gt;0,AB12,SUM(AJ12:AL12))</f>
        <v/>
      </c>
      <c r="AN12" s="205" t="n">
        <v>1</v>
      </c>
      <c r="AO12" s="208">
        <f>AM12*AN12</f>
        <v/>
      </c>
    </row>
    <row r="13">
      <c r="B13" s="82" t="n"/>
      <c r="C13" s="82" t="inlineStr">
        <is>
          <t>Pick point cordinates</t>
        </is>
      </c>
      <c r="G13" s="202">
        <f>G12+1</f>
        <v/>
      </c>
      <c r="H13" s="203" t="inlineStr">
        <is>
          <t>Sortie X direction movement</t>
        </is>
      </c>
      <c r="I13" s="203" t="inlineStr">
        <is>
          <t>Travel to reach location in X direction</t>
        </is>
      </c>
      <c r="J13" s="204">
        <f>IFERROR(VLOOKUP(H13,'Master List'!$A:$D,2,0),0)</f>
        <v/>
      </c>
      <c r="K13" s="204">
        <f>IFERROR(VLOOKUP(H13,'Master List'!$A:$D,3,0),0)</f>
        <v/>
      </c>
      <c r="L13" s="204">
        <f>IFERROR(VLOOKUP(H13,'Master List'!$A:$D,4,0),0)</f>
        <v/>
      </c>
      <c r="M13" s="205">
        <f>B10</f>
        <v/>
      </c>
      <c r="N13" s="206">
        <f>IFERROR(K13/L13,0)</f>
        <v/>
      </c>
      <c r="O13" s="207">
        <f>IFERROR(IF(M13&lt;((1/2*L13*N13^2)*2),1/2*L13*SQRT((M13/2)*2/L13)^2,1/2*L13*N13^2),0)</f>
        <v/>
      </c>
      <c r="P13" s="204">
        <f>IFERROR(IF(M13-O13-Q13&lt;=0,0,M13-O13-Q13),0)</f>
        <v/>
      </c>
      <c r="Q13" s="208">
        <f>O13</f>
        <v/>
      </c>
      <c r="R13" s="207">
        <f>IFERROR(IF(M13&lt;((1/2*L13*N13^2)*2),SQRT((M13/2)*2/L13),N13),0)</f>
        <v/>
      </c>
      <c r="S13" s="204">
        <f>IFERROR(P13/K13,0)</f>
        <v/>
      </c>
      <c r="T13" s="208">
        <f>R13</f>
        <v/>
      </c>
      <c r="U13" s="207">
        <f>IF(J13&gt;0,J13,SUM(R13:T13))</f>
        <v/>
      </c>
      <c r="V13" s="205" t="n">
        <v>1</v>
      </c>
      <c r="W13" s="208">
        <f>U13*V13</f>
        <v/>
      </c>
      <c r="Y13" s="202">
        <f>Y12+1</f>
        <v/>
      </c>
      <c r="Z13" s="203" t="inlineStr">
        <is>
          <t>Sortie X direction movement</t>
        </is>
      </c>
      <c r="AA13" s="203" t="inlineStr">
        <is>
          <t>Travel to reach location in X direction</t>
        </is>
      </c>
      <c r="AB13" s="204">
        <f>IFERROR(VLOOKUP(Z13,'Master List'!$A:$D,2,0),0)</f>
        <v/>
      </c>
      <c r="AC13" s="204">
        <f>IFERROR(VLOOKUP(Z13,'Master List'!$A:$D,3,0),0)</f>
        <v/>
      </c>
      <c r="AD13" s="204">
        <f>IFERROR(VLOOKUP(Z13,'Master List'!$A:$D,4,0),0)</f>
        <v/>
      </c>
      <c r="AE13" s="205">
        <f>B11</f>
        <v/>
      </c>
      <c r="AF13" s="206">
        <f>IFERROR(AC13/AD13,0)</f>
        <v/>
      </c>
      <c r="AG13" s="207">
        <f>IFERROR(IF(AE13&lt;((1/2*AD13*AF13^2)*2),1/2*AD13*SQRT((AE13/2)*2/AD13)^2,1/2*AD13*AF13^2),0)</f>
        <v/>
      </c>
      <c r="AH13" s="204">
        <f>IFERROR(IF(AE13-AG13-AI13&lt;=0,0,AE13-AG13-AI13),0)</f>
        <v/>
      </c>
      <c r="AI13" s="208">
        <f>AG13</f>
        <v/>
      </c>
      <c r="AJ13" s="207">
        <f>IFERROR(IF(AE13&lt;((1/2*AD13*AF13^2)*2),SQRT((AE13/2)*2/AD13),AF13),0)</f>
        <v/>
      </c>
      <c r="AK13" s="204">
        <f>IFERROR(AH13/AC13,0)</f>
        <v/>
      </c>
      <c r="AL13" s="208">
        <f>AJ13</f>
        <v/>
      </c>
      <c r="AM13" s="207">
        <f>IF(AB13&gt;0,AB13,SUM(AJ13:AL13))</f>
        <v/>
      </c>
      <c r="AN13" s="205" t="n">
        <v>1</v>
      </c>
      <c r="AO13" s="208">
        <f>AM13*AN13</f>
        <v/>
      </c>
    </row>
    <row r="14" ht="16" customHeight="1" s="516">
      <c r="A14" s="76" t="inlineStr">
        <is>
          <t>Total effective distance in X direction M</t>
        </is>
      </c>
      <c r="B14" s="78" t="n">
        <v>7</v>
      </c>
      <c r="C14" s="182" t="n">
        <v>3.5</v>
      </c>
      <c r="D14" s="184">
        <f>IF(C14&lt;=B17,C14,"Please refer Cell B18")</f>
        <v/>
      </c>
      <c r="E14" s="183">
        <f>IFERROR(B14-D14,0)</f>
        <v/>
      </c>
      <c r="G14" s="202">
        <f>G13+1</f>
        <v/>
      </c>
      <c r="H14" s="203" t="inlineStr">
        <is>
          <t>Sortie Y direction movement</t>
        </is>
      </c>
      <c r="I14" s="203" t="inlineStr">
        <is>
          <t>Travel to reach location in Y direction</t>
        </is>
      </c>
      <c r="J14" s="204">
        <f>IFERROR(VLOOKUP(H14,'Master List'!$A:$D,2,0),0)</f>
        <v/>
      </c>
      <c r="K14" s="204">
        <f>IFERROR(VLOOKUP(H14,'Master List'!$A:$D,3,0),0)</f>
        <v/>
      </c>
      <c r="L14" s="204">
        <f>IFERROR(VLOOKUP(H14,'Master List'!$A:$D,4,0),0)</f>
        <v/>
      </c>
      <c r="M14" s="205">
        <f>C10</f>
        <v/>
      </c>
      <c r="N14" s="206">
        <f>IFERROR(K14/L14,0)</f>
        <v/>
      </c>
      <c r="O14" s="207">
        <f>IFERROR(IF(M14&lt;((1/2*L14*N14^2)*2),1/2*L14*SQRT((M14/2)*2/L14)^2,1/2*L14*N14^2),0)</f>
        <v/>
      </c>
      <c r="P14" s="204">
        <f>IFERROR(IF(M14-O14-Q14&lt;=0,0,M14-O14-Q14),0)</f>
        <v/>
      </c>
      <c r="Q14" s="208">
        <f>O14</f>
        <v/>
      </c>
      <c r="R14" s="207">
        <f>IFERROR(IF(M14&lt;((1/2*L14*N14^2)*2),SQRT((M14/2)*2/L14),N14),0)</f>
        <v/>
      </c>
      <c r="S14" s="204">
        <f>IFERROR(P14/K14,0)</f>
        <v/>
      </c>
      <c r="T14" s="208">
        <f>R14</f>
        <v/>
      </c>
      <c r="U14" s="207">
        <f>IF(J14&gt;0,J14,SUM(R14:T14))</f>
        <v/>
      </c>
      <c r="V14" s="205" t="n">
        <v>1</v>
      </c>
      <c r="W14" s="208">
        <f>U14*V14</f>
        <v/>
      </c>
      <c r="Y14" s="202">
        <f>Y13+1</f>
        <v/>
      </c>
      <c r="Z14" s="203" t="inlineStr">
        <is>
          <t>Sortie Y direction movement</t>
        </is>
      </c>
      <c r="AA14" s="203" t="inlineStr">
        <is>
          <t>Travel to reach location in Y direction</t>
        </is>
      </c>
      <c r="AB14" s="204">
        <f>IFERROR(VLOOKUP(Z14,'Master List'!$A:$D,2,0),0)</f>
        <v/>
      </c>
      <c r="AC14" s="204">
        <f>IFERROR(VLOOKUP(Z14,'Master List'!$A:$D,3,0),0)</f>
        <v/>
      </c>
      <c r="AD14" s="204">
        <f>IFERROR(VLOOKUP(Z14,'Master List'!$A:$D,4,0),0)</f>
        <v/>
      </c>
      <c r="AE14" s="205">
        <f>C11</f>
        <v/>
      </c>
      <c r="AF14" s="206">
        <f>IFERROR(AC14/AD14,0)</f>
        <v/>
      </c>
      <c r="AG14" s="207">
        <f>IFERROR(IF(AE14&lt;((1/2*AD14*AF14^2)*2),1/2*AD14*SQRT((AE14/2)*2/AD14)^2,1/2*AD14*AF14^2),0)</f>
        <v/>
      </c>
      <c r="AH14" s="204">
        <f>IFERROR(IF(AE14-AG14-AI14&lt;=0,0,AE14-AG14-AI14),0)</f>
        <v/>
      </c>
      <c r="AI14" s="208">
        <f>AG14</f>
        <v/>
      </c>
      <c r="AJ14" s="207">
        <f>IFERROR(IF(AE14&lt;((1/2*AD14*AF14^2)*2),SQRT((AE14/2)*2/AD14),AF14),0)</f>
        <v/>
      </c>
      <c r="AK14" s="204">
        <f>IFERROR(AH14/AC14,0)</f>
        <v/>
      </c>
      <c r="AL14" s="208">
        <f>AJ14</f>
        <v/>
      </c>
      <c r="AM14" s="207">
        <f>IF(AB14&gt;0,AB14,SUM(AJ14:AL14))</f>
        <v/>
      </c>
      <c r="AN14" s="205" t="n">
        <v>1</v>
      </c>
      <c r="AO14" s="208">
        <f>AM14*AN14</f>
        <v/>
      </c>
    </row>
    <row r="15" ht="16" customHeight="1" s="516">
      <c r="A15" s="76" t="inlineStr">
        <is>
          <t>Total effective distance in Y direction M</t>
        </is>
      </c>
      <c r="B15" s="182" t="n">
        <v>1.75</v>
      </c>
      <c r="C15" s="182" t="n">
        <v>0.25</v>
      </c>
      <c r="D15" s="184">
        <f>IF(C15&lt;=B18,C15,"Please refer Cell B19")</f>
        <v/>
      </c>
      <c r="E15" s="183">
        <f>IFERROR(B15-D15,0)</f>
        <v/>
      </c>
      <c r="G15" s="202">
        <f>G14+1</f>
        <v/>
      </c>
      <c r="H15" s="203" t="inlineStr">
        <is>
          <t>Sortie positioning time</t>
        </is>
      </c>
      <c r="I15" s="203" t="inlineStr">
        <is>
          <t>Positioning on sort point</t>
        </is>
      </c>
      <c r="J15" s="204">
        <f>IFERROR(VLOOKUP(H15,'Master List'!$A:$D,2,0),0)</f>
        <v/>
      </c>
      <c r="K15" s="204">
        <f>IFERROR(VLOOKUP(H15,'Master List'!$A:$D,3,0),0)</f>
        <v/>
      </c>
      <c r="L15" s="204">
        <f>IFERROR(VLOOKUP(H15,'Master List'!$A:$D,4,0),0)</f>
        <v/>
      </c>
      <c r="M15" s="205" t="n"/>
      <c r="N15" s="206">
        <f>IFERROR(K15/L15,0)</f>
        <v/>
      </c>
      <c r="O15" s="207">
        <f>IFERROR(IF(M15&lt;((1/2*L15*N15^2)*2),1/2*L15*SQRT((M15/2)*2/L15)^2,1/2*L15*N15^2),0)</f>
        <v/>
      </c>
      <c r="P15" s="204">
        <f>IFERROR(IF(M15-O15-Q15&lt;=0,0,M15-O15-Q15),0)</f>
        <v/>
      </c>
      <c r="Q15" s="208">
        <f>O15</f>
        <v/>
      </c>
      <c r="R15" s="207">
        <f>IFERROR(IF(M15&lt;((1/2*L15*N15^2)*2),SQRT((M15/2)*2/L15),N15),0)</f>
        <v/>
      </c>
      <c r="S15" s="204">
        <f>IFERROR(P15/K15,0)</f>
        <v/>
      </c>
      <c r="T15" s="208">
        <f>R15</f>
        <v/>
      </c>
      <c r="U15" s="207">
        <f>IF(J15&gt;0,J15,SUM(R15:T15))</f>
        <v/>
      </c>
      <c r="V15" s="205" t="n">
        <v>1</v>
      </c>
      <c r="W15" s="208">
        <f>U15*V15</f>
        <v/>
      </c>
      <c r="Y15" s="202">
        <f>Y14+1</f>
        <v/>
      </c>
      <c r="Z15" s="203" t="inlineStr">
        <is>
          <t>Sortie positioning time</t>
        </is>
      </c>
      <c r="AA15" s="203" t="inlineStr">
        <is>
          <t>Positioning on sort point</t>
        </is>
      </c>
      <c r="AB15" s="204">
        <f>IFERROR(VLOOKUP(Z15,'Master List'!$A:$D,2,0),0)</f>
        <v/>
      </c>
      <c r="AC15" s="204">
        <f>IFERROR(VLOOKUP(Z15,'Master List'!$A:$D,3,0),0)</f>
        <v/>
      </c>
      <c r="AD15" s="204">
        <f>IFERROR(VLOOKUP(Z15,'Master List'!$A:$D,4,0),0)</f>
        <v/>
      </c>
      <c r="AE15" s="205" t="n"/>
      <c r="AF15" s="206">
        <f>IFERROR(AC15/AD15,0)</f>
        <v/>
      </c>
      <c r="AG15" s="207">
        <f>IFERROR(IF(AE15&lt;((1/2*AD15*AF15^2)*2),1/2*AD15*SQRT((AE15/2)*2/AD15)^2,1/2*AD15*AF15^2),0)</f>
        <v/>
      </c>
      <c r="AH15" s="204">
        <f>IFERROR(IF(AE15-AG15-AI15&lt;=0,0,AE15-AG15-AI15),0)</f>
        <v/>
      </c>
      <c r="AI15" s="208">
        <f>AG15</f>
        <v/>
      </c>
      <c r="AJ15" s="207">
        <f>IFERROR(IF(AE15&lt;((1/2*AD15*AF15^2)*2),SQRT((AE15/2)*2/AD15),AF15),0)</f>
        <v/>
      </c>
      <c r="AK15" s="204">
        <f>IFERROR(AH15/AC15,0)</f>
        <v/>
      </c>
      <c r="AL15" s="208">
        <f>AJ15</f>
        <v/>
      </c>
      <c r="AM15" s="207">
        <f>IF(AB15&gt;0,AB15,SUM(AJ15:AL15))</f>
        <v/>
      </c>
      <c r="AN15" s="205" t="n">
        <v>1</v>
      </c>
      <c r="AO15" s="208">
        <f>AM15*AN15</f>
        <v/>
      </c>
    </row>
    <row r="16">
      <c r="G16" s="202">
        <f>G15+1</f>
        <v/>
      </c>
      <c r="H16" s="203" t="inlineStr">
        <is>
          <t>Sortie Conveyor transfer</t>
        </is>
      </c>
      <c r="I16" s="203" t="inlineStr">
        <is>
          <t>Sorting time</t>
        </is>
      </c>
      <c r="J16" s="204">
        <f>IFERROR(VLOOKUP(H16,'Master List'!$A:$D,2,0),0)</f>
        <v/>
      </c>
      <c r="K16" s="204">
        <f>IFERROR(VLOOKUP(H16,'Master List'!$A:$D,3,0),0)</f>
        <v/>
      </c>
      <c r="L16" s="204">
        <f>IFERROR(VLOOKUP(H16,'Master List'!$A:$D,4,0),0)</f>
        <v/>
      </c>
      <c r="M16" s="205" t="n"/>
      <c r="N16" s="206">
        <f>IFERROR(K16/L16,0)</f>
        <v/>
      </c>
      <c r="O16" s="207">
        <f>IFERROR(IF(M16&lt;((1/2*L16*N16^2)*2),1/2*L16*SQRT((M16/2)*2/L16)^2,1/2*L16*N16^2),0)</f>
        <v/>
      </c>
      <c r="P16" s="204">
        <f>IFERROR(IF(M16-O16-Q16&lt;=0,0,M16-O16-Q16),0)</f>
        <v/>
      </c>
      <c r="Q16" s="208">
        <f>O16</f>
        <v/>
      </c>
      <c r="R16" s="207">
        <f>IFERROR(IF(M16&lt;((1/2*L16*N16^2)*2),SQRT((M16/2)*2/L16),N16),0)</f>
        <v/>
      </c>
      <c r="S16" s="204">
        <f>IFERROR(P16/K16,0)</f>
        <v/>
      </c>
      <c r="T16" s="208">
        <f>R16</f>
        <v/>
      </c>
      <c r="U16" s="207">
        <f>IF(J16&gt;0,J16,SUM(R16:T16))</f>
        <v/>
      </c>
      <c r="V16" s="205" t="n">
        <v>1</v>
      </c>
      <c r="W16" s="208">
        <f>U16*V16</f>
        <v/>
      </c>
      <c r="Y16" s="202">
        <f>Y15+1</f>
        <v/>
      </c>
      <c r="Z16" s="203" t="inlineStr">
        <is>
          <t>Sortie Conveyor transfer</t>
        </is>
      </c>
      <c r="AA16" s="203" t="inlineStr">
        <is>
          <t>Sorting time</t>
        </is>
      </c>
      <c r="AB16" s="204">
        <f>IFERROR(VLOOKUP(Z16,'Master List'!$A:$D,2,0),0)</f>
        <v/>
      </c>
      <c r="AC16" s="204">
        <f>IFERROR(VLOOKUP(Z16,'Master List'!$A:$D,3,0),0)</f>
        <v/>
      </c>
      <c r="AD16" s="204">
        <f>IFERROR(VLOOKUP(Z16,'Master List'!$A:$D,4,0),0)</f>
        <v/>
      </c>
      <c r="AE16" s="205" t="n"/>
      <c r="AF16" s="206">
        <f>IFERROR(AC16/AD16,0)</f>
        <v/>
      </c>
      <c r="AG16" s="207">
        <f>IFERROR(IF(AE16&lt;((1/2*AD16*AF16^2)*2),1/2*AD16*SQRT((AE16/2)*2/AD16)^2,1/2*AD16*AF16^2),0)</f>
        <v/>
      </c>
      <c r="AH16" s="204">
        <f>IFERROR(IF(AE16-AG16-AI16&lt;=0,0,AE16-AG16-AI16),0)</f>
        <v/>
      </c>
      <c r="AI16" s="208">
        <f>AG16</f>
        <v/>
      </c>
      <c r="AJ16" s="207">
        <f>IFERROR(IF(AE16&lt;((1/2*AD16*AF16^2)*2),SQRT((AE16/2)*2/AD16),AF16),0)</f>
        <v/>
      </c>
      <c r="AK16" s="204">
        <f>IFERROR(AH16/AC16,0)</f>
        <v/>
      </c>
      <c r="AL16" s="208">
        <f>AJ16</f>
        <v/>
      </c>
      <c r="AM16" s="207">
        <f>IF(AB16&gt;0,AB16,SUM(AJ16:AL16))</f>
        <v/>
      </c>
      <c r="AN16" s="205" t="n">
        <v>1</v>
      </c>
      <c r="AO16" s="208">
        <f>AM16*AN16</f>
        <v/>
      </c>
    </row>
    <row r="17" ht="26.5" customHeight="1" s="516">
      <c r="A17" s="76" t="inlineStr">
        <is>
          <t>Max X cordinate M</t>
        </is>
      </c>
      <c r="B17" s="25">
        <f>B14/2</f>
        <v/>
      </c>
      <c r="C17" t="inlineStr">
        <is>
          <t>This is max value that can be used in cell C12</t>
        </is>
      </c>
      <c r="G17" s="202">
        <f>G16+1</f>
        <v/>
      </c>
      <c r="H17" s="203" t="inlineStr">
        <is>
          <t>Sortie X direction movement</t>
        </is>
      </c>
      <c r="I17" s="203" t="inlineStr">
        <is>
          <t>Travel to reach induction point in X direction</t>
        </is>
      </c>
      <c r="J17" s="204">
        <f>IFERROR(VLOOKUP(H17,'Master List'!$A:$D,2,0),0)</f>
        <v/>
      </c>
      <c r="K17" s="204">
        <f>IFERROR(VLOOKUP(H17,'Master List'!$A:$D,3,0),0)</f>
        <v/>
      </c>
      <c r="L17" s="204">
        <f>IFERROR(VLOOKUP(H17,'Master List'!$A:$D,4,0),0)</f>
        <v/>
      </c>
      <c r="M17" s="205">
        <f>M13</f>
        <v/>
      </c>
      <c r="N17" s="206">
        <f>IFERROR(K17/L17,0)</f>
        <v/>
      </c>
      <c r="O17" s="207">
        <f>IFERROR(IF(M17&lt;((1/2*L17*N17^2)*2),1/2*L17*SQRT((M17/2)*2/L17)^2,1/2*L17*N17^2),0)</f>
        <v/>
      </c>
      <c r="P17" s="204">
        <f>IFERROR(IF(M17-O17-Q17&lt;=0,0,M17-O17-Q17),0)</f>
        <v/>
      </c>
      <c r="Q17" s="208">
        <f>O17</f>
        <v/>
      </c>
      <c r="R17" s="207">
        <f>IFERROR(IF(M17&lt;((1/2*L17*N17^2)*2),SQRT((M17/2)*2/L17),N17),0)</f>
        <v/>
      </c>
      <c r="S17" s="204">
        <f>IFERROR(P17/K17,0)</f>
        <v/>
      </c>
      <c r="T17" s="208">
        <f>R17</f>
        <v/>
      </c>
      <c r="U17" s="207">
        <f>IF(J17&gt;0,J17,SUM(R17:T17))</f>
        <v/>
      </c>
      <c r="V17" s="205" t="n">
        <v>1</v>
      </c>
      <c r="W17" s="208">
        <f>U17*V17</f>
        <v/>
      </c>
      <c r="Y17" s="202">
        <f>Y16+1</f>
        <v/>
      </c>
      <c r="Z17" s="203" t="inlineStr">
        <is>
          <t>Sortie X direction movement</t>
        </is>
      </c>
      <c r="AA17" s="203" t="inlineStr">
        <is>
          <t>Travel to reach induction point in X direction</t>
        </is>
      </c>
      <c r="AB17" s="204">
        <f>IFERROR(VLOOKUP(Z17,'Master List'!$A:$D,2,0),0)</f>
        <v/>
      </c>
      <c r="AC17" s="204">
        <f>IFERROR(VLOOKUP(Z17,'Master List'!$A:$D,3,0),0)</f>
        <v/>
      </c>
      <c r="AD17" s="204">
        <f>IFERROR(VLOOKUP(Z17,'Master List'!$A:$D,4,0),0)</f>
        <v/>
      </c>
      <c r="AE17" s="205">
        <f>AE13</f>
        <v/>
      </c>
      <c r="AF17" s="206">
        <f>IFERROR(AC17/AD17,0)</f>
        <v/>
      </c>
      <c r="AG17" s="207">
        <f>IFERROR(IF(AE17&lt;((1/2*AD17*AF17^2)*2),1/2*AD17*SQRT((AE17/2)*2/AD17)^2,1/2*AD17*AF17^2),0)</f>
        <v/>
      </c>
      <c r="AH17" s="204">
        <f>IFERROR(IF(AE17-AG17-AI17&lt;=0,0,AE17-AG17-AI17),0)</f>
        <v/>
      </c>
      <c r="AI17" s="208">
        <f>AG17</f>
        <v/>
      </c>
      <c r="AJ17" s="207">
        <f>IFERROR(IF(AE17&lt;((1/2*AD17*AF17^2)*2),SQRT((AE17/2)*2/AD17),AF17),0)</f>
        <v/>
      </c>
      <c r="AK17" s="204">
        <f>IFERROR(AH17/AC17,0)</f>
        <v/>
      </c>
      <c r="AL17" s="208">
        <f>AJ17</f>
        <v/>
      </c>
      <c r="AM17" s="207">
        <f>IF(AB17&gt;0,AB17,SUM(AJ17:AL17))</f>
        <v/>
      </c>
      <c r="AN17" s="205" t="n">
        <v>1</v>
      </c>
      <c r="AO17" s="208">
        <f>AM17*AN17</f>
        <v/>
      </c>
    </row>
    <row r="18" ht="14.5" customHeight="1" s="516">
      <c r="A18" s="76" t="inlineStr">
        <is>
          <t>Max Y cordinate M</t>
        </is>
      </c>
      <c r="B18" s="25">
        <f>(B15/2)</f>
        <v/>
      </c>
      <c r="C18" t="inlineStr">
        <is>
          <t>This is max value that can be used in cell C13</t>
        </is>
      </c>
      <c r="G18" s="202">
        <f>G17+1</f>
        <v/>
      </c>
      <c r="H18" s="203" t="inlineStr">
        <is>
          <t>Sortie Y direction movement</t>
        </is>
      </c>
      <c r="I18" s="203" t="inlineStr">
        <is>
          <t>Travel to reach induction point in Y direction</t>
        </is>
      </c>
      <c r="J18" s="204">
        <f>IFERROR(VLOOKUP(H18,'Master List'!$A:$D,2,0),0)</f>
        <v/>
      </c>
      <c r="K18" s="204">
        <f>IFERROR(VLOOKUP(H18,'Master List'!$A:$D,3,0),0)</f>
        <v/>
      </c>
      <c r="L18" s="204">
        <f>IFERROR(VLOOKUP(H18,'Master List'!$A:$D,4,0),0)</f>
        <v/>
      </c>
      <c r="M18" s="205">
        <f>M14</f>
        <v/>
      </c>
      <c r="N18" s="206">
        <f>IFERROR(K18/L18,0)</f>
        <v/>
      </c>
      <c r="O18" s="207">
        <f>IFERROR(IF(M18&lt;((1/2*L18*N18^2)*2),1/2*L18*SQRT((M18/2)*2/L18)^2,1/2*L18*N18^2),0)</f>
        <v/>
      </c>
      <c r="P18" s="204">
        <f>IFERROR(IF(M18-O18-Q18&lt;=0,0,M18-O18-Q18),0)</f>
        <v/>
      </c>
      <c r="Q18" s="208">
        <f>O18</f>
        <v/>
      </c>
      <c r="R18" s="207">
        <f>IFERROR(IF(M18&lt;((1/2*L18*N18^2)*2),SQRT((M18/2)*2/L18),N18),0)</f>
        <v/>
      </c>
      <c r="S18" s="204">
        <f>IFERROR(P18/K18,0)</f>
        <v/>
      </c>
      <c r="T18" s="208">
        <f>R18</f>
        <v/>
      </c>
      <c r="U18" s="207">
        <f>IF(J18&gt;0,J18,SUM(R18:T18))</f>
        <v/>
      </c>
      <c r="V18" s="205" t="n">
        <v>1</v>
      </c>
      <c r="W18" s="208">
        <f>U18*V18</f>
        <v/>
      </c>
      <c r="Y18" s="202">
        <f>Y17+1</f>
        <v/>
      </c>
      <c r="Z18" s="203" t="inlineStr">
        <is>
          <t>Sortie Y direction movement</t>
        </is>
      </c>
      <c r="AA18" s="203" t="inlineStr">
        <is>
          <t>Travel to reach induction point in Y direction</t>
        </is>
      </c>
      <c r="AB18" s="204">
        <f>IFERROR(VLOOKUP(Z18,'Master List'!$A:$D,2,0),0)</f>
        <v/>
      </c>
      <c r="AC18" s="204">
        <f>IFERROR(VLOOKUP(Z18,'Master List'!$A:$D,3,0),0)</f>
        <v/>
      </c>
      <c r="AD18" s="204">
        <f>IFERROR(VLOOKUP(Z18,'Master List'!$A:$D,4,0),0)</f>
        <v/>
      </c>
      <c r="AE18" s="205">
        <f>AE14</f>
        <v/>
      </c>
      <c r="AF18" s="206">
        <f>IFERROR(AC18/AD18,0)</f>
        <v/>
      </c>
      <c r="AG18" s="207">
        <f>IFERROR(IF(AE18&lt;((1/2*AD18*AF18^2)*2),1/2*AD18*SQRT((AE18/2)*2/AD18)^2,1/2*AD18*AF18^2),0)</f>
        <v/>
      </c>
      <c r="AH18" s="204">
        <f>IFERROR(IF(AE18-AG18-AI18&lt;=0,0,AE18-AG18-AI18),0)</f>
        <v/>
      </c>
      <c r="AI18" s="208">
        <f>AG18</f>
        <v/>
      </c>
      <c r="AJ18" s="207">
        <f>IFERROR(IF(AE18&lt;((1/2*AD18*AF18^2)*2),SQRT((AE18/2)*2/AD18),AF18),0)</f>
        <v/>
      </c>
      <c r="AK18" s="204">
        <f>IFERROR(AH18/AC18,0)</f>
        <v/>
      </c>
      <c r="AL18" s="208">
        <f>AJ18</f>
        <v/>
      </c>
      <c r="AM18" s="207">
        <f>IF(AB18&gt;0,AB18,SUM(AJ18:AL18))</f>
        <v/>
      </c>
      <c r="AN18" s="205" t="n">
        <v>1</v>
      </c>
      <c r="AO18" s="208">
        <f>AM18*AN18</f>
        <v/>
      </c>
    </row>
    <row r="19">
      <c r="A19" s="76" t="inlineStr">
        <is>
          <t>Max Y cordinate from ground M</t>
        </is>
      </c>
      <c r="B19" s="25">
        <f>(B15/2)+0.55</f>
        <v/>
      </c>
      <c r="G19" s="202">
        <f>G18+1</f>
        <v/>
      </c>
      <c r="H19" s="203" t="n"/>
      <c r="I19" s="209" t="n"/>
      <c r="J19" s="204">
        <f>IFERROR(VLOOKUP(H19,'Master List'!$A:$D,2,0),0)</f>
        <v/>
      </c>
      <c r="K19" s="204">
        <f>IFERROR(VLOOKUP(H19,'Master List'!$A:$D,3,0),0)</f>
        <v/>
      </c>
      <c r="L19" s="204">
        <f>IFERROR(VLOOKUP(H19,'Master List'!$A:$D,4,0),0)</f>
        <v/>
      </c>
      <c r="M19" s="205" t="n"/>
      <c r="N19" s="206">
        <f>IFERROR(K19/L19,0)</f>
        <v/>
      </c>
      <c r="O19" s="207">
        <f>IFERROR(IF(M19&lt;((1/2*L19*N19^2)*2),1/2*L19*SQRT((M19/2)*2/L19)^2,1/2*L19*N19^2),0)</f>
        <v/>
      </c>
      <c r="P19" s="204">
        <f>IFERROR(IF(M19-O19-Q19&lt;=0,0,M19-O19-Q19),0)</f>
        <v/>
      </c>
      <c r="Q19" s="208">
        <f>O19</f>
        <v/>
      </c>
      <c r="R19" s="207">
        <f>IFERROR(IF(M19&lt;((1/2*L19*N19^2)*2),SQRT((M19/2)*2/L19),N19),0)</f>
        <v/>
      </c>
      <c r="S19" s="204">
        <f>IFERROR(P19/K19,0)</f>
        <v/>
      </c>
      <c r="T19" s="208">
        <f>R19</f>
        <v/>
      </c>
      <c r="U19" s="207">
        <f>IF(J19&gt;0,J19,SUM(R19:T19))</f>
        <v/>
      </c>
      <c r="V19" s="205" t="n"/>
      <c r="W19" s="208">
        <f>U19*V19</f>
        <v/>
      </c>
      <c r="Y19" s="202">
        <f>Y18+1</f>
        <v/>
      </c>
      <c r="Z19" s="203" t="n"/>
      <c r="AA19" s="209" t="n"/>
      <c r="AB19" s="204">
        <f>IFERROR(VLOOKUP(Z19,'Master List'!$A:$D,2,0),0)</f>
        <v/>
      </c>
      <c r="AC19" s="204">
        <f>IFERROR(VLOOKUP(Z19,'Master List'!$A:$D,3,0),0)</f>
        <v/>
      </c>
      <c r="AD19" s="204">
        <f>IFERROR(VLOOKUP(Z19,'Master List'!$A:$D,4,0),0)</f>
        <v/>
      </c>
      <c r="AE19" s="205" t="n"/>
      <c r="AF19" s="206">
        <f>IFERROR(AC19/AD19,0)</f>
        <v/>
      </c>
      <c r="AG19" s="207">
        <f>IFERROR(IF(AE19&lt;((1/2*AD19*AF19^2)*2),1/2*AD19*SQRT((AE19/2)*2/AD19)^2,1/2*AD19*AF19^2),0)</f>
        <v/>
      </c>
      <c r="AH19" s="204">
        <f>IFERROR(IF(AE19-AG19-AI19&lt;=0,0,AE19-AG19-AI19),0)</f>
        <v/>
      </c>
      <c r="AI19" s="208">
        <f>AG19</f>
        <v/>
      </c>
      <c r="AJ19" s="207">
        <f>IFERROR(IF(AE19&lt;((1/2*AD19*AF19^2)*2),SQRT((AE19/2)*2/AD19),AF19),0)</f>
        <v/>
      </c>
      <c r="AK19" s="204">
        <f>IFERROR(AH19/AC19,0)</f>
        <v/>
      </c>
      <c r="AL19" s="208">
        <f>AJ19</f>
        <v/>
      </c>
      <c r="AM19" s="207">
        <f>IF(AB19&gt;0,AB19,SUM(AJ19:AL19))</f>
        <v/>
      </c>
      <c r="AN19" s="205" t="n"/>
      <c r="AO19" s="208">
        <f>AM19*AN19</f>
        <v/>
      </c>
    </row>
    <row r="20">
      <c r="G20" s="202">
        <f>G19+1</f>
        <v/>
      </c>
      <c r="H20" s="203" t="n"/>
      <c r="I20" s="209" t="n"/>
      <c r="J20" s="204">
        <f>IFERROR(VLOOKUP(H20,'Master List'!$A:$D,2,0),0)</f>
        <v/>
      </c>
      <c r="K20" s="204">
        <f>IFERROR(VLOOKUP(H20,'Master List'!$A:$D,3,0),0)</f>
        <v/>
      </c>
      <c r="L20" s="204">
        <f>IFERROR(VLOOKUP(H20,'Master List'!$A:$D,4,0),0)</f>
        <v/>
      </c>
      <c r="M20" s="205" t="n"/>
      <c r="N20" s="206">
        <f>IFERROR(K20/L20,0)</f>
        <v/>
      </c>
      <c r="O20" s="207">
        <f>IFERROR(IF(M20&lt;((1/2*L20*N20^2)*2),1/2*L20*SQRT((M20/2)*2/L20)^2,1/2*L20*N20^2),0)</f>
        <v/>
      </c>
      <c r="P20" s="204">
        <f>IFERROR(IF(M20-O20-Q20&lt;=0,0,M20-O20-Q20),0)</f>
        <v/>
      </c>
      <c r="Q20" s="208">
        <f>O20</f>
        <v/>
      </c>
      <c r="R20" s="207">
        <f>IFERROR(IF(M20&lt;((1/2*L20*N20^2)*2),SQRT((M20/2)*2/L20),N20),0)</f>
        <v/>
      </c>
      <c r="S20" s="204">
        <f>IFERROR(P20/K20,0)</f>
        <v/>
      </c>
      <c r="T20" s="208">
        <f>R20</f>
        <v/>
      </c>
      <c r="U20" s="207">
        <f>IF(J20&gt;0,J20,SUM(R20:T20))</f>
        <v/>
      </c>
      <c r="V20" s="205" t="n"/>
      <c r="W20" s="208">
        <f>U20*V20</f>
        <v/>
      </c>
      <c r="Y20" s="202">
        <f>Y19+1</f>
        <v/>
      </c>
      <c r="Z20" s="203" t="n"/>
      <c r="AA20" s="209" t="n"/>
      <c r="AB20" s="204">
        <f>IFERROR(VLOOKUP(Z20,'Master List'!$A:$D,2,0),0)</f>
        <v/>
      </c>
      <c r="AC20" s="204">
        <f>IFERROR(VLOOKUP(Z20,'Master List'!$A:$D,3,0),0)</f>
        <v/>
      </c>
      <c r="AD20" s="204">
        <f>IFERROR(VLOOKUP(Z20,'Master List'!$A:$D,4,0),0)</f>
        <v/>
      </c>
      <c r="AE20" s="205" t="n"/>
      <c r="AF20" s="206">
        <f>IFERROR(AC20/AD20,0)</f>
        <v/>
      </c>
      <c r="AG20" s="207">
        <f>IFERROR(IF(AE20&lt;((1/2*AD20*AF20^2)*2),1/2*AD20*SQRT((AE20/2)*2/AD20)^2,1/2*AD20*AF20^2),0)</f>
        <v/>
      </c>
      <c r="AH20" s="204">
        <f>IFERROR(IF(AE20-AG20-AI20&lt;=0,0,AE20-AG20-AI20),0)</f>
        <v/>
      </c>
      <c r="AI20" s="208">
        <f>AG20</f>
        <v/>
      </c>
      <c r="AJ20" s="207">
        <f>IFERROR(IF(AE20&lt;((1/2*AD20*AF20^2)*2),SQRT((AE20/2)*2/AD20),AF20),0)</f>
        <v/>
      </c>
      <c r="AK20" s="204">
        <f>IFERROR(AH20/AC20,0)</f>
        <v/>
      </c>
      <c r="AL20" s="208">
        <f>AJ20</f>
        <v/>
      </c>
      <c r="AM20" s="207">
        <f>IF(AB20&gt;0,AB20,SUM(AJ20:AL20))</f>
        <v/>
      </c>
      <c r="AN20" s="205" t="n"/>
      <c r="AO20" s="208">
        <f>AM20*AN20</f>
        <v/>
      </c>
    </row>
    <row r="21">
      <c r="G21" s="202">
        <f>G20+1</f>
        <v/>
      </c>
      <c r="H21" s="203" t="n"/>
      <c r="I21" s="209" t="n"/>
      <c r="J21" s="204">
        <f>IFERROR(VLOOKUP(H21,'Master List'!$A:$D,2,0),0)</f>
        <v/>
      </c>
      <c r="K21" s="204">
        <f>IFERROR(VLOOKUP(H21,'Master List'!$A:$D,3,0),0)</f>
        <v/>
      </c>
      <c r="L21" s="204">
        <f>IFERROR(VLOOKUP(H21,'Master List'!$A:$D,4,0),0)</f>
        <v/>
      </c>
      <c r="M21" s="205" t="n"/>
      <c r="N21" s="206">
        <f>IFERROR(K21/L21,0)</f>
        <v/>
      </c>
      <c r="O21" s="207">
        <f>IFERROR(IF(M21&lt;((1/2*L21*N21^2)*2),1/2*L21*SQRT((M21/2)*2/L21)^2,1/2*L21*N21^2),0)</f>
        <v/>
      </c>
      <c r="P21" s="204">
        <f>IFERROR(IF(M21-O21-Q21&lt;=0,0,M21-O21-Q21),0)</f>
        <v/>
      </c>
      <c r="Q21" s="208">
        <f>O21</f>
        <v/>
      </c>
      <c r="R21" s="207">
        <f>IFERROR(IF(M21&lt;((1/2*L21*N21^2)*2),SQRT((M21/2)*2/L21),N21),0)</f>
        <v/>
      </c>
      <c r="S21" s="204">
        <f>IFERROR(P21/K21,0)</f>
        <v/>
      </c>
      <c r="T21" s="208">
        <f>R21</f>
        <v/>
      </c>
      <c r="U21" s="207">
        <f>IF(J21&gt;0,J21,SUM(R21:T21))</f>
        <v/>
      </c>
      <c r="V21" s="205" t="n"/>
      <c r="W21" s="208">
        <f>U21*V21</f>
        <v/>
      </c>
      <c r="Y21" s="202">
        <f>Y20+1</f>
        <v/>
      </c>
      <c r="Z21" s="203" t="n"/>
      <c r="AA21" s="209" t="n"/>
      <c r="AB21" s="204">
        <f>IFERROR(VLOOKUP(Z21,'Master List'!$A:$D,2,0),0)</f>
        <v/>
      </c>
      <c r="AC21" s="204">
        <f>IFERROR(VLOOKUP(Z21,'Master List'!$A:$D,3,0),0)</f>
        <v/>
      </c>
      <c r="AD21" s="204">
        <f>IFERROR(VLOOKUP(Z21,'Master List'!$A:$D,4,0),0)</f>
        <v/>
      </c>
      <c r="AE21" s="205" t="n"/>
      <c r="AF21" s="206">
        <f>IFERROR(AC21/AD21,0)</f>
        <v/>
      </c>
      <c r="AG21" s="207">
        <f>IFERROR(IF(AE21&lt;((1/2*AD21*AF21^2)*2),1/2*AD21*SQRT((AE21/2)*2/AD21)^2,1/2*AD21*AF21^2),0)</f>
        <v/>
      </c>
      <c r="AH21" s="204">
        <f>IFERROR(IF(AE21-AG21-AI21&lt;=0,0,AE21-AG21-AI21),0)</f>
        <v/>
      </c>
      <c r="AI21" s="208">
        <f>AG21</f>
        <v/>
      </c>
      <c r="AJ21" s="207">
        <f>IFERROR(IF(AE21&lt;((1/2*AD21*AF21^2)*2),SQRT((AE21/2)*2/AD21),AF21),0)</f>
        <v/>
      </c>
      <c r="AK21" s="204">
        <f>IFERROR(AH21/AC21,0)</f>
        <v/>
      </c>
      <c r="AL21" s="208">
        <f>AJ21</f>
        <v/>
      </c>
      <c r="AM21" s="207">
        <f>IF(AB21&gt;0,AB21,SUM(AJ21:AL21))</f>
        <v/>
      </c>
      <c r="AN21" s="205" t="n"/>
      <c r="AO21" s="208">
        <f>AM21*AN21</f>
        <v/>
      </c>
    </row>
    <row r="22">
      <c r="G22" s="202">
        <f>G21+1</f>
        <v/>
      </c>
      <c r="H22" s="203" t="n"/>
      <c r="I22" s="209" t="n"/>
      <c r="J22" s="204">
        <f>IFERROR(VLOOKUP(H22,'Master List'!$A:$D,2,0),0)</f>
        <v/>
      </c>
      <c r="K22" s="204">
        <f>IFERROR(VLOOKUP(H22,'Master List'!$A:$D,3,0),0)</f>
        <v/>
      </c>
      <c r="L22" s="204">
        <f>IFERROR(VLOOKUP(H22,'Master List'!$A:$D,4,0),0)</f>
        <v/>
      </c>
      <c r="M22" s="205" t="n"/>
      <c r="N22" s="206">
        <f>IFERROR(K22/L22,0)</f>
        <v/>
      </c>
      <c r="O22" s="207">
        <f>IFERROR(IF(M22&lt;((1/2*L22*N22^2)*2),1/2*L22*SQRT((M22/2)*2/L22)^2,1/2*L22*N22^2),0)</f>
        <v/>
      </c>
      <c r="P22" s="204">
        <f>IFERROR(IF(M22-O22-Q22&lt;=0,0,M22-O22-Q22),0)</f>
        <v/>
      </c>
      <c r="Q22" s="208">
        <f>O22</f>
        <v/>
      </c>
      <c r="R22" s="207">
        <f>IFERROR(IF(M22&lt;((1/2*L22*N22^2)*2),SQRT((M22/2)*2/L22),N22),0)</f>
        <v/>
      </c>
      <c r="S22" s="204">
        <f>IFERROR(P22/K22,0)</f>
        <v/>
      </c>
      <c r="T22" s="208">
        <f>R22</f>
        <v/>
      </c>
      <c r="U22" s="207">
        <f>IF(J22&gt;0,J22,SUM(R22:T22))</f>
        <v/>
      </c>
      <c r="V22" s="205" t="n"/>
      <c r="W22" s="208">
        <f>U22*V22</f>
        <v/>
      </c>
      <c r="Y22" s="202">
        <f>Y21+1</f>
        <v/>
      </c>
      <c r="Z22" s="203" t="n"/>
      <c r="AA22" s="209" t="n"/>
      <c r="AB22" s="204">
        <f>IFERROR(VLOOKUP(Z22,'Master List'!$A:$D,2,0),0)</f>
        <v/>
      </c>
      <c r="AC22" s="204">
        <f>IFERROR(VLOOKUP(Z22,'Master List'!$A:$D,3,0),0)</f>
        <v/>
      </c>
      <c r="AD22" s="204">
        <f>IFERROR(VLOOKUP(Z22,'Master List'!$A:$D,4,0),0)</f>
        <v/>
      </c>
      <c r="AE22" s="205" t="n"/>
      <c r="AF22" s="206">
        <f>IFERROR(AC22/AD22,0)</f>
        <v/>
      </c>
      <c r="AG22" s="207">
        <f>IFERROR(IF(AE22&lt;((1/2*AD22*AF22^2)*2),1/2*AD22*SQRT((AE22/2)*2/AD22)^2,1/2*AD22*AF22^2),0)</f>
        <v/>
      </c>
      <c r="AH22" s="204">
        <f>IFERROR(IF(AE22-AG22-AI22&lt;=0,0,AE22-AG22-AI22),0)</f>
        <v/>
      </c>
      <c r="AI22" s="208">
        <f>AG22</f>
        <v/>
      </c>
      <c r="AJ22" s="207">
        <f>IFERROR(IF(AE22&lt;((1/2*AD22*AF22^2)*2),SQRT((AE22/2)*2/AD22),AF22),0)</f>
        <v/>
      </c>
      <c r="AK22" s="204">
        <f>IFERROR(AH22/AC22,0)</f>
        <v/>
      </c>
      <c r="AL22" s="208">
        <f>AJ22</f>
        <v/>
      </c>
      <c r="AM22" s="207">
        <f>IF(AB22&gt;0,AB22,SUM(AJ22:AL22))</f>
        <v/>
      </c>
      <c r="AN22" s="205" t="n"/>
      <c r="AO22" s="208">
        <f>AM22*AN22</f>
        <v/>
      </c>
    </row>
    <row r="23">
      <c r="G23" s="202">
        <f>G22+1</f>
        <v/>
      </c>
      <c r="H23" s="203" t="n"/>
      <c r="I23" s="209" t="n"/>
      <c r="J23" s="204">
        <f>IFERROR(VLOOKUP(H23,'Master List'!$A:$D,2,0),0)</f>
        <v/>
      </c>
      <c r="K23" s="204">
        <f>IFERROR(VLOOKUP(H23,'Master List'!$A:$D,3,0),0)</f>
        <v/>
      </c>
      <c r="L23" s="204">
        <f>IFERROR(VLOOKUP(H23,'Master List'!$A:$D,4,0),0)</f>
        <v/>
      </c>
      <c r="M23" s="205" t="n"/>
      <c r="N23" s="206">
        <f>IFERROR(K23/L23,0)</f>
        <v/>
      </c>
      <c r="O23" s="207">
        <f>IFERROR(IF(M23&lt;((1/2*L23*N23^2)*2),1/2*L23*SQRT((M23/2)*2/L23)^2,1/2*L23*N23^2),0)</f>
        <v/>
      </c>
      <c r="P23" s="204">
        <f>IFERROR(IF(M23-O23-Q23&lt;=0,0,M23-O23-Q23),0)</f>
        <v/>
      </c>
      <c r="Q23" s="208">
        <f>O23</f>
        <v/>
      </c>
      <c r="R23" s="207">
        <f>IFERROR(IF(M23&lt;((1/2*L23*N23^2)*2),SQRT((M23/2)*2/L23),N23),0)</f>
        <v/>
      </c>
      <c r="S23" s="204">
        <f>IFERROR(P23/K23,0)</f>
        <v/>
      </c>
      <c r="T23" s="208">
        <f>R23</f>
        <v/>
      </c>
      <c r="U23" s="207">
        <f>IF(J23&gt;0,J23,SUM(R23:T23))</f>
        <v/>
      </c>
      <c r="V23" s="205" t="n"/>
      <c r="W23" s="208">
        <f>U23*V23</f>
        <v/>
      </c>
      <c r="Y23" s="202">
        <f>Y22+1</f>
        <v/>
      </c>
      <c r="Z23" s="203" t="n"/>
      <c r="AA23" s="209" t="n"/>
      <c r="AB23" s="204">
        <f>IFERROR(VLOOKUP(Z23,'Master List'!$A:$D,2,0),0)</f>
        <v/>
      </c>
      <c r="AC23" s="204">
        <f>IFERROR(VLOOKUP(Z23,'Master List'!$A:$D,3,0),0)</f>
        <v/>
      </c>
      <c r="AD23" s="204">
        <f>IFERROR(VLOOKUP(Z23,'Master List'!$A:$D,4,0),0)</f>
        <v/>
      </c>
      <c r="AE23" s="205" t="n"/>
      <c r="AF23" s="206">
        <f>IFERROR(AC23/AD23,0)</f>
        <v/>
      </c>
      <c r="AG23" s="207">
        <f>IFERROR(IF(AE23&lt;((1/2*AD23*AF23^2)*2),1/2*AD23*SQRT((AE23/2)*2/AD23)^2,1/2*AD23*AF23^2),0)</f>
        <v/>
      </c>
      <c r="AH23" s="204">
        <f>IFERROR(IF(AE23-AG23-AI23&lt;=0,0,AE23-AG23-AI23),0)</f>
        <v/>
      </c>
      <c r="AI23" s="208">
        <f>AG23</f>
        <v/>
      </c>
      <c r="AJ23" s="207">
        <f>IFERROR(IF(AE23&lt;((1/2*AD23*AF23^2)*2),SQRT((AE23/2)*2/AD23),AF23),0)</f>
        <v/>
      </c>
      <c r="AK23" s="204">
        <f>IFERROR(AH23/AC23,0)</f>
        <v/>
      </c>
      <c r="AL23" s="208">
        <f>AJ23</f>
        <v/>
      </c>
      <c r="AM23" s="207">
        <f>IF(AB23&gt;0,AB23,SUM(AJ23:AL23))</f>
        <v/>
      </c>
      <c r="AN23" s="205" t="n"/>
      <c r="AO23" s="208">
        <f>AM23*AN23</f>
        <v/>
      </c>
    </row>
    <row r="24">
      <c r="G24" s="202">
        <f>G23+1</f>
        <v/>
      </c>
      <c r="H24" s="203" t="n"/>
      <c r="I24" s="209" t="n"/>
      <c r="J24" s="204">
        <f>IFERROR(VLOOKUP(H24,'Master List'!$A:$D,2,0),0)</f>
        <v/>
      </c>
      <c r="K24" s="204">
        <f>IFERROR(VLOOKUP(H24,'Master List'!$A:$D,3,0),0)</f>
        <v/>
      </c>
      <c r="L24" s="204">
        <f>IFERROR(VLOOKUP(H24,'Master List'!$A:$D,4,0),0)</f>
        <v/>
      </c>
      <c r="M24" s="205" t="n"/>
      <c r="N24" s="206">
        <f>IFERROR(K24/L24,0)</f>
        <v/>
      </c>
      <c r="O24" s="207">
        <f>IFERROR(IF(M24&lt;((1/2*L24*N24^2)*2),1/2*L24*SQRT((M24/2)*2/L24)^2,1/2*L24*N24^2),0)</f>
        <v/>
      </c>
      <c r="P24" s="204">
        <f>IFERROR(IF(M24-O24-Q24&lt;=0,0,M24-O24-Q24),0)</f>
        <v/>
      </c>
      <c r="Q24" s="208">
        <f>O24</f>
        <v/>
      </c>
      <c r="R24" s="207">
        <f>IFERROR(IF(M24&lt;((1/2*L24*N24^2)*2),SQRT((M24/2)*2/L24),N24),0)</f>
        <v/>
      </c>
      <c r="S24" s="204">
        <f>IFERROR(P24/K24,0)</f>
        <v/>
      </c>
      <c r="T24" s="208">
        <f>R24</f>
        <v/>
      </c>
      <c r="U24" s="207">
        <f>IF(J24&gt;0,J24,SUM(R24:T24))</f>
        <v/>
      </c>
      <c r="V24" s="205" t="n"/>
      <c r="W24" s="208">
        <f>U24*V24</f>
        <v/>
      </c>
      <c r="Y24" s="202">
        <f>Y23+1</f>
        <v/>
      </c>
      <c r="Z24" s="203" t="n"/>
      <c r="AA24" s="209" t="n"/>
      <c r="AB24" s="204">
        <f>IFERROR(VLOOKUP(Z24,'Master List'!$A:$D,2,0),0)</f>
        <v/>
      </c>
      <c r="AC24" s="204">
        <f>IFERROR(VLOOKUP(Z24,'Master List'!$A:$D,3,0),0)</f>
        <v/>
      </c>
      <c r="AD24" s="204">
        <f>IFERROR(VLOOKUP(Z24,'Master List'!$A:$D,4,0),0)</f>
        <v/>
      </c>
      <c r="AE24" s="205" t="n"/>
      <c r="AF24" s="206">
        <f>IFERROR(AC24/AD24,0)</f>
        <v/>
      </c>
      <c r="AG24" s="207">
        <f>IFERROR(IF(AE24&lt;((1/2*AD24*AF24^2)*2),1/2*AD24*SQRT((AE24/2)*2/AD24)^2,1/2*AD24*AF24^2),0)</f>
        <v/>
      </c>
      <c r="AH24" s="204">
        <f>IFERROR(IF(AE24-AG24-AI24&lt;=0,0,AE24-AG24-AI24),0)</f>
        <v/>
      </c>
      <c r="AI24" s="208">
        <f>AG24</f>
        <v/>
      </c>
      <c r="AJ24" s="207">
        <f>IFERROR(IF(AE24&lt;((1/2*AD24*AF24^2)*2),SQRT((AE24/2)*2/AD24),AF24),0)</f>
        <v/>
      </c>
      <c r="AK24" s="204">
        <f>IFERROR(AH24/AC24,0)</f>
        <v/>
      </c>
      <c r="AL24" s="208">
        <f>AJ24</f>
        <v/>
      </c>
      <c r="AM24" s="207">
        <f>IF(AB24&gt;0,AB24,SUM(AJ24:AL24))</f>
        <v/>
      </c>
      <c r="AN24" s="205" t="n"/>
      <c r="AO24" s="208">
        <f>AM24*AN24</f>
        <v/>
      </c>
    </row>
    <row r="25">
      <c r="G25" s="202">
        <f>G24+1</f>
        <v/>
      </c>
      <c r="H25" s="203" t="n"/>
      <c r="I25" s="209" t="n"/>
      <c r="J25" s="204">
        <f>IFERROR(VLOOKUP(H25,'Master List'!$A:$D,2,0),0)</f>
        <v/>
      </c>
      <c r="K25" s="204">
        <f>IFERROR(VLOOKUP(H25,'Master List'!$A:$D,3,0),0)</f>
        <v/>
      </c>
      <c r="L25" s="204">
        <f>IFERROR(VLOOKUP(H25,'Master List'!$A:$D,4,0),0)</f>
        <v/>
      </c>
      <c r="M25" s="205" t="n"/>
      <c r="N25" s="206">
        <f>IFERROR(K25/L25,0)</f>
        <v/>
      </c>
      <c r="O25" s="207">
        <f>IFERROR(IF(M25&lt;((1/2*L25*N25^2)*2),1/2*L25*SQRT((M25/2)*2/L25)^2,1/2*L25*N25^2),0)</f>
        <v/>
      </c>
      <c r="P25" s="204">
        <f>IFERROR(IF(M25-O25-Q25&lt;=0,0,M25-O25-Q25),0)</f>
        <v/>
      </c>
      <c r="Q25" s="208">
        <f>O25</f>
        <v/>
      </c>
      <c r="R25" s="207">
        <f>IFERROR(IF(M25&lt;((1/2*L25*N25^2)*2),SQRT((M25/2)*2/L25),N25),0)</f>
        <v/>
      </c>
      <c r="S25" s="204">
        <f>IFERROR(P25/K25,0)</f>
        <v/>
      </c>
      <c r="T25" s="208">
        <f>R25</f>
        <v/>
      </c>
      <c r="U25" s="207">
        <f>IF(J25&gt;0,J25,SUM(R25:T25))</f>
        <v/>
      </c>
      <c r="V25" s="205" t="n"/>
      <c r="W25" s="208">
        <f>U25*V25</f>
        <v/>
      </c>
      <c r="Y25" s="202">
        <f>Y24+1</f>
        <v/>
      </c>
      <c r="Z25" s="203" t="n"/>
      <c r="AA25" s="209" t="n"/>
      <c r="AB25" s="204">
        <f>IFERROR(VLOOKUP(Z25,'Master List'!$A:$D,2,0),0)</f>
        <v/>
      </c>
      <c r="AC25" s="204">
        <f>IFERROR(VLOOKUP(Z25,'Master List'!$A:$D,3,0),0)</f>
        <v/>
      </c>
      <c r="AD25" s="204">
        <f>IFERROR(VLOOKUP(Z25,'Master List'!$A:$D,4,0),0)</f>
        <v/>
      </c>
      <c r="AE25" s="205" t="n"/>
      <c r="AF25" s="206">
        <f>IFERROR(AC25/AD25,0)</f>
        <v/>
      </c>
      <c r="AG25" s="207">
        <f>IFERROR(IF(AE25&lt;((1/2*AD25*AF25^2)*2),1/2*AD25*SQRT((AE25/2)*2/AD25)^2,1/2*AD25*AF25^2),0)</f>
        <v/>
      </c>
      <c r="AH25" s="204">
        <f>IFERROR(IF(AE25-AG25-AI25&lt;=0,0,AE25-AG25-AI25),0)</f>
        <v/>
      </c>
      <c r="AI25" s="208">
        <f>AG25</f>
        <v/>
      </c>
      <c r="AJ25" s="207">
        <f>IFERROR(IF(AE25&lt;((1/2*AD25*AF25^2)*2),SQRT((AE25/2)*2/AD25),AF25),0)</f>
        <v/>
      </c>
      <c r="AK25" s="204">
        <f>IFERROR(AH25/AC25,0)</f>
        <v/>
      </c>
      <c r="AL25" s="208">
        <f>AJ25</f>
        <v/>
      </c>
      <c r="AM25" s="207">
        <f>IF(AB25&gt;0,AB25,SUM(AJ25:AL25))</f>
        <v/>
      </c>
      <c r="AN25" s="205" t="n"/>
      <c r="AO25" s="208">
        <f>AM25*AN25</f>
        <v/>
      </c>
    </row>
    <row r="26">
      <c r="G26" s="202">
        <f>G25+1</f>
        <v/>
      </c>
      <c r="H26" s="203" t="n"/>
      <c r="I26" s="209" t="n"/>
      <c r="J26" s="204">
        <f>IFERROR(VLOOKUP(H26,'Master List'!$A:$D,2,0),0)</f>
        <v/>
      </c>
      <c r="K26" s="204">
        <f>IFERROR(VLOOKUP(H26,'Master List'!$A:$D,3,0),0)</f>
        <v/>
      </c>
      <c r="L26" s="204">
        <f>IFERROR(VLOOKUP(H26,'Master List'!$A:$D,4,0),0)</f>
        <v/>
      </c>
      <c r="M26" s="205" t="n"/>
      <c r="N26" s="206">
        <f>IFERROR(K26/L26,0)</f>
        <v/>
      </c>
      <c r="O26" s="207">
        <f>IFERROR(IF(M26&lt;((1/2*L26*N26^2)*2),1/2*L26*SQRT((M26/2)*2/L26)^2,1/2*L26*N26^2),0)</f>
        <v/>
      </c>
      <c r="P26" s="204">
        <f>IFERROR(IF(M26-O26-Q26&lt;=0,0,M26-O26-Q26),0)</f>
        <v/>
      </c>
      <c r="Q26" s="208">
        <f>O26</f>
        <v/>
      </c>
      <c r="R26" s="207">
        <f>IFERROR(IF(M26&lt;((1/2*L26*N26^2)*2),SQRT((M26/2)*2/L26),N26),0)</f>
        <v/>
      </c>
      <c r="S26" s="204">
        <f>IFERROR(P26/K26,0)</f>
        <v/>
      </c>
      <c r="T26" s="208">
        <f>R26</f>
        <v/>
      </c>
      <c r="U26" s="207">
        <f>IF(J26&gt;0,J26,SUM(R26:T26))</f>
        <v/>
      </c>
      <c r="V26" s="205" t="n"/>
      <c r="W26" s="208">
        <f>U26*V26</f>
        <v/>
      </c>
      <c r="Y26" s="202">
        <f>Y25+1</f>
        <v/>
      </c>
      <c r="Z26" s="203" t="n"/>
      <c r="AA26" s="209" t="n"/>
      <c r="AB26" s="204">
        <f>IFERROR(VLOOKUP(Z26,'Master List'!$A:$D,2,0),0)</f>
        <v/>
      </c>
      <c r="AC26" s="204">
        <f>IFERROR(VLOOKUP(Z26,'Master List'!$A:$D,3,0),0)</f>
        <v/>
      </c>
      <c r="AD26" s="204">
        <f>IFERROR(VLOOKUP(Z26,'Master List'!$A:$D,4,0),0)</f>
        <v/>
      </c>
      <c r="AE26" s="205" t="n"/>
      <c r="AF26" s="206">
        <f>IFERROR(AC26/AD26,0)</f>
        <v/>
      </c>
      <c r="AG26" s="207">
        <f>IFERROR(IF(AE26&lt;((1/2*AD26*AF26^2)*2),1/2*AD26*SQRT((AE26/2)*2/AD26)^2,1/2*AD26*AF26^2),0)</f>
        <v/>
      </c>
      <c r="AH26" s="204">
        <f>IFERROR(IF(AE26-AG26-AI26&lt;=0,0,AE26-AG26-AI26),0)</f>
        <v/>
      </c>
      <c r="AI26" s="208">
        <f>AG26</f>
        <v/>
      </c>
      <c r="AJ26" s="207">
        <f>IFERROR(IF(AE26&lt;((1/2*AD26*AF26^2)*2),SQRT((AE26/2)*2/AD26),AF26),0)</f>
        <v/>
      </c>
      <c r="AK26" s="204">
        <f>IFERROR(AH26/AC26,0)</f>
        <v/>
      </c>
      <c r="AL26" s="208">
        <f>AJ26</f>
        <v/>
      </c>
      <c r="AM26" s="207">
        <f>IF(AB26&gt;0,AB26,SUM(AJ26:AL26))</f>
        <v/>
      </c>
      <c r="AN26" s="205" t="n"/>
      <c r="AO26" s="208">
        <f>AM26*AN26</f>
        <v/>
      </c>
    </row>
    <row r="27">
      <c r="G27" s="202">
        <f>G26+1</f>
        <v/>
      </c>
      <c r="H27" s="203" t="n"/>
      <c r="I27" s="209" t="n"/>
      <c r="J27" s="204">
        <f>IFERROR(VLOOKUP(H27,'Master List'!$A:$D,2,0),0)</f>
        <v/>
      </c>
      <c r="K27" s="204">
        <f>IFERROR(VLOOKUP(H27,'Master List'!$A:$D,3,0),0)</f>
        <v/>
      </c>
      <c r="L27" s="204">
        <f>IFERROR(VLOOKUP(H27,'Master List'!$A:$D,4,0),0)</f>
        <v/>
      </c>
      <c r="M27" s="205" t="n"/>
      <c r="N27" s="206">
        <f>IFERROR(K27/L27,0)</f>
        <v/>
      </c>
      <c r="O27" s="207">
        <f>IFERROR(IF(M27&lt;((1/2*L27*N27^2)*2),1/2*L27*SQRT((M27/2)*2/L27)^2,1/2*L27*N27^2),0)</f>
        <v/>
      </c>
      <c r="P27" s="204">
        <f>IFERROR(IF(M27-O27-Q27&lt;=0,0,M27-O27-Q27),0)</f>
        <v/>
      </c>
      <c r="Q27" s="208">
        <f>O27</f>
        <v/>
      </c>
      <c r="R27" s="207">
        <f>IFERROR(IF(M27&lt;((1/2*L27*N27^2)*2),SQRT((M27/2)*2/L27),N27),0)</f>
        <v/>
      </c>
      <c r="S27" s="204">
        <f>IFERROR(P27/K27,0)</f>
        <v/>
      </c>
      <c r="T27" s="208">
        <f>R27</f>
        <v/>
      </c>
      <c r="U27" s="207">
        <f>IF(J27&gt;0,J27,SUM(R27:T27))</f>
        <v/>
      </c>
      <c r="V27" s="205" t="n"/>
      <c r="W27" s="208">
        <f>U27*V27</f>
        <v/>
      </c>
      <c r="Y27" s="202">
        <f>Y26+1</f>
        <v/>
      </c>
      <c r="Z27" s="203" t="n"/>
      <c r="AA27" s="209" t="n"/>
      <c r="AB27" s="204">
        <f>IFERROR(VLOOKUP(Z27,'Master List'!$A:$D,2,0),0)</f>
        <v/>
      </c>
      <c r="AC27" s="204">
        <f>IFERROR(VLOOKUP(Z27,'Master List'!$A:$D,3,0),0)</f>
        <v/>
      </c>
      <c r="AD27" s="204">
        <f>IFERROR(VLOOKUP(Z27,'Master List'!$A:$D,4,0),0)</f>
        <v/>
      </c>
      <c r="AE27" s="205" t="n"/>
      <c r="AF27" s="206">
        <f>IFERROR(AC27/AD27,0)</f>
        <v/>
      </c>
      <c r="AG27" s="207">
        <f>IFERROR(IF(AE27&lt;((1/2*AD27*AF27^2)*2),1/2*AD27*SQRT((AE27/2)*2/AD27)^2,1/2*AD27*AF27^2),0)</f>
        <v/>
      </c>
      <c r="AH27" s="204">
        <f>IFERROR(IF(AE27-AG27-AI27&lt;=0,0,AE27-AG27-AI27),0)</f>
        <v/>
      </c>
      <c r="AI27" s="208">
        <f>AG27</f>
        <v/>
      </c>
      <c r="AJ27" s="207">
        <f>IFERROR(IF(AE27&lt;((1/2*AD27*AF27^2)*2),SQRT((AE27/2)*2/AD27),AF27),0)</f>
        <v/>
      </c>
      <c r="AK27" s="204">
        <f>IFERROR(AH27/AC27,0)</f>
        <v/>
      </c>
      <c r="AL27" s="208">
        <f>AJ27</f>
        <v/>
      </c>
      <c r="AM27" s="207">
        <f>IF(AB27&gt;0,AB27,SUM(AJ27:AL27))</f>
        <v/>
      </c>
      <c r="AN27" s="205" t="n"/>
      <c r="AO27" s="208">
        <f>AM27*AN27</f>
        <v/>
      </c>
    </row>
    <row r="28">
      <c r="G28" s="202">
        <f>G27+1</f>
        <v/>
      </c>
      <c r="H28" s="203" t="n"/>
      <c r="I28" s="209" t="n"/>
      <c r="J28" s="204">
        <f>IFERROR(VLOOKUP(H28,'Master List'!$A:$D,2,0),0)</f>
        <v/>
      </c>
      <c r="K28" s="204">
        <f>IFERROR(VLOOKUP(H28,'Master List'!$A:$D,3,0),0)</f>
        <v/>
      </c>
      <c r="L28" s="204">
        <f>IFERROR(VLOOKUP(H28,'Master List'!$A:$D,4,0),0)</f>
        <v/>
      </c>
      <c r="M28" s="205" t="n"/>
      <c r="N28" s="206">
        <f>IFERROR(K28/L28,0)</f>
        <v/>
      </c>
      <c r="O28" s="207">
        <f>IFERROR(IF(M28&lt;((1/2*L28*N28^2)*2),1/2*L28*SQRT((M28/2)*2/L28)^2,1/2*L28*N28^2),0)</f>
        <v/>
      </c>
      <c r="P28" s="204">
        <f>IFERROR(IF(M28-O28-Q28&lt;=0,0,M28-O28-Q28),0)</f>
        <v/>
      </c>
      <c r="Q28" s="208">
        <f>O28</f>
        <v/>
      </c>
      <c r="R28" s="207">
        <f>IFERROR(IF(M28&lt;((1/2*L28*N28^2)*2),SQRT((M28/2)*2/L28),N28),0)</f>
        <v/>
      </c>
      <c r="S28" s="204">
        <f>IFERROR(P28/K28,0)</f>
        <v/>
      </c>
      <c r="T28" s="208">
        <f>R28</f>
        <v/>
      </c>
      <c r="U28" s="207">
        <f>IF(J28&gt;0,J28,SUM(R28:T28))</f>
        <v/>
      </c>
      <c r="V28" s="205" t="n"/>
      <c r="W28" s="208">
        <f>U28*V28</f>
        <v/>
      </c>
      <c r="Y28" s="202">
        <f>Y27+1</f>
        <v/>
      </c>
      <c r="Z28" s="203" t="n"/>
      <c r="AA28" s="209" t="n"/>
      <c r="AB28" s="204">
        <f>IFERROR(VLOOKUP(Z28,'Master List'!$A:$D,2,0),0)</f>
        <v/>
      </c>
      <c r="AC28" s="204">
        <f>IFERROR(VLOOKUP(Z28,'Master List'!$A:$D,3,0),0)</f>
        <v/>
      </c>
      <c r="AD28" s="204">
        <f>IFERROR(VLOOKUP(Z28,'Master List'!$A:$D,4,0),0)</f>
        <v/>
      </c>
      <c r="AE28" s="205" t="n"/>
      <c r="AF28" s="206">
        <f>IFERROR(AC28/AD28,0)</f>
        <v/>
      </c>
      <c r="AG28" s="207">
        <f>IFERROR(IF(AE28&lt;((1/2*AD28*AF28^2)*2),1/2*AD28*SQRT((AE28/2)*2/AD28)^2,1/2*AD28*AF28^2),0)</f>
        <v/>
      </c>
      <c r="AH28" s="204">
        <f>IFERROR(IF(AE28-AG28-AI28&lt;=0,0,AE28-AG28-AI28),0)</f>
        <v/>
      </c>
      <c r="AI28" s="208">
        <f>AG28</f>
        <v/>
      </c>
      <c r="AJ28" s="207">
        <f>IFERROR(IF(AE28&lt;((1/2*AD28*AF28^2)*2),SQRT((AE28/2)*2/AD28),AF28),0)</f>
        <v/>
      </c>
      <c r="AK28" s="204">
        <f>IFERROR(AH28/AC28,0)</f>
        <v/>
      </c>
      <c r="AL28" s="208">
        <f>AJ28</f>
        <v/>
      </c>
      <c r="AM28" s="207">
        <f>IF(AB28&gt;0,AB28,SUM(AJ28:AL28))</f>
        <v/>
      </c>
      <c r="AN28" s="205" t="n"/>
      <c r="AO28" s="208">
        <f>AM28*AN28</f>
        <v/>
      </c>
    </row>
    <row r="29">
      <c r="G29" s="202">
        <f>G28+1</f>
        <v/>
      </c>
      <c r="H29" s="203" t="n"/>
      <c r="I29" s="209" t="n"/>
      <c r="J29" s="204">
        <f>IFERROR(VLOOKUP(H29,'Master List'!$A:$D,2,0),0)</f>
        <v/>
      </c>
      <c r="K29" s="204">
        <f>IFERROR(VLOOKUP(H29,'Master List'!$A:$D,3,0),0)</f>
        <v/>
      </c>
      <c r="L29" s="204">
        <f>IFERROR(VLOOKUP(H29,'Master List'!$A:$D,4,0),0)</f>
        <v/>
      </c>
      <c r="M29" s="205" t="n"/>
      <c r="N29" s="206">
        <f>IFERROR(K29/L29,0)</f>
        <v/>
      </c>
      <c r="O29" s="207">
        <f>IFERROR(IF(M29&lt;((1/2*L29*N29^2)*2),1/2*L29*SQRT((M29/2)*2/L29)^2,1/2*L29*N29^2),0)</f>
        <v/>
      </c>
      <c r="P29" s="204">
        <f>IFERROR(IF(M29-O29-Q29&lt;=0,0,M29-O29-Q29),0)</f>
        <v/>
      </c>
      <c r="Q29" s="208">
        <f>O29</f>
        <v/>
      </c>
      <c r="R29" s="207">
        <f>IFERROR(IF(M29&lt;((1/2*L29*N29^2)*2),SQRT((M29/2)*2/L29),N29),0)</f>
        <v/>
      </c>
      <c r="S29" s="204">
        <f>IFERROR(P29/K29,0)</f>
        <v/>
      </c>
      <c r="T29" s="208">
        <f>R29</f>
        <v/>
      </c>
      <c r="U29" s="207">
        <f>IF(J29&gt;0,J29,SUM(R29:T29))</f>
        <v/>
      </c>
      <c r="V29" s="205" t="n"/>
      <c r="W29" s="208">
        <f>U29*V29</f>
        <v/>
      </c>
      <c r="Y29" s="202">
        <f>Y28+1</f>
        <v/>
      </c>
      <c r="Z29" s="203" t="n"/>
      <c r="AA29" s="209" t="n"/>
      <c r="AB29" s="204">
        <f>IFERROR(VLOOKUP(Z29,'Master List'!$A:$D,2,0),0)</f>
        <v/>
      </c>
      <c r="AC29" s="204">
        <f>IFERROR(VLOOKUP(Z29,'Master List'!$A:$D,3,0),0)</f>
        <v/>
      </c>
      <c r="AD29" s="204">
        <f>IFERROR(VLOOKUP(Z29,'Master List'!$A:$D,4,0),0)</f>
        <v/>
      </c>
      <c r="AE29" s="205" t="n"/>
      <c r="AF29" s="206">
        <f>IFERROR(AC29/AD29,0)</f>
        <v/>
      </c>
      <c r="AG29" s="207">
        <f>IFERROR(IF(AE29&lt;((1/2*AD29*AF29^2)*2),1/2*AD29*SQRT((AE29/2)*2/AD29)^2,1/2*AD29*AF29^2),0)</f>
        <v/>
      </c>
      <c r="AH29" s="204">
        <f>IFERROR(IF(AE29-AG29-AI29&lt;=0,0,AE29-AG29-AI29),0)</f>
        <v/>
      </c>
      <c r="AI29" s="208">
        <f>AG29</f>
        <v/>
      </c>
      <c r="AJ29" s="207">
        <f>IFERROR(IF(AE29&lt;((1/2*AD29*AF29^2)*2),SQRT((AE29/2)*2/AD29),AF29),0)</f>
        <v/>
      </c>
      <c r="AK29" s="204">
        <f>IFERROR(AH29/AC29,0)</f>
        <v/>
      </c>
      <c r="AL29" s="208">
        <f>AJ29</f>
        <v/>
      </c>
      <c r="AM29" s="207">
        <f>IF(AB29&gt;0,AB29,SUM(AJ29:AL29))</f>
        <v/>
      </c>
      <c r="AN29" s="205" t="n"/>
      <c r="AO29" s="208">
        <f>AM29*AN29</f>
        <v/>
      </c>
    </row>
    <row r="30">
      <c r="G30" s="202">
        <f>G29+1</f>
        <v/>
      </c>
      <c r="H30" s="203" t="n"/>
      <c r="I30" s="209" t="n"/>
      <c r="J30" s="204">
        <f>IFERROR(VLOOKUP(H30,'Master List'!$A:$D,2,0),0)</f>
        <v/>
      </c>
      <c r="K30" s="204">
        <f>IFERROR(VLOOKUP(H30,'Master List'!$A:$D,3,0),0)</f>
        <v/>
      </c>
      <c r="L30" s="204">
        <f>IFERROR(VLOOKUP(H30,'Master List'!$A:$D,4,0),0)</f>
        <v/>
      </c>
      <c r="M30" s="205" t="n"/>
      <c r="N30" s="206">
        <f>IFERROR(K30/L30,0)</f>
        <v/>
      </c>
      <c r="O30" s="207">
        <f>IFERROR(IF(M30&lt;((1/2*L30*N30^2)*2),1/2*L30*SQRT((M30/2)*2/L30)^2,1/2*L30*N30^2),0)</f>
        <v/>
      </c>
      <c r="P30" s="204">
        <f>IFERROR(IF(M30-O30-Q30&lt;=0,0,M30-O30-Q30),0)</f>
        <v/>
      </c>
      <c r="Q30" s="208">
        <f>O30</f>
        <v/>
      </c>
      <c r="R30" s="207">
        <f>IFERROR(IF(M30&lt;((1/2*L30*N30^2)*2),SQRT((M30/2)*2/L30),N30),0)</f>
        <v/>
      </c>
      <c r="S30" s="204">
        <f>IFERROR(P30/K30,0)</f>
        <v/>
      </c>
      <c r="T30" s="208">
        <f>R30</f>
        <v/>
      </c>
      <c r="U30" s="207">
        <f>IF(J30&gt;0,J30,SUM(R30:T30))</f>
        <v/>
      </c>
      <c r="V30" s="205" t="n"/>
      <c r="W30" s="208">
        <f>U30*V30</f>
        <v/>
      </c>
      <c r="Y30" s="202">
        <f>Y29+1</f>
        <v/>
      </c>
      <c r="Z30" s="203" t="n"/>
      <c r="AA30" s="209" t="n"/>
      <c r="AB30" s="204">
        <f>IFERROR(VLOOKUP(Z30,'Master List'!$A:$D,2,0),0)</f>
        <v/>
      </c>
      <c r="AC30" s="204">
        <f>IFERROR(VLOOKUP(Z30,'Master List'!$A:$D,3,0),0)</f>
        <v/>
      </c>
      <c r="AD30" s="204">
        <f>IFERROR(VLOOKUP(Z30,'Master List'!$A:$D,4,0),0)</f>
        <v/>
      </c>
      <c r="AE30" s="205" t="n"/>
      <c r="AF30" s="206">
        <f>IFERROR(AC30/AD30,0)</f>
        <v/>
      </c>
      <c r="AG30" s="207">
        <f>IFERROR(IF(AE30&lt;((1/2*AD30*AF30^2)*2),1/2*AD30*SQRT((AE30/2)*2/AD30)^2,1/2*AD30*AF30^2),0)</f>
        <v/>
      </c>
      <c r="AH30" s="204">
        <f>IFERROR(IF(AE30-AG30-AI30&lt;=0,0,AE30-AG30-AI30),0)</f>
        <v/>
      </c>
      <c r="AI30" s="208">
        <f>AG30</f>
        <v/>
      </c>
      <c r="AJ30" s="207">
        <f>IFERROR(IF(AE30&lt;((1/2*AD30*AF30^2)*2),SQRT((AE30/2)*2/AD30),AF30),0)</f>
        <v/>
      </c>
      <c r="AK30" s="204">
        <f>IFERROR(AH30/AC30,0)</f>
        <v/>
      </c>
      <c r="AL30" s="208">
        <f>AJ30</f>
        <v/>
      </c>
      <c r="AM30" s="207">
        <f>IF(AB30&gt;0,AB30,SUM(AJ30:AL30))</f>
        <v/>
      </c>
      <c r="AN30" s="205" t="n"/>
      <c r="AO30" s="208">
        <f>AM30*AN30</f>
        <v/>
      </c>
    </row>
    <row r="31">
      <c r="G31" s="202">
        <f>G30+1</f>
        <v/>
      </c>
      <c r="H31" s="203" t="n"/>
      <c r="I31" s="209" t="n"/>
      <c r="J31" s="204">
        <f>IFERROR(VLOOKUP(H31,'Master List'!$A:$D,2,0),0)</f>
        <v/>
      </c>
      <c r="K31" s="204">
        <f>IFERROR(VLOOKUP(H31,'Master List'!$A:$D,3,0),0)</f>
        <v/>
      </c>
      <c r="L31" s="204">
        <f>IFERROR(VLOOKUP(H31,'Master List'!$A:$D,4,0),0)</f>
        <v/>
      </c>
      <c r="M31" s="205" t="n"/>
      <c r="N31" s="206">
        <f>IFERROR(K31/L31,0)</f>
        <v/>
      </c>
      <c r="O31" s="207">
        <f>IFERROR(IF(M31&lt;((1/2*L31*N31^2)*2),1/2*L31*SQRT((M31/2)*2/L31)^2,1/2*L31*N31^2),0)</f>
        <v/>
      </c>
      <c r="P31" s="204">
        <f>IFERROR(IF(M31-O31-Q31&lt;=0,0,M31-O31-Q31),0)</f>
        <v/>
      </c>
      <c r="Q31" s="208">
        <f>O31</f>
        <v/>
      </c>
      <c r="R31" s="207">
        <f>IFERROR(IF(M31&lt;((1/2*L31*N31^2)*2),SQRT((M31/2)*2/L31),N31),0)</f>
        <v/>
      </c>
      <c r="S31" s="204">
        <f>IFERROR(P31/K31,0)</f>
        <v/>
      </c>
      <c r="T31" s="208">
        <f>R31</f>
        <v/>
      </c>
      <c r="U31" s="207">
        <f>IF(J31&gt;0,J31,SUM(R31:T31))</f>
        <v/>
      </c>
      <c r="V31" s="205" t="n"/>
      <c r="W31" s="208">
        <f>U31*V31</f>
        <v/>
      </c>
      <c r="Y31" s="202">
        <f>Y30+1</f>
        <v/>
      </c>
      <c r="Z31" s="203" t="n"/>
      <c r="AA31" s="209" t="n"/>
      <c r="AB31" s="204">
        <f>IFERROR(VLOOKUP(Z31,'Master List'!$A:$D,2,0),0)</f>
        <v/>
      </c>
      <c r="AC31" s="204">
        <f>IFERROR(VLOOKUP(Z31,'Master List'!$A:$D,3,0),0)</f>
        <v/>
      </c>
      <c r="AD31" s="204">
        <f>IFERROR(VLOOKUP(Z31,'Master List'!$A:$D,4,0),0)</f>
        <v/>
      </c>
      <c r="AE31" s="205" t="n"/>
      <c r="AF31" s="206">
        <f>IFERROR(AC31/AD31,0)</f>
        <v/>
      </c>
      <c r="AG31" s="207">
        <f>IFERROR(IF(AE31&lt;((1/2*AD31*AF31^2)*2),1/2*AD31*SQRT((AE31/2)*2/AD31)^2,1/2*AD31*AF31^2),0)</f>
        <v/>
      </c>
      <c r="AH31" s="204">
        <f>IFERROR(IF(AE31-AG31-AI31&lt;=0,0,AE31-AG31-AI31),0)</f>
        <v/>
      </c>
      <c r="AI31" s="208">
        <f>AG31</f>
        <v/>
      </c>
      <c r="AJ31" s="207">
        <f>IFERROR(IF(AE31&lt;((1/2*AD31*AF31^2)*2),SQRT((AE31/2)*2/AD31),AF31),0)</f>
        <v/>
      </c>
      <c r="AK31" s="204">
        <f>IFERROR(AH31/AC31,0)</f>
        <v/>
      </c>
      <c r="AL31" s="208">
        <f>AJ31</f>
        <v/>
      </c>
      <c r="AM31" s="207">
        <f>IF(AB31&gt;0,AB31,SUM(AJ31:AL31))</f>
        <v/>
      </c>
      <c r="AN31" s="205" t="n"/>
      <c r="AO31" s="208">
        <f>AM31*AN31</f>
        <v/>
      </c>
    </row>
    <row r="32">
      <c r="G32" s="202" t="n"/>
    </row>
  </sheetData>
  <sheetProtection selectLockedCells="0" selectUnlockedCells="0" algorithmName="SHA-512" sheet="1" objects="1" insertRows="1" insertHyperlinks="1" autoFilter="1" scenarios="1" formatColumns="1" deleteColumns="1" insertColumns="1" pivotTables="1" deleteRows="1" formatCells="1" saltValue="Grsi70n2JhGrHsxj5ymt1A==" formatRows="1" sort="1" spinCount="100000" hashValue="EqdeXWyIdcsCDIXay4SmQQxlrRUX5mOcqrjpPfltkuhz52BHfdn4KsQ0MZW30Lrg7Nu31yMdztSdxSeTvLBpRw=="/>
  <mergeCells count="12">
    <mergeCell ref="Z8:AN8"/>
    <mergeCell ref="Z6:AN6"/>
    <mergeCell ref="H9:V9"/>
    <mergeCell ref="Y6:Y10"/>
    <mergeCell ref="H7:V7"/>
    <mergeCell ref="Z7:AN7"/>
    <mergeCell ref="H6:V6"/>
    <mergeCell ref="G6:G10"/>
    <mergeCell ref="Z9:AN9"/>
    <mergeCell ref="G5:W5"/>
    <mergeCell ref="H8:V8"/>
    <mergeCell ref="Y5:AO5"/>
  </mergeCells>
  <conditionalFormatting sqref="B7">
    <cfRule type="cellIs" priority="3" operator="lessThan" dxfId="1">
      <formula>$A$37</formula>
    </cfRule>
  </conditionalFormatting>
  <pageMargins left="0.7" right="0.7" top="0.75" bottom="0.75" header="0.3" footer="0.3"/>
  <pageSetup orientation="landscape" scale="96"/>
  <drawing r:id="rId1"/>
</worksheet>
</file>

<file path=xl/worksheets/sheet9.xml><?xml version="1.0" encoding="utf-8"?>
<worksheet xmlns:r="http://schemas.openxmlformats.org/officeDocument/2006/relationships" xmlns="http://schemas.openxmlformats.org/spreadsheetml/2006/main">
  <sheetPr codeName="Sheet9">
    <tabColor theme="7"/>
    <outlinePr summaryBelow="1" summaryRight="1"/>
    <pageSetUpPr fitToPage="1"/>
  </sheetPr>
  <dimension ref="A1:AR39"/>
  <sheetViews>
    <sheetView showGridLines="0" zoomScale="80" zoomScaleNormal="80" workbookViewId="0">
      <selection activeCell="G14" sqref="G14"/>
    </sheetView>
  </sheetViews>
  <sheetFormatPr baseColWidth="10" defaultColWidth="8.6640625" defaultRowHeight="15"/>
  <cols>
    <col width="47.33203125" bestFit="1" customWidth="1" style="516" min="1" max="1"/>
    <col width="19.5" customWidth="1" style="516" min="2" max="2"/>
    <col width="20.6640625" bestFit="1" customWidth="1" style="516" min="3" max="3"/>
    <col width="22.6640625" bestFit="1" customWidth="1" style="516" min="4" max="4"/>
    <col width="18.33203125" bestFit="1" customWidth="1" style="516" min="5" max="5"/>
    <col width="18.33203125" customWidth="1" style="516" min="6" max="7"/>
    <col width="11.5" customWidth="1" style="516" min="8" max="8"/>
    <col width="8.6640625" customWidth="1" style="186" min="9" max="9"/>
    <col width="24.6640625" customWidth="1" style="210" min="10" max="10"/>
    <col width="27.6640625" customWidth="1" style="210" min="11" max="11"/>
    <col width="8.6640625" customWidth="1" style="186" min="12" max="14"/>
    <col width="8.6640625" customWidth="1" style="210" min="15" max="15"/>
    <col width="8.6640625" customWidth="1" style="186" min="16" max="23"/>
    <col width="8.6640625" customWidth="1" style="210" min="24" max="24"/>
    <col width="8.6640625" customWidth="1" style="186" min="25" max="27"/>
    <col width="24.6640625" customWidth="1" style="210" min="28" max="28"/>
    <col width="27.6640625" customWidth="1" style="210" min="29" max="29"/>
    <col width="8.6640625" customWidth="1" style="186" min="30" max="32"/>
    <col width="8.6640625" customWidth="1" style="210" min="33" max="33"/>
    <col width="8.6640625" customWidth="1" style="186" min="34" max="41"/>
    <col width="8.6640625" customWidth="1" style="210" min="42" max="42"/>
    <col width="8.6640625" customWidth="1" style="186" min="43" max="43"/>
    <col width="8.6640625" customWidth="1" style="1" min="44" max="45"/>
    <col width="8.6640625" customWidth="1" style="1" min="46" max="16384"/>
  </cols>
  <sheetData>
    <row r="1" ht="47" customFormat="1" customHeight="1" s="24">
      <c r="B1" s="1">
        <f>'Master List'!$F$2</f>
        <v/>
      </c>
      <c r="I1" s="185" t="n"/>
      <c r="J1" s="185" t="n"/>
      <c r="K1" s="185" t="n"/>
      <c r="L1" s="185" t="n"/>
      <c r="M1" s="185" t="n"/>
      <c r="N1" s="185" t="n"/>
      <c r="O1" s="185" t="n"/>
      <c r="P1" s="185" t="n"/>
      <c r="Q1" s="185" t="n"/>
      <c r="R1" s="185" t="n"/>
      <c r="S1" s="185" t="n"/>
      <c r="T1" s="185" t="n"/>
      <c r="U1" s="185" t="n"/>
      <c r="V1" s="185" t="n"/>
      <c r="W1" s="185" t="n"/>
      <c r="X1" s="185" t="n"/>
      <c r="Y1" s="185" t="n"/>
      <c r="Z1" s="185" t="n"/>
      <c r="AA1" s="185" t="n"/>
      <c r="AB1" s="185" t="n"/>
      <c r="AC1" s="185" t="n"/>
      <c r="AD1" s="185" t="n"/>
      <c r="AE1" s="185" t="n"/>
      <c r="AF1" s="185" t="n"/>
      <c r="AG1" s="185" t="n"/>
      <c r="AH1" s="185" t="n"/>
      <c r="AI1" s="185" t="n"/>
      <c r="AJ1" s="185" t="n"/>
      <c r="AK1" s="185" t="n"/>
      <c r="AL1" s="185" t="n"/>
      <c r="AM1" s="185" t="n"/>
      <c r="AN1" s="185" t="n"/>
      <c r="AO1" s="185" t="n"/>
      <c r="AP1" s="185" t="n"/>
      <c r="AQ1" s="185" t="n"/>
    </row>
    <row r="2" ht="20.75" customFormat="1" customHeight="1" s="24">
      <c r="A2" s="34" t="inlineStr">
        <is>
          <t>Equipment</t>
        </is>
      </c>
      <c r="B2" s="33" t="inlineStr">
        <is>
          <t>Travect (RGV)</t>
        </is>
      </c>
      <c r="I2" s="185" t="n"/>
      <c r="J2" s="185" t="n"/>
      <c r="K2" s="185" t="n"/>
      <c r="L2" s="185" t="n"/>
      <c r="M2" s="185" t="n"/>
      <c r="N2" s="185" t="n"/>
      <c r="O2" s="185" t="n"/>
      <c r="P2" s="185" t="n"/>
      <c r="Q2" s="185" t="n"/>
      <c r="R2" s="185" t="n"/>
      <c r="S2" s="185" t="n"/>
      <c r="T2" s="185" t="n"/>
      <c r="U2" s="185" t="n"/>
      <c r="V2" s="185" t="n"/>
      <c r="W2" s="185" t="n"/>
      <c r="X2" s="185" t="n"/>
      <c r="Y2" s="185" t="n"/>
      <c r="Z2" s="185" t="n"/>
      <c r="AA2" s="185" t="n"/>
      <c r="AB2" s="185" t="n"/>
      <c r="AC2" s="185" t="n"/>
      <c r="AD2" s="185" t="n"/>
      <c r="AE2" s="185" t="n"/>
      <c r="AF2" s="185" t="n"/>
      <c r="AG2" s="185" t="n"/>
      <c r="AH2" s="185" t="n"/>
      <c r="AI2" s="185" t="n"/>
      <c r="AJ2" s="185" t="n"/>
      <c r="AK2" s="185" t="n"/>
      <c r="AL2" s="185" t="n"/>
      <c r="AM2" s="185" t="n"/>
      <c r="AN2" s="185" t="n"/>
      <c r="AO2" s="185" t="n"/>
      <c r="AP2" s="185" t="n"/>
      <c r="AQ2" s="185" t="n"/>
    </row>
    <row r="3" ht="20.75" customFormat="1" customHeight="1" s="24">
      <c r="A3" s="34" t="inlineStr">
        <is>
          <t>Utilization</t>
        </is>
      </c>
      <c r="B3" s="402">
        <f>Y8</f>
        <v/>
      </c>
      <c r="I3" s="185" t="n"/>
      <c r="J3" s="185" t="n"/>
      <c r="K3" s="185" t="n"/>
      <c r="L3" s="185" t="n"/>
      <c r="M3" s="185" t="n"/>
      <c r="N3" s="185" t="n"/>
      <c r="O3" s="185" t="n"/>
      <c r="P3" s="185" t="n"/>
      <c r="Q3" s="185" t="n"/>
      <c r="R3" s="185" t="n"/>
      <c r="S3" s="185" t="n"/>
      <c r="T3" s="185" t="n"/>
      <c r="U3" s="185" t="n"/>
      <c r="V3" s="185" t="n"/>
      <c r="W3" s="185" t="n"/>
      <c r="X3" s="185" t="n"/>
      <c r="Y3" s="185" t="n"/>
      <c r="Z3" s="185" t="n"/>
      <c r="AA3" s="185" t="n"/>
      <c r="AB3" s="185" t="n"/>
      <c r="AC3" s="185" t="n"/>
      <c r="AD3" s="185" t="n"/>
      <c r="AE3" s="185" t="n"/>
      <c r="AF3" s="185" t="n"/>
      <c r="AG3" s="185" t="n"/>
      <c r="AH3" s="185" t="n"/>
      <c r="AI3" s="185" t="n"/>
      <c r="AJ3" s="185" t="n"/>
      <c r="AK3" s="185" t="n"/>
      <c r="AL3" s="185" t="n"/>
      <c r="AM3" s="185" t="n"/>
      <c r="AN3" s="185" t="n"/>
      <c r="AO3" s="185" t="n"/>
      <c r="AP3" s="185" t="n"/>
      <c r="AQ3" s="185" t="n"/>
    </row>
    <row r="4" ht="20.75" customHeight="1" s="516">
      <c r="A4" s="180" t="inlineStr">
        <is>
          <t>Project name</t>
        </is>
      </c>
      <c r="B4" s="181" t="n"/>
      <c r="J4" s="186" t="n"/>
      <c r="K4" s="186" t="n"/>
      <c r="O4" s="186" t="n"/>
      <c r="X4" s="186" t="n"/>
      <c r="AB4" s="186" t="n"/>
      <c r="AC4" s="186" t="n"/>
      <c r="AG4" s="186" t="n"/>
      <c r="AP4" s="186" t="n"/>
    </row>
    <row r="5" ht="20.75" customHeight="1" s="516">
      <c r="A5" s="180" t="inlineStr">
        <is>
          <t>Revision</t>
        </is>
      </c>
      <c r="B5" s="181" t="n"/>
      <c r="I5" s="540">
        <f>A12</f>
        <v/>
      </c>
      <c r="J5" s="525" t="n"/>
      <c r="K5" s="525" t="n"/>
      <c r="L5" s="525" t="n"/>
      <c r="M5" s="525" t="n"/>
      <c r="N5" s="525" t="n"/>
      <c r="O5" s="525" t="n"/>
      <c r="P5" s="525" t="n"/>
      <c r="Q5" s="525" t="n"/>
      <c r="R5" s="525" t="n"/>
      <c r="S5" s="525" t="n"/>
      <c r="T5" s="525" t="n"/>
      <c r="U5" s="525" t="n"/>
      <c r="V5" s="525" t="n"/>
      <c r="W5" s="525" t="n"/>
      <c r="X5" s="525" t="n"/>
      <c r="Y5" s="526" t="n"/>
      <c r="AA5" s="540">
        <f>A13</f>
        <v/>
      </c>
      <c r="AB5" s="525" t="n"/>
      <c r="AC5" s="525" t="n"/>
      <c r="AD5" s="525" t="n"/>
      <c r="AE5" s="525" t="n"/>
      <c r="AF5" s="525" t="n"/>
      <c r="AG5" s="525" t="n"/>
      <c r="AH5" s="525" t="n"/>
      <c r="AI5" s="525" t="n"/>
      <c r="AJ5" s="525" t="n"/>
      <c r="AK5" s="525" t="n"/>
      <c r="AL5" s="525" t="n"/>
      <c r="AM5" s="525" t="n"/>
      <c r="AN5" s="525" t="n"/>
      <c r="AO5" s="525" t="n"/>
      <c r="AP5" s="525" t="n"/>
      <c r="AQ5" s="526" t="n"/>
    </row>
    <row r="6">
      <c r="I6" s="541" t="inlineStr">
        <is>
          <t>S.No</t>
        </is>
      </c>
      <c r="J6" s="535" t="inlineStr">
        <is>
          <t>Cycles / Hour</t>
        </is>
      </c>
      <c r="K6" s="522" t="n"/>
      <c r="L6" s="522" t="n"/>
      <c r="M6" s="522" t="n"/>
      <c r="N6" s="522" t="n"/>
      <c r="O6" s="522" t="n"/>
      <c r="P6" s="522" t="n"/>
      <c r="Q6" s="522" t="n"/>
      <c r="R6" s="522" t="n"/>
      <c r="S6" s="522" t="n"/>
      <c r="T6" s="522" t="n"/>
      <c r="U6" s="522" t="n"/>
      <c r="V6" s="522" t="n"/>
      <c r="W6" s="522" t="n"/>
      <c r="X6" s="523" t="n"/>
      <c r="Y6" s="236">
        <f>3600/Y7</f>
        <v/>
      </c>
      <c r="AA6" s="541" t="inlineStr">
        <is>
          <t>S.No</t>
        </is>
      </c>
      <c r="AB6" s="535" t="inlineStr">
        <is>
          <t>Cycles / Hour</t>
        </is>
      </c>
      <c r="AC6" s="522" t="n"/>
      <c r="AD6" s="522" t="n"/>
      <c r="AE6" s="522" t="n"/>
      <c r="AF6" s="522" t="n"/>
      <c r="AG6" s="522" t="n"/>
      <c r="AH6" s="522" t="n"/>
      <c r="AI6" s="522" t="n"/>
      <c r="AJ6" s="522" t="n"/>
      <c r="AK6" s="522" t="n"/>
      <c r="AL6" s="522" t="n"/>
      <c r="AM6" s="522" t="n"/>
      <c r="AN6" s="522" t="n"/>
      <c r="AO6" s="522" t="n"/>
      <c r="AP6" s="523" t="n"/>
      <c r="AQ6" s="236">
        <f>3600/AQ7</f>
        <v/>
      </c>
    </row>
    <row r="7" ht="24" customHeight="1" s="516">
      <c r="A7" s="35" t="inlineStr">
        <is>
          <t>Pallets per Hr</t>
        </is>
      </c>
      <c r="B7" s="53">
        <f>(SUMPRODUCT(B12:B13,F12:F13))</f>
        <v/>
      </c>
      <c r="I7" s="528" t="n"/>
      <c r="J7" s="535" t="inlineStr">
        <is>
          <t>Effective Cycle Time</t>
        </is>
      </c>
      <c r="K7" s="522" t="n"/>
      <c r="L7" s="522" t="n"/>
      <c r="M7" s="522" t="n"/>
      <c r="N7" s="522" t="n"/>
      <c r="O7" s="522" t="n"/>
      <c r="P7" s="522" t="n"/>
      <c r="Q7" s="522" t="n"/>
      <c r="R7" s="522" t="n"/>
      <c r="S7" s="522" t="n"/>
      <c r="T7" s="522" t="n"/>
      <c r="U7" s="522" t="n"/>
      <c r="V7" s="522" t="n"/>
      <c r="W7" s="522" t="n"/>
      <c r="X7" s="523" t="n"/>
      <c r="Y7" s="237">
        <f>Y9/Y8</f>
        <v/>
      </c>
      <c r="AA7" s="528" t="n"/>
      <c r="AB7" s="535" t="inlineStr">
        <is>
          <t>Effective Cycle Time</t>
        </is>
      </c>
      <c r="AC7" s="522" t="n"/>
      <c r="AD7" s="522" t="n"/>
      <c r="AE7" s="522" t="n"/>
      <c r="AF7" s="522" t="n"/>
      <c r="AG7" s="522" t="n"/>
      <c r="AH7" s="522" t="n"/>
      <c r="AI7" s="522" t="n"/>
      <c r="AJ7" s="522" t="n"/>
      <c r="AK7" s="522" t="n"/>
      <c r="AL7" s="522" t="n"/>
      <c r="AM7" s="522" t="n"/>
      <c r="AN7" s="522" t="n"/>
      <c r="AO7" s="522" t="n"/>
      <c r="AP7" s="523" t="n"/>
      <c r="AQ7" s="237">
        <f>AQ9/AQ8</f>
        <v/>
      </c>
      <c r="AR7" s="66">
        <f>'Master List'!G1</f>
        <v/>
      </c>
    </row>
    <row r="8">
      <c r="I8" s="528" t="n"/>
      <c r="J8" s="535" t="inlineStr">
        <is>
          <t>Equipment Utilization</t>
        </is>
      </c>
      <c r="K8" s="522" t="n"/>
      <c r="L8" s="522" t="n"/>
      <c r="M8" s="522" t="n"/>
      <c r="N8" s="522" t="n"/>
      <c r="O8" s="522" t="n"/>
      <c r="P8" s="522" t="n"/>
      <c r="Q8" s="522" t="n"/>
      <c r="R8" s="522" t="n"/>
      <c r="S8" s="522" t="n"/>
      <c r="T8" s="522" t="n"/>
      <c r="U8" s="522" t="n"/>
      <c r="V8" s="522" t="n"/>
      <c r="W8" s="522" t="n"/>
      <c r="X8" s="523" t="n"/>
      <c r="Y8" s="238">
        <f>$AR$7</f>
        <v/>
      </c>
      <c r="AA8" s="528" t="n"/>
      <c r="AB8" s="535" t="inlineStr">
        <is>
          <t>Equipment Utilization</t>
        </is>
      </c>
      <c r="AC8" s="522" t="n"/>
      <c r="AD8" s="522" t="n"/>
      <c r="AE8" s="522" t="n"/>
      <c r="AF8" s="522" t="n"/>
      <c r="AG8" s="522" t="n"/>
      <c r="AH8" s="522" t="n"/>
      <c r="AI8" s="522" t="n"/>
      <c r="AJ8" s="522" t="n"/>
      <c r="AK8" s="522" t="n"/>
      <c r="AL8" s="522" t="n"/>
      <c r="AM8" s="522" t="n"/>
      <c r="AN8" s="522" t="n"/>
      <c r="AO8" s="522" t="n"/>
      <c r="AP8" s="523" t="n"/>
      <c r="AQ8" s="238">
        <f>$AR$7</f>
        <v/>
      </c>
    </row>
    <row r="9" ht="18" customHeight="1" s="516">
      <c r="A9" s="35" t="inlineStr">
        <is>
          <t>RGV required</t>
        </is>
      </c>
      <c r="B9" s="53">
        <f>ROUNDUP((B16/B7)*(1+$B$17),0)</f>
        <v/>
      </c>
      <c r="I9" s="528" t="n"/>
      <c r="J9" s="535" t="inlineStr">
        <is>
          <t>Cycle Time</t>
        </is>
      </c>
      <c r="K9" s="522" t="n"/>
      <c r="L9" s="522" t="n"/>
      <c r="M9" s="522" t="n"/>
      <c r="N9" s="522" t="n"/>
      <c r="O9" s="522" t="n"/>
      <c r="P9" s="522" t="n"/>
      <c r="Q9" s="522" t="n"/>
      <c r="R9" s="522" t="n"/>
      <c r="S9" s="522" t="n"/>
      <c r="T9" s="522" t="n"/>
      <c r="U9" s="522" t="n"/>
      <c r="V9" s="522" t="n"/>
      <c r="W9" s="522" t="n"/>
      <c r="X9" s="523" t="n"/>
      <c r="Y9" s="239">
        <f>SUM(Y11:Y97)</f>
        <v/>
      </c>
      <c r="AA9" s="528" t="n"/>
      <c r="AB9" s="535" t="inlineStr">
        <is>
          <t>Cycle Time</t>
        </is>
      </c>
      <c r="AC9" s="522" t="n"/>
      <c r="AD9" s="522" t="n"/>
      <c r="AE9" s="522" t="n"/>
      <c r="AF9" s="522" t="n"/>
      <c r="AG9" s="522" t="n"/>
      <c r="AH9" s="522" t="n"/>
      <c r="AI9" s="522" t="n"/>
      <c r="AJ9" s="522" t="n"/>
      <c r="AK9" s="522" t="n"/>
      <c r="AL9" s="522" t="n"/>
      <c r="AM9" s="522" t="n"/>
      <c r="AN9" s="522" t="n"/>
      <c r="AO9" s="522" t="n"/>
      <c r="AP9" s="523" t="n"/>
      <c r="AQ9" s="239">
        <f>SUM(AQ11:AQ97)</f>
        <v/>
      </c>
    </row>
    <row r="10" ht="23" customFormat="1" customHeight="1" s="6">
      <c r="B10" s="97">
        <f>B16/B7</f>
        <v/>
      </c>
      <c r="I10" s="529" t="n"/>
      <c r="J10" s="541" t="inlineStr">
        <is>
          <t>Activity Type</t>
        </is>
      </c>
      <c r="K10" s="193" t="inlineStr">
        <is>
          <t>Steps</t>
        </is>
      </c>
      <c r="L10" s="193" t="inlineStr">
        <is>
          <t>Time to consider in absence of data (sec)</t>
        </is>
      </c>
      <c r="M10" s="193" t="inlineStr">
        <is>
          <t>Speed (m / sec)</t>
        </is>
      </c>
      <c r="N10" s="193" t="inlineStr">
        <is>
          <t>Acceleration (m / sec^2)</t>
        </is>
      </c>
      <c r="O10" s="193" t="inlineStr">
        <is>
          <t>Total Distance (m)</t>
        </is>
      </c>
      <c r="P10" s="193" t="inlineStr">
        <is>
          <t>Time to Reach Max Speed (sec)</t>
        </is>
      </c>
      <c r="Q10" s="193" t="inlineStr">
        <is>
          <t>Distance in accerlaration (m)</t>
        </is>
      </c>
      <c r="R10" s="193" t="inlineStr">
        <is>
          <t>Distance in Max speed (m)</t>
        </is>
      </c>
      <c r="S10" s="193" t="inlineStr">
        <is>
          <t>Distance in de-acceleration (m)</t>
        </is>
      </c>
      <c r="T10" s="193" t="inlineStr">
        <is>
          <t>Time in acceleration (sec)</t>
        </is>
      </c>
      <c r="U10" s="193" t="inlineStr">
        <is>
          <t>Time in full speed (sec)</t>
        </is>
      </c>
      <c r="V10" s="193" t="inlineStr">
        <is>
          <t>Time in de-acceleration (sec)</t>
        </is>
      </c>
      <c r="W10" s="193" t="inlineStr">
        <is>
          <t>Time (sec)</t>
        </is>
      </c>
      <c r="X10" s="193" t="inlineStr">
        <is>
          <t>Units</t>
        </is>
      </c>
      <c r="Y10" s="193" t="inlineStr">
        <is>
          <t>Total Time</t>
        </is>
      </c>
      <c r="Z10" s="201" t="n"/>
      <c r="AA10" s="529" t="n"/>
      <c r="AB10" s="541" t="inlineStr">
        <is>
          <t>Activity Type</t>
        </is>
      </c>
      <c r="AC10" s="193" t="inlineStr">
        <is>
          <t>Steps</t>
        </is>
      </c>
      <c r="AD10" s="193" t="inlineStr">
        <is>
          <t>Time to consider in absence of data (sec)</t>
        </is>
      </c>
      <c r="AE10" s="193" t="inlineStr">
        <is>
          <t>Speed (m / sec)</t>
        </is>
      </c>
      <c r="AF10" s="193" t="inlineStr">
        <is>
          <t>Acceleration (m / sec^2)</t>
        </is>
      </c>
      <c r="AG10" s="193" t="inlineStr">
        <is>
          <t>Total Distance (m)</t>
        </is>
      </c>
      <c r="AH10" s="193" t="inlineStr">
        <is>
          <t>Time to Reach Max Speed (sec)</t>
        </is>
      </c>
      <c r="AI10" s="193" t="inlineStr">
        <is>
          <t>Distance in accerlaration (m)</t>
        </is>
      </c>
      <c r="AJ10" s="193" t="inlineStr">
        <is>
          <t>Distance in Max speed (m)</t>
        </is>
      </c>
      <c r="AK10" s="193" t="inlineStr">
        <is>
          <t>Distance in de-acceleration (m)</t>
        </is>
      </c>
      <c r="AL10" s="193" t="inlineStr">
        <is>
          <t>Time in acceleration (sec)</t>
        </is>
      </c>
      <c r="AM10" s="193" t="inlineStr">
        <is>
          <t>Time in full speed (sec)</t>
        </is>
      </c>
      <c r="AN10" s="193" t="inlineStr">
        <is>
          <t>Time in de-acceleration (sec)</t>
        </is>
      </c>
      <c r="AO10" s="193" t="inlineStr">
        <is>
          <t>Time (sec)</t>
        </is>
      </c>
      <c r="AP10" s="193" t="inlineStr">
        <is>
          <t>Units</t>
        </is>
      </c>
      <c r="AQ10" s="193" t="inlineStr">
        <is>
          <t>Total Time</t>
        </is>
      </c>
    </row>
    <row r="11">
      <c r="A11" s="80" t="inlineStr">
        <is>
          <t>Type of cycle</t>
        </is>
      </c>
      <c r="B11" s="80" t="inlineStr">
        <is>
          <t>Weightage</t>
        </is>
      </c>
      <c r="C11" s="81" t="inlineStr">
        <is>
          <t>Pallet loading count</t>
        </is>
      </c>
      <c r="D11" s="81" t="inlineStr">
        <is>
          <t>Pallet unloading count</t>
        </is>
      </c>
      <c r="E11" s="80" t="inlineStr">
        <is>
          <t>Cycles per Hr</t>
        </is>
      </c>
      <c r="F11" s="80" t="inlineStr">
        <is>
          <t>Pallets per Hr</t>
        </is>
      </c>
      <c r="G11" s="82" t="n"/>
      <c r="I11" s="241" t="n">
        <v>1</v>
      </c>
      <c r="J11" s="203" t="inlineStr">
        <is>
          <t>Pallet Chain Conveyor</t>
        </is>
      </c>
      <c r="K11" s="209" t="n"/>
      <c r="L11" s="204">
        <f>IFERROR(VLOOKUP(J11,'Master List'!$A:$D,2,0),0)</f>
        <v/>
      </c>
      <c r="M11" s="204">
        <f>IFERROR(VLOOKUP(J11,'Master List'!$A:$D,3,0),0)</f>
        <v/>
      </c>
      <c r="N11" s="204">
        <f>IFERROR(VLOOKUP(J11,'Master List'!$A:$D,4,0),0)</f>
        <v/>
      </c>
      <c r="O11" s="205">
        <f>$B$39</f>
        <v/>
      </c>
      <c r="P11" s="204">
        <f>IFERROR(M11/N11,0)</f>
        <v/>
      </c>
      <c r="Q11" s="204">
        <f>IFERROR(IF(O11&lt;((1/2*N11*P11^2)*2),1/2*N11*SQRT((O11/2)*2/N11)^2,1/2*N11*P11^2),0)</f>
        <v/>
      </c>
      <c r="R11" s="204">
        <f>IFERROR(IF(O11-Q11-S11&lt;=0,0,O11-Q11-S11),0)</f>
        <v/>
      </c>
      <c r="S11" s="204">
        <f>Q11</f>
        <v/>
      </c>
      <c r="T11" s="204">
        <f>IFERROR(IF(O11&lt;((1/2*N11*P11^2)*2),SQRT((O11/2)*2/N11),P11),0)</f>
        <v/>
      </c>
      <c r="U11" s="204">
        <f>IFERROR(R11/M11,0)</f>
        <v/>
      </c>
      <c r="V11" s="204">
        <f>T11</f>
        <v/>
      </c>
      <c r="W11" s="204">
        <f>IF(L11&gt;0,L11,SUM(T11:V11))</f>
        <v/>
      </c>
      <c r="X11" s="205">
        <f>SUM(C12:D12)</f>
        <v/>
      </c>
      <c r="Y11" s="204">
        <f>W11*X11</f>
        <v/>
      </c>
      <c r="AA11" s="241" t="n">
        <v>1</v>
      </c>
      <c r="AB11" s="203" t="inlineStr">
        <is>
          <t>Pallet Chain Conveyor</t>
        </is>
      </c>
      <c r="AC11" s="209" t="n"/>
      <c r="AD11" s="204">
        <f>IFERROR(VLOOKUP(AB11,'Master List'!$A:$D,2,0),0)</f>
        <v/>
      </c>
      <c r="AE11" s="204">
        <f>IFERROR(VLOOKUP(AB11,'Master List'!$A:$D,3,0),0)</f>
        <v/>
      </c>
      <c r="AF11" s="204">
        <f>IFERROR(VLOOKUP(AB11,'Master List'!$A:$D,4,0),0)</f>
        <v/>
      </c>
      <c r="AG11" s="205">
        <f>$B$39</f>
        <v/>
      </c>
      <c r="AH11" s="204">
        <f>IFERROR(AE11/AF11,0)</f>
        <v/>
      </c>
      <c r="AI11" s="204">
        <f>IFERROR(IF(AG11&lt;((1/2*AF11*AH11^2)*2),1/2*AF11*SQRT((AG11/2)*2/AF11)^2,1/2*AF11*AH11^2),0)</f>
        <v/>
      </c>
      <c r="AJ11" s="204">
        <f>IFERROR(IF(AG11-AI11-AK11&lt;=0,0,AG11-AI11-AK11),0)</f>
        <v/>
      </c>
      <c r="AK11" s="204">
        <f>AI11</f>
        <v/>
      </c>
      <c r="AL11" s="204">
        <f>IFERROR(IF(AG11&lt;((1/2*AF11*AH11^2)*2),SQRT((AG11/2)*2/AF11),AH11),0)</f>
        <v/>
      </c>
      <c r="AM11" s="204">
        <f>IFERROR(AJ11/AE11,0)</f>
        <v/>
      </c>
      <c r="AN11" s="204">
        <f>AL11</f>
        <v/>
      </c>
      <c r="AO11" s="204">
        <f>IF(AD11&gt;0,AD11,SUM(AL11:AN11))</f>
        <v/>
      </c>
      <c r="AP11" s="205">
        <f>SUM(C13:D13)</f>
        <v/>
      </c>
      <c r="AQ11" s="204">
        <f>AO11*AP11</f>
        <v/>
      </c>
    </row>
    <row r="12">
      <c r="A12" s="83" t="inlineStr">
        <is>
          <t>Combined cycle</t>
        </is>
      </c>
      <c r="B12" s="95" t="n">
        <v>1</v>
      </c>
      <c r="C12" s="86" t="n">
        <v>2</v>
      </c>
      <c r="D12" s="86" t="n">
        <v>2</v>
      </c>
      <c r="E12" s="39">
        <f>Y6</f>
        <v/>
      </c>
      <c r="F12" s="39">
        <f>Y6*2</f>
        <v/>
      </c>
      <c r="G12" s="99" t="n"/>
      <c r="I12" s="241">
        <f>I11+1</f>
        <v/>
      </c>
      <c r="J12" s="203" t="inlineStr">
        <is>
          <t>RGV positioning time</t>
        </is>
      </c>
      <c r="K12" s="209" t="n"/>
      <c r="L12" s="204">
        <f>IFERROR(VLOOKUP(J12,'Master List'!$A:$D,2,0),0)</f>
        <v/>
      </c>
      <c r="M12" s="204">
        <f>IFERROR(VLOOKUP(J12,'Master List'!$A:$D,3,0),0)</f>
        <v/>
      </c>
      <c r="N12" s="204">
        <f>IFERROR(VLOOKUP(J12,'Master List'!$A:$D,4,0),0)</f>
        <v/>
      </c>
      <c r="O12" s="205" t="n"/>
      <c r="P12" s="204">
        <f>IFERROR(M12/N12,0)</f>
        <v/>
      </c>
      <c r="Q12" s="204">
        <f>IFERROR(IF(O12&lt;((1/2*N12*P12^2)*2),1/2*N12*SQRT((O12/2)*2/N12)^2,1/2*N12*P12^2),0)</f>
        <v/>
      </c>
      <c r="R12" s="204">
        <f>IFERROR(IF(O12-Q12-S12&lt;=0,0,O12-Q12-S12),0)</f>
        <v/>
      </c>
      <c r="S12" s="204">
        <f>Q12</f>
        <v/>
      </c>
      <c r="T12" s="204">
        <f>IFERROR(IF(O12&lt;((1/2*N12*P12^2)*2),SQRT((O12/2)*2/N12),P12),0)</f>
        <v/>
      </c>
      <c r="U12" s="204">
        <f>IFERROR(R12/M12,0)</f>
        <v/>
      </c>
      <c r="V12" s="204">
        <f>T12</f>
        <v/>
      </c>
      <c r="W12" s="204">
        <f>IF(L12&gt;0,L12,SUM(T12:V12))</f>
        <v/>
      </c>
      <c r="X12" s="205">
        <f>X11</f>
        <v/>
      </c>
      <c r="Y12" s="204">
        <f>W12*X12</f>
        <v/>
      </c>
      <c r="AA12" s="241">
        <f>AA11+1</f>
        <v/>
      </c>
      <c r="AB12" s="203" t="inlineStr">
        <is>
          <t>RGV positioning time</t>
        </is>
      </c>
      <c r="AC12" s="209" t="n"/>
      <c r="AD12" s="204">
        <f>IFERROR(VLOOKUP(AB12,'Master List'!$A:$D,2,0),0)</f>
        <v/>
      </c>
      <c r="AE12" s="204">
        <f>IFERROR(VLOOKUP(AB12,'Master List'!$A:$D,3,0),0)</f>
        <v/>
      </c>
      <c r="AF12" s="204">
        <f>IFERROR(VLOOKUP(AB12,'Master List'!$A:$D,4,0),0)</f>
        <v/>
      </c>
      <c r="AG12" s="205" t="n"/>
      <c r="AH12" s="204">
        <f>IFERROR(AE12/AF12,0)</f>
        <v/>
      </c>
      <c r="AI12" s="204">
        <f>IFERROR(IF(AG12&lt;((1/2*AF12*AH12^2)*2),1/2*AF12*SQRT((AG12/2)*2/AF12)^2,1/2*AF12*AH12^2),0)</f>
        <v/>
      </c>
      <c r="AJ12" s="204">
        <f>IFERROR(IF(AG12-AI12-AK12&lt;=0,0,AG12-AI12-AK12),0)</f>
        <v/>
      </c>
      <c r="AK12" s="204">
        <f>AI12</f>
        <v/>
      </c>
      <c r="AL12" s="204">
        <f>IFERROR(IF(AG12&lt;((1/2*AF12*AH12^2)*2),SQRT((AG12/2)*2/AF12),AH12),0)</f>
        <v/>
      </c>
      <c r="AM12" s="204">
        <f>IFERROR(AJ12/AE12,0)</f>
        <v/>
      </c>
      <c r="AN12" s="204">
        <f>AL12</f>
        <v/>
      </c>
      <c r="AO12" s="204">
        <f>IF(AD12&gt;0,AD12,SUM(AL12:AN12))</f>
        <v/>
      </c>
      <c r="AP12" s="205">
        <f>AP11</f>
        <v/>
      </c>
      <c r="AQ12" s="204">
        <f>AO12*AP12</f>
        <v/>
      </c>
    </row>
    <row r="13">
      <c r="A13" s="83" t="inlineStr">
        <is>
          <t>Single cycle</t>
        </is>
      </c>
      <c r="B13" s="95" t="n">
        <v>0</v>
      </c>
      <c r="C13" s="86" t="n">
        <v>1</v>
      </c>
      <c r="D13" s="86" t="n">
        <v>1</v>
      </c>
      <c r="E13" s="39">
        <f>AQ6</f>
        <v/>
      </c>
      <c r="F13" s="39">
        <f>AQ6*1</f>
        <v/>
      </c>
      <c r="G13" s="99" t="n"/>
      <c r="I13" s="241">
        <f>I12+1</f>
        <v/>
      </c>
      <c r="J13" s="203" t="inlineStr">
        <is>
          <t>RGV Running straight line</t>
        </is>
      </c>
      <c r="K13" s="233" t="inlineStr">
        <is>
          <t>Straight segment 1</t>
        </is>
      </c>
      <c r="L13" s="204">
        <f>IFERROR(VLOOKUP(J13,'Master List'!$A:$D,2,0),0)</f>
        <v/>
      </c>
      <c r="M13" s="204">
        <f>IFERROR(VLOOKUP(J13,'Master List'!$A:$D,3,0),0)</f>
        <v/>
      </c>
      <c r="N13" s="204">
        <f>IFERROR(VLOOKUP(J13,'Master List'!$A:$D,4,0),0)</f>
        <v/>
      </c>
      <c r="O13" s="205">
        <f>VLOOKUP(K13,$A$20:$B$27,2,0)</f>
        <v/>
      </c>
      <c r="P13" s="204">
        <f>IFERROR(M13/N13,0)</f>
        <v/>
      </c>
      <c r="Q13" s="204">
        <f>IFERROR(IF(O13&lt;((1/2*N13*P13^2)*2),1/2*N13*SQRT((O13/2)*2/N13)^2,1/2*N13*P13^2),0)</f>
        <v/>
      </c>
      <c r="R13" s="204">
        <f>IFERROR(IF(O13-Q13-S13&lt;=0,0,O13-Q13-S13),0)</f>
        <v/>
      </c>
      <c r="S13" s="204">
        <f>Q13</f>
        <v/>
      </c>
      <c r="T13" s="204">
        <f>IFERROR(IF(O13&lt;((1/2*N13*P13^2)*2),SQRT((O13/2)*2/N13),P13),0)</f>
        <v/>
      </c>
      <c r="U13" s="204">
        <f>IFERROR(R13/M13,0)</f>
        <v/>
      </c>
      <c r="V13" s="204">
        <f>T13</f>
        <v/>
      </c>
      <c r="W13" s="204">
        <f>IF(L13&gt;0,L13,SUM(T13:V13))</f>
        <v/>
      </c>
      <c r="X13" s="205">
        <f>VLOOKUP(K13,$A$20:$C$27,3,0)</f>
        <v/>
      </c>
      <c r="Y13" s="204">
        <f>W13*X13</f>
        <v/>
      </c>
      <c r="AA13" s="241">
        <f>AA12+1</f>
        <v/>
      </c>
      <c r="AB13" s="203" t="inlineStr">
        <is>
          <t>RGV Running straight line</t>
        </is>
      </c>
      <c r="AC13" s="233" t="inlineStr">
        <is>
          <t>Straight segment 1</t>
        </is>
      </c>
      <c r="AD13" s="204">
        <f>IFERROR(VLOOKUP(AB13,'Master List'!$A:$D,2,0),0)</f>
        <v/>
      </c>
      <c r="AE13" s="204">
        <f>IFERROR(VLOOKUP(AB13,'Master List'!$A:$D,3,0),0)</f>
        <v/>
      </c>
      <c r="AF13" s="204">
        <f>IFERROR(VLOOKUP(AB13,'Master List'!$A:$D,4,0),0)</f>
        <v/>
      </c>
      <c r="AG13" s="205">
        <f>VLOOKUP(AC13,$A$20:$B$27,2,0)</f>
        <v/>
      </c>
      <c r="AH13" s="204">
        <f>IFERROR(AE13/AF13,0)</f>
        <v/>
      </c>
      <c r="AI13" s="204">
        <f>IFERROR(IF(AG13&lt;((1/2*AF13*AH13^2)*2),1/2*AF13*SQRT((AG13/2)*2/AF13)^2,1/2*AF13*AH13^2),0)</f>
        <v/>
      </c>
      <c r="AJ13" s="204">
        <f>IFERROR(IF(AG13-AI13-AK13&lt;=0,0,AG13-AI13-AK13),0)</f>
        <v/>
      </c>
      <c r="AK13" s="204">
        <f>AI13</f>
        <v/>
      </c>
      <c r="AL13" s="204">
        <f>IFERROR(IF(AG13&lt;((1/2*AF13*AH13^2)*2),SQRT((AG13/2)*2/AF13),AH13),0)</f>
        <v/>
      </c>
      <c r="AM13" s="204">
        <f>IFERROR(AJ13/AE13,0)</f>
        <v/>
      </c>
      <c r="AN13" s="204">
        <f>AL13</f>
        <v/>
      </c>
      <c r="AO13" s="204">
        <f>IF(AD13&gt;0,AD13,SUM(AL13:AN13))</f>
        <v/>
      </c>
      <c r="AP13" s="205">
        <f>VLOOKUP(AC13,$A$20:$C$27,3,0)</f>
        <v/>
      </c>
      <c r="AQ13" s="204">
        <f>AO13*AP13</f>
        <v/>
      </c>
    </row>
    <row r="14">
      <c r="B14" s="44">
        <f>SUM(B12:B13)</f>
        <v/>
      </c>
      <c r="I14" s="241">
        <f>I13+1</f>
        <v/>
      </c>
      <c r="J14" s="203" t="inlineStr">
        <is>
          <t>RGV Running straight line</t>
        </is>
      </c>
      <c r="K14" s="233" t="inlineStr">
        <is>
          <t>Straight segment 2</t>
        </is>
      </c>
      <c r="L14" s="204">
        <f>IFERROR(VLOOKUP(J14,'Master List'!$A:$D,2,0),0)</f>
        <v/>
      </c>
      <c r="M14" s="204">
        <f>IFERROR(VLOOKUP(J14,'Master List'!$A:$D,3,0),0)</f>
        <v/>
      </c>
      <c r="N14" s="204">
        <f>IFERROR(VLOOKUP(J14,'Master List'!$A:$D,4,0),0)</f>
        <v/>
      </c>
      <c r="O14" s="205">
        <f>VLOOKUP(K14,$A$20:$B$27,2,0)</f>
        <v/>
      </c>
      <c r="P14" s="204">
        <f>IFERROR(M14/N14,0)</f>
        <v/>
      </c>
      <c r="Q14" s="204">
        <f>IFERROR(IF(O14&lt;((1/2*N14*P14^2)*2),1/2*N14*SQRT((O14/2)*2/N14)^2,1/2*N14*P14^2),0)</f>
        <v/>
      </c>
      <c r="R14" s="204">
        <f>IFERROR(IF(O14-Q14-S14&lt;=0,0,O14-Q14-S14),0)</f>
        <v/>
      </c>
      <c r="S14" s="204">
        <f>Q14</f>
        <v/>
      </c>
      <c r="T14" s="204">
        <f>IFERROR(IF(O14&lt;((1/2*N14*P14^2)*2),SQRT((O14/2)*2/N14),P14),0)</f>
        <v/>
      </c>
      <c r="U14" s="204">
        <f>IFERROR(R14/M14,0)</f>
        <v/>
      </c>
      <c r="V14" s="204">
        <f>T14</f>
        <v/>
      </c>
      <c r="W14" s="204">
        <f>IF(L14&gt;0,L14,SUM(T14:V14))</f>
        <v/>
      </c>
      <c r="X14" s="205">
        <f>VLOOKUP(K14,$A$20:$C$27,3,0)</f>
        <v/>
      </c>
      <c r="Y14" s="204">
        <f>W14*X14</f>
        <v/>
      </c>
      <c r="AA14" s="241">
        <f>AA13+1</f>
        <v/>
      </c>
      <c r="AB14" s="203" t="inlineStr">
        <is>
          <t>RGV Running straight line</t>
        </is>
      </c>
      <c r="AC14" s="233" t="inlineStr">
        <is>
          <t>Straight segment 2</t>
        </is>
      </c>
      <c r="AD14" s="204">
        <f>IFERROR(VLOOKUP(AB14,'Master List'!$A:$D,2,0),0)</f>
        <v/>
      </c>
      <c r="AE14" s="204">
        <f>IFERROR(VLOOKUP(AB14,'Master List'!$A:$D,3,0),0)</f>
        <v/>
      </c>
      <c r="AF14" s="204">
        <f>IFERROR(VLOOKUP(AB14,'Master List'!$A:$D,4,0),0)</f>
        <v/>
      </c>
      <c r="AG14" s="205">
        <f>VLOOKUP(AC14,$A$20:$B$27,2,0)</f>
        <v/>
      </c>
      <c r="AH14" s="204">
        <f>IFERROR(AE14/AF14,0)</f>
        <v/>
      </c>
      <c r="AI14" s="204">
        <f>IFERROR(IF(AG14&lt;((1/2*AF14*AH14^2)*2),1/2*AF14*SQRT((AG14/2)*2/AF14)^2,1/2*AF14*AH14^2),0)</f>
        <v/>
      </c>
      <c r="AJ14" s="204">
        <f>IFERROR(IF(AG14-AI14-AK14&lt;=0,0,AG14-AI14-AK14),0)</f>
        <v/>
      </c>
      <c r="AK14" s="204">
        <f>AI14</f>
        <v/>
      </c>
      <c r="AL14" s="204">
        <f>IFERROR(IF(AG14&lt;((1/2*AF14*AH14^2)*2),SQRT((AG14/2)*2/AF14),AH14),0)</f>
        <v/>
      </c>
      <c r="AM14" s="204">
        <f>IFERROR(AJ14/AE14,0)</f>
        <v/>
      </c>
      <c r="AN14" s="204">
        <f>AL14</f>
        <v/>
      </c>
      <c r="AO14" s="204">
        <f>IF(AD14&gt;0,AD14,SUM(AL14:AN14))</f>
        <v/>
      </c>
      <c r="AP14" s="205">
        <f>VLOOKUP(AC14,$A$20:$C$27,3,0)</f>
        <v/>
      </c>
      <c r="AQ14" s="204">
        <f>AO14*AP14</f>
        <v/>
      </c>
    </row>
    <row r="15">
      <c r="I15" s="241">
        <f>I14+1</f>
        <v/>
      </c>
      <c r="J15" s="203" t="inlineStr">
        <is>
          <t>RGV Running straight line</t>
        </is>
      </c>
      <c r="K15" s="233" t="inlineStr">
        <is>
          <t>Straight segment 3</t>
        </is>
      </c>
      <c r="L15" s="204">
        <f>IFERROR(VLOOKUP(J15,'Master List'!$A:$D,2,0),0)</f>
        <v/>
      </c>
      <c r="M15" s="204">
        <f>IFERROR(VLOOKUP(J15,'Master List'!$A:$D,3,0),0)</f>
        <v/>
      </c>
      <c r="N15" s="204">
        <f>IFERROR(VLOOKUP(J15,'Master List'!$A:$D,4,0),0)</f>
        <v/>
      </c>
      <c r="O15" s="205">
        <f>VLOOKUP(K15,$A$20:$B$27,2,0)</f>
        <v/>
      </c>
      <c r="P15" s="204">
        <f>IFERROR(M15/N15,0)</f>
        <v/>
      </c>
      <c r="Q15" s="204">
        <f>IFERROR(IF(O15&lt;((1/2*N15*P15^2)*2),1/2*N15*SQRT((O15/2)*2/N15)^2,1/2*N15*P15^2),0)</f>
        <v/>
      </c>
      <c r="R15" s="204">
        <f>IFERROR(IF(O15-Q15-S15&lt;=0,0,O15-Q15-S15),0)</f>
        <v/>
      </c>
      <c r="S15" s="204">
        <f>Q15</f>
        <v/>
      </c>
      <c r="T15" s="204">
        <f>IFERROR(IF(O15&lt;((1/2*N15*P15^2)*2),SQRT((O15/2)*2/N15),P15),0)</f>
        <v/>
      </c>
      <c r="U15" s="204">
        <f>IFERROR(R15/M15,0)</f>
        <v/>
      </c>
      <c r="V15" s="204">
        <f>T15</f>
        <v/>
      </c>
      <c r="W15" s="204">
        <f>IF(L15&gt;0,L15,SUM(T15:V15))</f>
        <v/>
      </c>
      <c r="X15" s="205">
        <f>VLOOKUP(K15,$A$20:$C$27,3,0)</f>
        <v/>
      </c>
      <c r="Y15" s="204">
        <f>W15*X15</f>
        <v/>
      </c>
      <c r="AA15" s="241">
        <f>AA14+1</f>
        <v/>
      </c>
      <c r="AB15" s="203" t="inlineStr">
        <is>
          <t>RGV Running straight line</t>
        </is>
      </c>
      <c r="AC15" s="233" t="inlineStr">
        <is>
          <t>Straight segment 3</t>
        </is>
      </c>
      <c r="AD15" s="204">
        <f>IFERROR(VLOOKUP(AB15,'Master List'!$A:$D,2,0),0)</f>
        <v/>
      </c>
      <c r="AE15" s="204">
        <f>IFERROR(VLOOKUP(AB15,'Master List'!$A:$D,3,0),0)</f>
        <v/>
      </c>
      <c r="AF15" s="204">
        <f>IFERROR(VLOOKUP(AB15,'Master List'!$A:$D,4,0),0)</f>
        <v/>
      </c>
      <c r="AG15" s="205">
        <f>VLOOKUP(AC15,$A$20:$B$27,2,0)</f>
        <v/>
      </c>
      <c r="AH15" s="204">
        <f>IFERROR(AE15/AF15,0)</f>
        <v/>
      </c>
      <c r="AI15" s="204">
        <f>IFERROR(IF(AG15&lt;((1/2*AF15*AH15^2)*2),1/2*AF15*SQRT((AG15/2)*2/AF15)^2,1/2*AF15*AH15^2),0)</f>
        <v/>
      </c>
      <c r="AJ15" s="204">
        <f>IFERROR(IF(AG15-AI15-AK15&lt;=0,0,AG15-AI15-AK15),0)</f>
        <v/>
      </c>
      <c r="AK15" s="204">
        <f>AI15</f>
        <v/>
      </c>
      <c r="AL15" s="204">
        <f>IFERROR(IF(AG15&lt;((1/2*AF15*AH15^2)*2),SQRT((AG15/2)*2/AF15),AH15),0)</f>
        <v/>
      </c>
      <c r="AM15" s="204">
        <f>IFERROR(AJ15/AE15,0)</f>
        <v/>
      </c>
      <c r="AN15" s="204">
        <f>AL15</f>
        <v/>
      </c>
      <c r="AO15" s="204">
        <f>IF(AD15&gt;0,AD15,SUM(AL15:AN15))</f>
        <v/>
      </c>
      <c r="AP15" s="205">
        <f>VLOOKUP(AC15,$A$20:$C$27,3,0)</f>
        <v/>
      </c>
      <c r="AQ15" s="204">
        <f>AO15*AP15</f>
        <v/>
      </c>
    </row>
    <row r="16">
      <c r="A16" s="79" t="inlineStr">
        <is>
          <t>Throughput required (Pallets per Hr)</t>
        </is>
      </c>
      <c r="B16" s="86" t="n">
        <v>120</v>
      </c>
      <c r="I16" s="241">
        <f>I15+1</f>
        <v/>
      </c>
      <c r="J16" s="203" t="inlineStr">
        <is>
          <t>RGV Running straight line</t>
        </is>
      </c>
      <c r="K16" s="233" t="inlineStr">
        <is>
          <t>Straight segment 4</t>
        </is>
      </c>
      <c r="L16" s="204">
        <f>IFERROR(VLOOKUP(J16,'Master List'!$A:$D,2,0),0)</f>
        <v/>
      </c>
      <c r="M16" s="204">
        <f>IFERROR(VLOOKUP(J16,'Master List'!$A:$D,3,0),0)</f>
        <v/>
      </c>
      <c r="N16" s="204">
        <f>IFERROR(VLOOKUP(J16,'Master List'!$A:$D,4,0),0)</f>
        <v/>
      </c>
      <c r="O16" s="205">
        <f>VLOOKUP(K16,$A$20:$B$27,2,0)</f>
        <v/>
      </c>
      <c r="P16" s="204">
        <f>IFERROR(M16/N16,0)</f>
        <v/>
      </c>
      <c r="Q16" s="204">
        <f>IFERROR(IF(O16&lt;((1/2*N16*P16^2)*2),1/2*N16*SQRT((O16/2)*2/N16)^2,1/2*N16*P16^2),0)</f>
        <v/>
      </c>
      <c r="R16" s="204">
        <f>IFERROR(IF(O16-Q16-S16&lt;=0,0,O16-Q16-S16),0)</f>
        <v/>
      </c>
      <c r="S16" s="204">
        <f>Q16</f>
        <v/>
      </c>
      <c r="T16" s="204">
        <f>IFERROR(IF(O16&lt;((1/2*N16*P16^2)*2),SQRT((O16/2)*2/N16),P16),0)</f>
        <v/>
      </c>
      <c r="U16" s="204">
        <f>IFERROR(R16/M16,0)</f>
        <v/>
      </c>
      <c r="V16" s="204">
        <f>T16</f>
        <v/>
      </c>
      <c r="W16" s="204">
        <f>IF(L16&gt;0,L16,SUM(T16:V16))</f>
        <v/>
      </c>
      <c r="X16" s="205">
        <f>VLOOKUP(K16,$A$20:$C$27,3,0)</f>
        <v/>
      </c>
      <c r="Y16" s="204">
        <f>W16*X16</f>
        <v/>
      </c>
      <c r="AA16" s="241">
        <f>AA15+1</f>
        <v/>
      </c>
      <c r="AB16" s="203" t="inlineStr">
        <is>
          <t>RGV Running straight line</t>
        </is>
      </c>
      <c r="AC16" s="233" t="inlineStr">
        <is>
          <t>Straight segment 4</t>
        </is>
      </c>
      <c r="AD16" s="204">
        <f>IFERROR(VLOOKUP(AB16,'Master List'!$A:$D,2,0),0)</f>
        <v/>
      </c>
      <c r="AE16" s="204">
        <f>IFERROR(VLOOKUP(AB16,'Master List'!$A:$D,3,0),0)</f>
        <v/>
      </c>
      <c r="AF16" s="204">
        <f>IFERROR(VLOOKUP(AB16,'Master List'!$A:$D,4,0),0)</f>
        <v/>
      </c>
      <c r="AG16" s="205">
        <f>VLOOKUP(AC16,$A$20:$B$27,2,0)</f>
        <v/>
      </c>
      <c r="AH16" s="204">
        <f>IFERROR(AE16/AF16,0)</f>
        <v/>
      </c>
      <c r="AI16" s="204">
        <f>IFERROR(IF(AG16&lt;((1/2*AF16*AH16^2)*2),1/2*AF16*SQRT((AG16/2)*2/AF16)^2,1/2*AF16*AH16^2),0)</f>
        <v/>
      </c>
      <c r="AJ16" s="204">
        <f>IFERROR(IF(AG16-AI16-AK16&lt;=0,0,AG16-AI16-AK16),0)</f>
        <v/>
      </c>
      <c r="AK16" s="204">
        <f>AI16</f>
        <v/>
      </c>
      <c r="AL16" s="204">
        <f>IFERROR(IF(AG16&lt;((1/2*AF16*AH16^2)*2),SQRT((AG16/2)*2/AF16),AH16),0)</f>
        <v/>
      </c>
      <c r="AM16" s="204">
        <f>IFERROR(AJ16/AE16,0)</f>
        <v/>
      </c>
      <c r="AN16" s="204">
        <f>AL16</f>
        <v/>
      </c>
      <c r="AO16" s="204">
        <f>IF(AD16&gt;0,AD16,SUM(AL16:AN16))</f>
        <v/>
      </c>
      <c r="AP16" s="205">
        <f>VLOOKUP(AC16,$A$20:$C$27,3,0)</f>
        <v/>
      </c>
      <c r="AQ16" s="204">
        <f>AO16*AP16</f>
        <v/>
      </c>
    </row>
    <row r="17">
      <c r="A17" s="79" t="inlineStr">
        <is>
          <t>Traffic factor</t>
        </is>
      </c>
      <c r="B17" s="95" t="n">
        <v>0.15</v>
      </c>
      <c r="I17" s="241">
        <f>I16+1</f>
        <v/>
      </c>
      <c r="J17" s="203" t="inlineStr">
        <is>
          <t>RGV Running straight line</t>
        </is>
      </c>
      <c r="K17" s="233" t="inlineStr">
        <is>
          <t>Straight segment 5</t>
        </is>
      </c>
      <c r="L17" s="204">
        <f>IFERROR(VLOOKUP(J17,'Master List'!$A:$D,2,0),0)</f>
        <v/>
      </c>
      <c r="M17" s="204">
        <f>IFERROR(VLOOKUP(J17,'Master List'!$A:$D,3,0),0)</f>
        <v/>
      </c>
      <c r="N17" s="204">
        <f>IFERROR(VLOOKUP(J17,'Master List'!$A:$D,4,0),0)</f>
        <v/>
      </c>
      <c r="O17" s="205">
        <f>VLOOKUP(K17,$A$20:$B$27,2,0)</f>
        <v/>
      </c>
      <c r="P17" s="204">
        <f>IFERROR(M17/N17,0)</f>
        <v/>
      </c>
      <c r="Q17" s="204">
        <f>IFERROR(IF(O17&lt;((1/2*N17*P17^2)*2),1/2*N17*SQRT((O17/2)*2/N17)^2,1/2*N17*P17^2),0)</f>
        <v/>
      </c>
      <c r="R17" s="204">
        <f>IFERROR(IF(O17-Q17-S17&lt;=0,0,O17-Q17-S17),0)</f>
        <v/>
      </c>
      <c r="S17" s="204">
        <f>Q17</f>
        <v/>
      </c>
      <c r="T17" s="204">
        <f>IFERROR(IF(O17&lt;((1/2*N17*P17^2)*2),SQRT((O17/2)*2/N17),P17),0)</f>
        <v/>
      </c>
      <c r="U17" s="204">
        <f>IFERROR(R17/M17,0)</f>
        <v/>
      </c>
      <c r="V17" s="204">
        <f>T17</f>
        <v/>
      </c>
      <c r="W17" s="204">
        <f>IF(L17&gt;0,L17,SUM(T17:V17))</f>
        <v/>
      </c>
      <c r="X17" s="205">
        <f>VLOOKUP(K17,$A$20:$C$27,3,0)</f>
        <v/>
      </c>
      <c r="Y17" s="204">
        <f>W17*X17</f>
        <v/>
      </c>
      <c r="AA17" s="241">
        <f>AA16+1</f>
        <v/>
      </c>
      <c r="AB17" s="203" t="inlineStr">
        <is>
          <t>RGV Running straight line</t>
        </is>
      </c>
      <c r="AC17" s="233" t="inlineStr">
        <is>
          <t>Straight segment 5</t>
        </is>
      </c>
      <c r="AD17" s="204">
        <f>IFERROR(VLOOKUP(AB17,'Master List'!$A:$D,2,0),0)</f>
        <v/>
      </c>
      <c r="AE17" s="204">
        <f>IFERROR(VLOOKUP(AB17,'Master List'!$A:$D,3,0),0)</f>
        <v/>
      </c>
      <c r="AF17" s="204">
        <f>IFERROR(VLOOKUP(AB17,'Master List'!$A:$D,4,0),0)</f>
        <v/>
      </c>
      <c r="AG17" s="205">
        <f>VLOOKUP(AC17,$A$20:$B$27,2,0)</f>
        <v/>
      </c>
      <c r="AH17" s="204">
        <f>IFERROR(AE17/AF17,0)</f>
        <v/>
      </c>
      <c r="AI17" s="204">
        <f>IFERROR(IF(AG17&lt;((1/2*AF17*AH17^2)*2),1/2*AF17*SQRT((AG17/2)*2/AF17)^2,1/2*AF17*AH17^2),0)</f>
        <v/>
      </c>
      <c r="AJ17" s="204">
        <f>IFERROR(IF(AG17-AI17-AK17&lt;=0,0,AG17-AI17-AK17),0)</f>
        <v/>
      </c>
      <c r="AK17" s="204">
        <f>AI17</f>
        <v/>
      </c>
      <c r="AL17" s="204">
        <f>IFERROR(IF(AG17&lt;((1/2*AF17*AH17^2)*2),SQRT((AG17/2)*2/AF17),AH17),0)</f>
        <v/>
      </c>
      <c r="AM17" s="204">
        <f>IFERROR(AJ17/AE17,0)</f>
        <v/>
      </c>
      <c r="AN17" s="204">
        <f>AL17</f>
        <v/>
      </c>
      <c r="AO17" s="204">
        <f>IF(AD17&gt;0,AD17,SUM(AL17:AN17))</f>
        <v/>
      </c>
      <c r="AP17" s="205">
        <f>VLOOKUP(AC17,$A$20:$C$27,3,0)</f>
        <v/>
      </c>
      <c r="AQ17" s="204">
        <f>AO17*AP17</f>
        <v/>
      </c>
    </row>
    <row r="18" ht="14.5" customHeight="1" s="516">
      <c r="I18" s="241">
        <f>I17+1</f>
        <v/>
      </c>
      <c r="J18" s="203" t="inlineStr">
        <is>
          <t>RGV Running straight line</t>
        </is>
      </c>
      <c r="K18" s="233" t="inlineStr">
        <is>
          <t>Straight segment 6</t>
        </is>
      </c>
      <c r="L18" s="204">
        <f>IFERROR(VLOOKUP(J18,'Master List'!$A:$D,2,0),0)</f>
        <v/>
      </c>
      <c r="M18" s="204">
        <f>IFERROR(VLOOKUP(J18,'Master List'!$A:$D,3,0),0)</f>
        <v/>
      </c>
      <c r="N18" s="204">
        <f>IFERROR(VLOOKUP(J18,'Master List'!$A:$D,4,0),0)</f>
        <v/>
      </c>
      <c r="O18" s="205">
        <f>VLOOKUP(K18,$A$20:$B$27,2,0)</f>
        <v/>
      </c>
      <c r="P18" s="204">
        <f>IFERROR(M18/N18,0)</f>
        <v/>
      </c>
      <c r="Q18" s="204">
        <f>IFERROR(IF(O18&lt;((1/2*N18*P18^2)*2),1/2*N18*SQRT((O18/2)*2/N18)^2,1/2*N18*P18^2),0)</f>
        <v/>
      </c>
      <c r="R18" s="204">
        <f>IFERROR(IF(O18-Q18-S18&lt;=0,0,O18-Q18-S18),0)</f>
        <v/>
      </c>
      <c r="S18" s="204">
        <f>Q18</f>
        <v/>
      </c>
      <c r="T18" s="204">
        <f>IFERROR(IF(O18&lt;((1/2*N18*P18^2)*2),SQRT((O18/2)*2/N18),P18),0)</f>
        <v/>
      </c>
      <c r="U18" s="204">
        <f>IFERROR(R18/M18,0)</f>
        <v/>
      </c>
      <c r="V18" s="204">
        <f>T18</f>
        <v/>
      </c>
      <c r="W18" s="204">
        <f>IF(L18&gt;0,L18,SUM(T18:V18))</f>
        <v/>
      </c>
      <c r="X18" s="205">
        <f>VLOOKUP(K18,$A$20:$C$27,3,0)</f>
        <v/>
      </c>
      <c r="Y18" s="204">
        <f>W18*X18</f>
        <v/>
      </c>
      <c r="AA18" s="241">
        <f>AA17+1</f>
        <v/>
      </c>
      <c r="AB18" s="203" t="inlineStr">
        <is>
          <t>RGV Running straight line</t>
        </is>
      </c>
      <c r="AC18" s="233" t="inlineStr">
        <is>
          <t>Straight segment 6</t>
        </is>
      </c>
      <c r="AD18" s="204">
        <f>IFERROR(VLOOKUP(AB18,'Master List'!$A:$D,2,0),0)</f>
        <v/>
      </c>
      <c r="AE18" s="204">
        <f>IFERROR(VLOOKUP(AB18,'Master List'!$A:$D,3,0),0)</f>
        <v/>
      </c>
      <c r="AF18" s="204">
        <f>IFERROR(VLOOKUP(AB18,'Master List'!$A:$D,4,0),0)</f>
        <v/>
      </c>
      <c r="AG18" s="205">
        <f>VLOOKUP(AC18,$A$20:$B$27,2,0)</f>
        <v/>
      </c>
      <c r="AH18" s="204">
        <f>IFERROR(AE18/AF18,0)</f>
        <v/>
      </c>
      <c r="AI18" s="204">
        <f>IFERROR(IF(AG18&lt;((1/2*AF18*AH18^2)*2),1/2*AF18*SQRT((AG18/2)*2/AF18)^2,1/2*AF18*AH18^2),0)</f>
        <v/>
      </c>
      <c r="AJ18" s="204">
        <f>IFERROR(IF(AG18-AI18-AK18&lt;=0,0,AG18-AI18-AK18),0)</f>
        <v/>
      </c>
      <c r="AK18" s="204">
        <f>AI18</f>
        <v/>
      </c>
      <c r="AL18" s="204">
        <f>IFERROR(IF(AG18&lt;((1/2*AF18*AH18^2)*2),SQRT((AG18/2)*2/AF18),AH18),0)</f>
        <v/>
      </c>
      <c r="AM18" s="204">
        <f>IFERROR(AJ18/AE18,0)</f>
        <v/>
      </c>
      <c r="AN18" s="204">
        <f>AL18</f>
        <v/>
      </c>
      <c r="AO18" s="204">
        <f>IF(AD18&gt;0,AD18,SUM(AL18:AN18))</f>
        <v/>
      </c>
      <c r="AP18" s="205">
        <f>VLOOKUP(AC18,$A$20:$C$27,3,0)</f>
        <v/>
      </c>
      <c r="AQ18" s="204">
        <f>AO18*AP18</f>
        <v/>
      </c>
    </row>
    <row r="19">
      <c r="A19" s="80" t="inlineStr">
        <is>
          <t>Straight segment in RGV loop</t>
        </is>
      </c>
      <c r="B19" s="81" t="inlineStr">
        <is>
          <t>Distance in M</t>
        </is>
      </c>
      <c r="C19" s="81" t="inlineStr">
        <is>
          <t>Number of segments</t>
        </is>
      </c>
      <c r="I19" s="241">
        <f>I18+1</f>
        <v/>
      </c>
      <c r="J19" s="203" t="inlineStr">
        <is>
          <t>RGV Running straight line</t>
        </is>
      </c>
      <c r="K19" s="233" t="inlineStr">
        <is>
          <t>Straight segment 7</t>
        </is>
      </c>
      <c r="L19" s="204">
        <f>IFERROR(VLOOKUP(J19,'Master List'!$A:$D,2,0),0)</f>
        <v/>
      </c>
      <c r="M19" s="398">
        <f>IFERROR(VLOOKUP(J19,'Master List'!$A:$D,3,0),0)/2</f>
        <v/>
      </c>
      <c r="N19" s="204">
        <f>IFERROR(VLOOKUP(J19,'Master List'!$A:$D,4,0),0)</f>
        <v/>
      </c>
      <c r="O19" s="205">
        <f>VLOOKUP(K19,$A$20:$B$27,2,0)</f>
        <v/>
      </c>
      <c r="P19" s="204">
        <f>IFERROR(M19/N19,0)</f>
        <v/>
      </c>
      <c r="Q19" s="204">
        <f>IFERROR(IF(O19&lt;((1/2*N19*P19^2)*2),1/2*N19*SQRT((O19/2)*2/N19)^2,1/2*N19*P19^2),0)</f>
        <v/>
      </c>
      <c r="R19" s="204">
        <f>IFERROR(IF(O19-Q19-S19&lt;=0,0,O19-Q19-S19),0)</f>
        <v/>
      </c>
      <c r="S19" s="204">
        <f>Q19</f>
        <v/>
      </c>
      <c r="T19" s="204">
        <f>IFERROR(IF(O19&lt;((1/2*N19*P19^2)*2),SQRT((O19/2)*2/N19),P19),0)</f>
        <v/>
      </c>
      <c r="U19" s="204">
        <f>IFERROR(R19/M19,0)</f>
        <v/>
      </c>
      <c r="V19" s="204">
        <f>T19</f>
        <v/>
      </c>
      <c r="W19" s="204">
        <f>IF(L19&gt;0,L19,SUM(T19:V19))</f>
        <v/>
      </c>
      <c r="X19" s="205">
        <f>VLOOKUP(K19,$A$20:$C$27,3,0)</f>
        <v/>
      </c>
      <c r="Y19" s="204">
        <f>W19*X19</f>
        <v/>
      </c>
      <c r="AA19" s="241">
        <f>AA18+1</f>
        <v/>
      </c>
      <c r="AB19" s="203" t="inlineStr">
        <is>
          <t>RGV Running straight line</t>
        </is>
      </c>
      <c r="AC19" s="233" t="inlineStr">
        <is>
          <t>Straight segment 7</t>
        </is>
      </c>
      <c r="AD19" s="204">
        <f>IFERROR(VLOOKUP(AB19,'Master List'!$A:$D,2,0),0)</f>
        <v/>
      </c>
      <c r="AE19" s="204">
        <f>IFERROR(VLOOKUP(AB19,'Master List'!$A:$D,3,0),0)</f>
        <v/>
      </c>
      <c r="AF19" s="204">
        <f>IFERROR(VLOOKUP(AB19,'Master List'!$A:$D,4,0),0)</f>
        <v/>
      </c>
      <c r="AG19" s="205">
        <f>VLOOKUP(AC19,$A$20:$B$27,2,0)</f>
        <v/>
      </c>
      <c r="AH19" s="204">
        <f>IFERROR(AE19/AF19,0)</f>
        <v/>
      </c>
      <c r="AI19" s="204">
        <f>IFERROR(IF(AG19&lt;((1/2*AF19*AH19^2)*2),1/2*AF19*SQRT((AG19/2)*2/AF19)^2,1/2*AF19*AH19^2),0)</f>
        <v/>
      </c>
      <c r="AJ19" s="204">
        <f>IFERROR(IF(AG19-AI19-AK19&lt;=0,0,AG19-AI19-AK19),0)</f>
        <v/>
      </c>
      <c r="AK19" s="204">
        <f>AI19</f>
        <v/>
      </c>
      <c r="AL19" s="204">
        <f>IFERROR(IF(AG19&lt;((1/2*AF19*AH19^2)*2),SQRT((AG19/2)*2/AF19),AH19),0)</f>
        <v/>
      </c>
      <c r="AM19" s="204">
        <f>IFERROR(AJ19/AE19,0)</f>
        <v/>
      </c>
      <c r="AN19" s="204">
        <f>AL19</f>
        <v/>
      </c>
      <c r="AO19" s="204">
        <f>IF(AD19&gt;0,AD19,SUM(AL19:AN19))</f>
        <v/>
      </c>
      <c r="AP19" s="205">
        <f>VLOOKUP(AC19,$A$20:$C$27,3,0)</f>
        <v/>
      </c>
      <c r="AQ19" s="204">
        <f>AO19*AP19</f>
        <v/>
      </c>
    </row>
    <row r="20">
      <c r="A20" s="79" t="inlineStr">
        <is>
          <t>Straight segment 1</t>
        </is>
      </c>
      <c r="B20" s="86" t="n">
        <v>5</v>
      </c>
      <c r="C20" s="86" t="n">
        <v>1</v>
      </c>
      <c r="I20" s="241">
        <f>I19+1</f>
        <v/>
      </c>
      <c r="J20" s="203" t="inlineStr">
        <is>
          <t>RGV Running straight line</t>
        </is>
      </c>
      <c r="K20" s="233" t="inlineStr">
        <is>
          <t>Straight segment 8</t>
        </is>
      </c>
      <c r="L20" s="204">
        <f>IFERROR(VLOOKUP(J20,'Master List'!$A:$D,2,0),0)</f>
        <v/>
      </c>
      <c r="M20" s="398">
        <f>IFERROR(VLOOKUP(J20,'Master List'!$A:$D,3,0),0)/2</f>
        <v/>
      </c>
      <c r="N20" s="204">
        <f>IFERROR(VLOOKUP(J20,'Master List'!$A:$D,4,0),0)</f>
        <v/>
      </c>
      <c r="O20" s="205">
        <f>VLOOKUP(K20,$A$20:$B$27,2,0)</f>
        <v/>
      </c>
      <c r="P20" s="204">
        <f>IFERROR(M20/N20,0)</f>
        <v/>
      </c>
      <c r="Q20" s="204">
        <f>IFERROR(IF(O20&lt;((1/2*N20*P20^2)*2),1/2*N20*SQRT((O20/2)*2/N20)^2,1/2*N20*P20^2),0)</f>
        <v/>
      </c>
      <c r="R20" s="204">
        <f>IFERROR(IF(O20-Q20-S20&lt;=0,0,O20-Q20-S20),0)</f>
        <v/>
      </c>
      <c r="S20" s="204">
        <f>Q20</f>
        <v/>
      </c>
      <c r="T20" s="204">
        <f>IFERROR(IF(O20&lt;((1/2*N20*P20^2)*2),SQRT((O20/2)*2/N20),P20),0)</f>
        <v/>
      </c>
      <c r="U20" s="204">
        <f>IFERROR(R20/M20,0)</f>
        <v/>
      </c>
      <c r="V20" s="204">
        <f>T20</f>
        <v/>
      </c>
      <c r="W20" s="204">
        <f>IF(L20&gt;0,L20,SUM(T20:V20))</f>
        <v/>
      </c>
      <c r="X20" s="205">
        <f>VLOOKUP(K20,$A$20:$C$27,3,0)</f>
        <v/>
      </c>
      <c r="Y20" s="204">
        <f>W20*X20</f>
        <v/>
      </c>
      <c r="AA20" s="241">
        <f>AA19+1</f>
        <v/>
      </c>
      <c r="AB20" s="203" t="inlineStr">
        <is>
          <t>RGV Running straight line</t>
        </is>
      </c>
      <c r="AC20" s="233" t="inlineStr">
        <is>
          <t>Straight segment 8</t>
        </is>
      </c>
      <c r="AD20" s="204">
        <f>IFERROR(VLOOKUP(AB20,'Master List'!$A:$D,2,0),0)</f>
        <v/>
      </c>
      <c r="AE20" s="204">
        <f>IFERROR(VLOOKUP(AB20,'Master List'!$A:$D,3,0),0)</f>
        <v/>
      </c>
      <c r="AF20" s="204">
        <f>IFERROR(VLOOKUP(AB20,'Master List'!$A:$D,4,0),0)</f>
        <v/>
      </c>
      <c r="AG20" s="205">
        <f>VLOOKUP(AC20,$A$20:$B$27,2,0)</f>
        <v/>
      </c>
      <c r="AH20" s="204">
        <f>IFERROR(AE20/AF20,0)</f>
        <v/>
      </c>
      <c r="AI20" s="204">
        <f>IFERROR(IF(AG20&lt;((1/2*AF20*AH20^2)*2),1/2*AF20*SQRT((AG20/2)*2/AF20)^2,1/2*AF20*AH20^2),0)</f>
        <v/>
      </c>
      <c r="AJ20" s="204">
        <f>IFERROR(IF(AG20-AI20-AK20&lt;=0,0,AG20-AI20-AK20),0)</f>
        <v/>
      </c>
      <c r="AK20" s="204">
        <f>AI20</f>
        <v/>
      </c>
      <c r="AL20" s="204">
        <f>IFERROR(IF(AG20&lt;((1/2*AF20*AH20^2)*2),SQRT((AG20/2)*2/AF20),AH20),0)</f>
        <v/>
      </c>
      <c r="AM20" s="204">
        <f>IFERROR(AJ20/AE20,0)</f>
        <v/>
      </c>
      <c r="AN20" s="204">
        <f>AL20</f>
        <v/>
      </c>
      <c r="AO20" s="204">
        <f>IF(AD20&gt;0,AD20,SUM(AL20:AN20))</f>
        <v/>
      </c>
      <c r="AP20" s="205">
        <f>VLOOKUP(AC20,$A$20:$C$27,3,0)</f>
        <v/>
      </c>
      <c r="AQ20" s="204">
        <f>AO20*AP20</f>
        <v/>
      </c>
    </row>
    <row r="21">
      <c r="A21" s="79" t="inlineStr">
        <is>
          <t>Straight segment 2</t>
        </is>
      </c>
      <c r="B21" s="86" t="n">
        <v>7</v>
      </c>
      <c r="C21" s="86" t="n">
        <v>2</v>
      </c>
      <c r="I21" s="241">
        <f>I20+1</f>
        <v/>
      </c>
      <c r="J21" s="203" t="inlineStr">
        <is>
          <t>RGV Running Curve</t>
        </is>
      </c>
      <c r="K21" s="233" t="inlineStr">
        <is>
          <t>Curve segment 1</t>
        </is>
      </c>
      <c r="L21" s="204">
        <f>IFERROR(VLOOKUP(J21,'Master List'!$A:$D,2,0),0)</f>
        <v/>
      </c>
      <c r="M21" s="204">
        <f>IFERROR(VLOOKUP(J21,'Master List'!$A:$D,3,0),0)</f>
        <v/>
      </c>
      <c r="N21" s="204">
        <f>IFERROR(VLOOKUP(J21,'Master List'!$A:$D,4,0),0)</f>
        <v/>
      </c>
      <c r="O21" s="205">
        <f>VLOOKUP(K21,$A$30:$E$37,5,0)</f>
        <v/>
      </c>
      <c r="P21" s="204">
        <f>IFERROR(M21/N21,0)</f>
        <v/>
      </c>
      <c r="Q21" s="204">
        <f>IFERROR(IF(O21&lt;((1/2*N21*P21^2)*2),1/2*N21*SQRT((O21/2)*2/N21)^2,1/2*N21*P21^2),0)</f>
        <v/>
      </c>
      <c r="R21" s="204">
        <f>IFERROR(IF(O21-Q21-S21&lt;=0,0,O21-Q21-S21),0)</f>
        <v/>
      </c>
      <c r="S21" s="204">
        <f>Q21</f>
        <v/>
      </c>
      <c r="T21" s="204">
        <f>IFERROR(IF(O21&lt;((1/2*N21*P21^2)*2),SQRT((O21/2)*2/N21),P21),0)</f>
        <v/>
      </c>
      <c r="U21" s="204">
        <f>IFERROR(R21/M21,0)</f>
        <v/>
      </c>
      <c r="V21" s="204">
        <f>T21</f>
        <v/>
      </c>
      <c r="W21" s="204">
        <f>IF(L21&gt;0,L21,SUM(T21:V21))</f>
        <v/>
      </c>
      <c r="X21" s="205">
        <f>VLOOKUP(K21,$A$30:$D$37,4,0)</f>
        <v/>
      </c>
      <c r="Y21" s="204">
        <f>W21*X21</f>
        <v/>
      </c>
      <c r="AA21" s="241">
        <f>AA20+1</f>
        <v/>
      </c>
      <c r="AB21" s="203" t="inlineStr">
        <is>
          <t>RGV Running Curve</t>
        </is>
      </c>
      <c r="AC21" s="233" t="inlineStr">
        <is>
          <t>Curve segment 1</t>
        </is>
      </c>
      <c r="AD21" s="204">
        <f>IFERROR(VLOOKUP(AB21,'Master List'!$A:$D,2,0),0)</f>
        <v/>
      </c>
      <c r="AE21" s="204">
        <f>IFERROR(VLOOKUP(AB21,'Master List'!$A:$D,3,0),0)</f>
        <v/>
      </c>
      <c r="AF21" s="204">
        <f>IFERROR(VLOOKUP(AB21,'Master List'!$A:$D,4,0),0)</f>
        <v/>
      </c>
      <c r="AG21" s="205">
        <f>VLOOKUP(AC21,$A$30:$E$37,5,0)</f>
        <v/>
      </c>
      <c r="AH21" s="204">
        <f>IFERROR(AE21/AF21,0)</f>
        <v/>
      </c>
      <c r="AI21" s="204">
        <f>IFERROR(IF(AG21&lt;((1/2*AF21*AH21^2)*2),1/2*AF21*SQRT((AG21/2)*2/AF21)^2,1/2*AF21*AH21^2),0)</f>
        <v/>
      </c>
      <c r="AJ21" s="204">
        <f>IFERROR(IF(AG21-AI21-AK21&lt;=0,0,AG21-AI21-AK21),0)</f>
        <v/>
      </c>
      <c r="AK21" s="204">
        <f>AI21</f>
        <v/>
      </c>
      <c r="AL21" s="204">
        <f>IFERROR(IF(AG21&lt;((1/2*AF21*AH21^2)*2),SQRT((AG21/2)*2/AF21),AH21),0)</f>
        <v/>
      </c>
      <c r="AM21" s="204">
        <f>IFERROR(AJ21/AE21,0)</f>
        <v/>
      </c>
      <c r="AN21" s="204">
        <f>AL21</f>
        <v/>
      </c>
      <c r="AO21" s="204">
        <f>IF(AD21&gt;0,AD21,SUM(AL21:AN21))</f>
        <v/>
      </c>
      <c r="AP21" s="205">
        <f>VLOOKUP(AC21,$A$30:$D$37,4,0)</f>
        <v/>
      </c>
      <c r="AQ21" s="204">
        <f>AO21*AP21</f>
        <v/>
      </c>
    </row>
    <row r="22">
      <c r="A22" s="79" t="inlineStr">
        <is>
          <t>Straight segment 3</t>
        </is>
      </c>
      <c r="B22" s="86" t="n">
        <v>20</v>
      </c>
      <c r="C22" s="86" t="n">
        <v>1</v>
      </c>
      <c r="I22" s="241">
        <f>I21+1</f>
        <v/>
      </c>
      <c r="J22" s="203" t="inlineStr">
        <is>
          <t>RGV Running Curve</t>
        </is>
      </c>
      <c r="K22" s="233" t="inlineStr">
        <is>
          <t>Curve segment 2</t>
        </is>
      </c>
      <c r="L22" s="204">
        <f>IFERROR(VLOOKUP(J22,'Master List'!$A:$D,2,0),0)</f>
        <v/>
      </c>
      <c r="M22" s="204">
        <f>IFERROR(VLOOKUP(J22,'Master List'!$A:$D,3,0),0)</f>
        <v/>
      </c>
      <c r="N22" s="204">
        <f>IFERROR(VLOOKUP(J22,'Master List'!$A:$D,4,0),0)</f>
        <v/>
      </c>
      <c r="O22" s="205">
        <f>VLOOKUP(K22,$A$30:$E$37,5,0)</f>
        <v/>
      </c>
      <c r="P22" s="204">
        <f>IFERROR(M22/N22,0)</f>
        <v/>
      </c>
      <c r="Q22" s="204">
        <f>IFERROR(IF(O22&lt;((1/2*N22*P22^2)*2),1/2*N22*SQRT((O22/2)*2/N22)^2,1/2*N22*P22^2),0)</f>
        <v/>
      </c>
      <c r="R22" s="204">
        <f>IFERROR(IF(O22-Q22-S22&lt;=0,0,O22-Q22-S22),0)</f>
        <v/>
      </c>
      <c r="S22" s="204">
        <f>Q22</f>
        <v/>
      </c>
      <c r="T22" s="204">
        <f>IFERROR(IF(O22&lt;((1/2*N22*P22^2)*2),SQRT((O22/2)*2/N22),P22),0)</f>
        <v/>
      </c>
      <c r="U22" s="204">
        <f>IFERROR(R22/M22,0)</f>
        <v/>
      </c>
      <c r="V22" s="204">
        <f>T22</f>
        <v/>
      </c>
      <c r="W22" s="204">
        <f>IF(L22&gt;0,L22,SUM(T22:V22))</f>
        <v/>
      </c>
      <c r="X22" s="205">
        <f>VLOOKUP(K22,$A$30:$D$37,4,0)</f>
        <v/>
      </c>
      <c r="Y22" s="204">
        <f>W22*X22</f>
        <v/>
      </c>
      <c r="AA22" s="241">
        <f>AA21+1</f>
        <v/>
      </c>
      <c r="AB22" s="203" t="inlineStr">
        <is>
          <t>RGV Running Curve</t>
        </is>
      </c>
      <c r="AC22" s="233" t="inlineStr">
        <is>
          <t>Curve segment 2</t>
        </is>
      </c>
      <c r="AD22" s="204">
        <f>IFERROR(VLOOKUP(AB22,'Master List'!$A:$D,2,0),0)</f>
        <v/>
      </c>
      <c r="AE22" s="204">
        <f>IFERROR(VLOOKUP(AB22,'Master List'!$A:$D,3,0),0)</f>
        <v/>
      </c>
      <c r="AF22" s="204">
        <f>IFERROR(VLOOKUP(AB22,'Master List'!$A:$D,4,0),0)</f>
        <v/>
      </c>
      <c r="AG22" s="205">
        <f>VLOOKUP(AC22,$A$30:$E$37,5,0)</f>
        <v/>
      </c>
      <c r="AH22" s="204">
        <f>IFERROR(AE22/AF22,0)</f>
        <v/>
      </c>
      <c r="AI22" s="204">
        <f>IFERROR(IF(AG22&lt;((1/2*AF22*AH22^2)*2),1/2*AF22*SQRT((AG22/2)*2/AF22)^2,1/2*AF22*AH22^2),0)</f>
        <v/>
      </c>
      <c r="AJ22" s="204">
        <f>IFERROR(IF(AG22-AI22-AK22&lt;=0,0,AG22-AI22-AK22),0)</f>
        <v/>
      </c>
      <c r="AK22" s="204">
        <f>AI22</f>
        <v/>
      </c>
      <c r="AL22" s="204">
        <f>IFERROR(IF(AG22&lt;((1/2*AF22*AH22^2)*2),SQRT((AG22/2)*2/AF22),AH22),0)</f>
        <v/>
      </c>
      <c r="AM22" s="204">
        <f>IFERROR(AJ22/AE22,0)</f>
        <v/>
      </c>
      <c r="AN22" s="204">
        <f>AL22</f>
        <v/>
      </c>
      <c r="AO22" s="204">
        <f>IF(AD22&gt;0,AD22,SUM(AL22:AN22))</f>
        <v/>
      </c>
      <c r="AP22" s="205">
        <f>VLOOKUP(AC22,$A$30:$D$37,4,0)</f>
        <v/>
      </c>
      <c r="AQ22" s="204">
        <f>AO22*AP22</f>
        <v/>
      </c>
    </row>
    <row r="23">
      <c r="A23" s="79" t="inlineStr">
        <is>
          <t>Straight segment 4</t>
        </is>
      </c>
      <c r="B23" s="86">
        <f>50</f>
        <v/>
      </c>
      <c r="C23" s="86" t="n">
        <v>1</v>
      </c>
      <c r="I23" s="241">
        <f>I22+1</f>
        <v/>
      </c>
      <c r="J23" s="203" t="inlineStr">
        <is>
          <t>RGV Running Curve</t>
        </is>
      </c>
      <c r="K23" s="233" t="inlineStr">
        <is>
          <t>Curve segment 3</t>
        </is>
      </c>
      <c r="L23" s="204">
        <f>IFERROR(VLOOKUP(J23,'Master List'!$A:$D,2,0),0)</f>
        <v/>
      </c>
      <c r="M23" s="204">
        <f>IFERROR(VLOOKUP(J23,'Master List'!$A:$D,3,0),0)</f>
        <v/>
      </c>
      <c r="N23" s="204">
        <f>IFERROR(VLOOKUP(J23,'Master List'!$A:$D,4,0),0)</f>
        <v/>
      </c>
      <c r="O23" s="205">
        <f>VLOOKUP(K23,$A$30:$E$37,5,0)</f>
        <v/>
      </c>
      <c r="P23" s="204">
        <f>IFERROR(M23/N23,0)</f>
        <v/>
      </c>
      <c r="Q23" s="204">
        <f>IFERROR(IF(O23&lt;((1/2*N23*P23^2)*2),1/2*N23*SQRT((O23/2)*2/N23)^2,1/2*N23*P23^2),0)</f>
        <v/>
      </c>
      <c r="R23" s="204">
        <f>IFERROR(IF(O23-Q23-S23&lt;=0,0,O23-Q23-S23),0)</f>
        <v/>
      </c>
      <c r="S23" s="204">
        <f>Q23</f>
        <v/>
      </c>
      <c r="T23" s="204">
        <f>IFERROR(IF(O23&lt;((1/2*N23*P23^2)*2),SQRT((O23/2)*2/N23),P23),0)</f>
        <v/>
      </c>
      <c r="U23" s="204">
        <f>IFERROR(R23/M23,0)</f>
        <v/>
      </c>
      <c r="V23" s="204">
        <f>T23</f>
        <v/>
      </c>
      <c r="W23" s="204">
        <f>IF(L23&gt;0,L23,SUM(T23:V23))</f>
        <v/>
      </c>
      <c r="X23" s="205">
        <f>VLOOKUP(K23,$A$30:$D$37,4,0)</f>
        <v/>
      </c>
      <c r="Y23" s="204">
        <f>W23*X23</f>
        <v/>
      </c>
      <c r="AA23" s="241">
        <f>AA22+1</f>
        <v/>
      </c>
      <c r="AB23" s="203" t="inlineStr">
        <is>
          <t>RGV Running Curve</t>
        </is>
      </c>
      <c r="AC23" s="233" t="inlineStr">
        <is>
          <t>Curve segment 3</t>
        </is>
      </c>
      <c r="AD23" s="204">
        <f>IFERROR(VLOOKUP(AB23,'Master List'!$A:$D,2,0),0)</f>
        <v/>
      </c>
      <c r="AE23" s="204">
        <f>IFERROR(VLOOKUP(AB23,'Master List'!$A:$D,3,0),0)</f>
        <v/>
      </c>
      <c r="AF23" s="204">
        <f>IFERROR(VLOOKUP(AB23,'Master List'!$A:$D,4,0),0)</f>
        <v/>
      </c>
      <c r="AG23" s="205">
        <f>VLOOKUP(AC23,$A$30:$E$37,5,0)</f>
        <v/>
      </c>
      <c r="AH23" s="204">
        <f>IFERROR(AE23/AF23,0)</f>
        <v/>
      </c>
      <c r="AI23" s="204">
        <f>IFERROR(IF(AG23&lt;((1/2*AF23*AH23^2)*2),1/2*AF23*SQRT((AG23/2)*2/AF23)^2,1/2*AF23*AH23^2),0)</f>
        <v/>
      </c>
      <c r="AJ23" s="204">
        <f>IFERROR(IF(AG23-AI23-AK23&lt;=0,0,AG23-AI23-AK23),0)</f>
        <v/>
      </c>
      <c r="AK23" s="204">
        <f>AI23</f>
        <v/>
      </c>
      <c r="AL23" s="204">
        <f>IFERROR(IF(AG23&lt;((1/2*AF23*AH23^2)*2),SQRT((AG23/2)*2/AF23),AH23),0)</f>
        <v/>
      </c>
      <c r="AM23" s="204">
        <f>IFERROR(AJ23/AE23,0)</f>
        <v/>
      </c>
      <c r="AN23" s="204">
        <f>AL23</f>
        <v/>
      </c>
      <c r="AO23" s="204">
        <f>IF(AD23&gt;0,AD23,SUM(AL23:AN23))</f>
        <v/>
      </c>
      <c r="AP23" s="205">
        <f>VLOOKUP(AC23,$A$30:$D$37,4,0)</f>
        <v/>
      </c>
      <c r="AQ23" s="204">
        <f>AO23*AP23</f>
        <v/>
      </c>
    </row>
    <row r="24">
      <c r="A24" s="79" t="inlineStr">
        <is>
          <t>Straight segment 5</t>
        </is>
      </c>
      <c r="B24" s="86" t="n"/>
      <c r="C24" s="86" t="n"/>
      <c r="I24" s="241">
        <f>I23+1</f>
        <v/>
      </c>
      <c r="J24" s="203" t="inlineStr">
        <is>
          <t>RGV Running Curve</t>
        </is>
      </c>
      <c r="K24" s="233" t="inlineStr">
        <is>
          <t>Curve segment 4</t>
        </is>
      </c>
      <c r="L24" s="204">
        <f>IFERROR(VLOOKUP(J24,'Master List'!$A:$D,2,0),0)</f>
        <v/>
      </c>
      <c r="M24" s="204">
        <f>IFERROR(VLOOKUP(J24,'Master List'!$A:$D,3,0),0)</f>
        <v/>
      </c>
      <c r="N24" s="204">
        <f>IFERROR(VLOOKUP(J24,'Master List'!$A:$D,4,0),0)</f>
        <v/>
      </c>
      <c r="O24" s="205">
        <f>VLOOKUP(K24,$A$30:$E$37,5,0)</f>
        <v/>
      </c>
      <c r="P24" s="204">
        <f>IFERROR(M24/N24,0)</f>
        <v/>
      </c>
      <c r="Q24" s="204">
        <f>IFERROR(IF(O24&lt;((1/2*N24*P24^2)*2),1/2*N24*SQRT((O24/2)*2/N24)^2,1/2*N24*P24^2),0)</f>
        <v/>
      </c>
      <c r="R24" s="204">
        <f>IFERROR(IF(O24-Q24-S24&lt;=0,0,O24-Q24-S24),0)</f>
        <v/>
      </c>
      <c r="S24" s="204">
        <f>Q24</f>
        <v/>
      </c>
      <c r="T24" s="204">
        <f>IFERROR(IF(O24&lt;((1/2*N24*P24^2)*2),SQRT((O24/2)*2/N24),P24),0)</f>
        <v/>
      </c>
      <c r="U24" s="204">
        <f>IFERROR(R24/M24,0)</f>
        <v/>
      </c>
      <c r="V24" s="204">
        <f>T24</f>
        <v/>
      </c>
      <c r="W24" s="204">
        <f>IF(L24&gt;0,L24,SUM(T24:V24))</f>
        <v/>
      </c>
      <c r="X24" s="205">
        <f>VLOOKUP(K24,$A$30:$D$37,4,0)</f>
        <v/>
      </c>
      <c r="Y24" s="204">
        <f>W24*X24</f>
        <v/>
      </c>
      <c r="AA24" s="241">
        <f>AA23+1</f>
        <v/>
      </c>
      <c r="AB24" s="203" t="inlineStr">
        <is>
          <t>RGV Running Curve</t>
        </is>
      </c>
      <c r="AC24" s="233" t="inlineStr">
        <is>
          <t>Curve segment 4</t>
        </is>
      </c>
      <c r="AD24" s="204">
        <f>IFERROR(VLOOKUP(AB24,'Master List'!$A:$D,2,0),0)</f>
        <v/>
      </c>
      <c r="AE24" s="204">
        <f>IFERROR(VLOOKUP(AB24,'Master List'!$A:$D,3,0),0)</f>
        <v/>
      </c>
      <c r="AF24" s="204">
        <f>IFERROR(VLOOKUP(AB24,'Master List'!$A:$D,4,0),0)</f>
        <v/>
      </c>
      <c r="AG24" s="205">
        <f>VLOOKUP(AC24,$A$30:$E$37,5,0)</f>
        <v/>
      </c>
      <c r="AH24" s="204">
        <f>IFERROR(AE24/AF24,0)</f>
        <v/>
      </c>
      <c r="AI24" s="204">
        <f>IFERROR(IF(AG24&lt;((1/2*AF24*AH24^2)*2),1/2*AF24*SQRT((AG24/2)*2/AF24)^2,1/2*AF24*AH24^2),0)</f>
        <v/>
      </c>
      <c r="AJ24" s="204">
        <f>IFERROR(IF(AG24-AI24-AK24&lt;=0,0,AG24-AI24-AK24),0)</f>
        <v/>
      </c>
      <c r="AK24" s="204">
        <f>AI24</f>
        <v/>
      </c>
      <c r="AL24" s="204">
        <f>IFERROR(IF(AG24&lt;((1/2*AF24*AH24^2)*2),SQRT((AG24/2)*2/AF24),AH24),0)</f>
        <v/>
      </c>
      <c r="AM24" s="204">
        <f>IFERROR(AJ24/AE24,0)</f>
        <v/>
      </c>
      <c r="AN24" s="204">
        <f>AL24</f>
        <v/>
      </c>
      <c r="AO24" s="204">
        <f>IF(AD24&gt;0,AD24,SUM(AL24:AN24))</f>
        <v/>
      </c>
      <c r="AP24" s="205">
        <f>VLOOKUP(AC24,$A$30:$D$37,4,0)</f>
        <v/>
      </c>
      <c r="AQ24" s="204">
        <f>AO24*AP24</f>
        <v/>
      </c>
    </row>
    <row r="25">
      <c r="A25" s="79" t="inlineStr">
        <is>
          <t>Straight segment 6</t>
        </is>
      </c>
      <c r="B25" s="86" t="n"/>
      <c r="C25" s="86" t="n"/>
      <c r="I25" s="241">
        <f>I24+1</f>
        <v/>
      </c>
      <c r="J25" s="203" t="inlineStr">
        <is>
          <t>RGV Running Curve</t>
        </is>
      </c>
      <c r="K25" s="233" t="inlineStr">
        <is>
          <t>Curve segment 5</t>
        </is>
      </c>
      <c r="L25" s="204">
        <f>IFERROR(VLOOKUP(J25,'Master List'!$A:$D,2,0),0)</f>
        <v/>
      </c>
      <c r="M25" s="204">
        <f>IFERROR(VLOOKUP(J25,'Master List'!$A:$D,3,0),0)</f>
        <v/>
      </c>
      <c r="N25" s="204">
        <f>IFERROR(VLOOKUP(J25,'Master List'!$A:$D,4,0),0)</f>
        <v/>
      </c>
      <c r="O25" s="205">
        <f>VLOOKUP(K25,$A$30:$E$37,5,0)</f>
        <v/>
      </c>
      <c r="P25" s="204">
        <f>IFERROR(M25/N25,0)</f>
        <v/>
      </c>
      <c r="Q25" s="204">
        <f>IFERROR(IF(O25&lt;((1/2*N25*P25^2)*2),1/2*N25*SQRT((O25/2)*2/N25)^2,1/2*N25*P25^2),0)</f>
        <v/>
      </c>
      <c r="R25" s="204">
        <f>IFERROR(IF(O25-Q25-S25&lt;=0,0,O25-Q25-S25),0)</f>
        <v/>
      </c>
      <c r="S25" s="204">
        <f>Q25</f>
        <v/>
      </c>
      <c r="T25" s="204">
        <f>IFERROR(IF(O25&lt;((1/2*N25*P25^2)*2),SQRT((O25/2)*2/N25),P25),0)</f>
        <v/>
      </c>
      <c r="U25" s="204">
        <f>IFERROR(R25/M25,0)</f>
        <v/>
      </c>
      <c r="V25" s="204">
        <f>T25</f>
        <v/>
      </c>
      <c r="W25" s="204">
        <f>IF(L25&gt;0,L25,SUM(T25:V25))</f>
        <v/>
      </c>
      <c r="X25" s="205">
        <f>VLOOKUP(K25,$A$30:$D$37,4,0)</f>
        <v/>
      </c>
      <c r="Y25" s="204">
        <f>W25*X25</f>
        <v/>
      </c>
      <c r="AA25" s="241">
        <f>AA24+1</f>
        <v/>
      </c>
      <c r="AB25" s="203" t="inlineStr">
        <is>
          <t>RGV Running Curve</t>
        </is>
      </c>
      <c r="AC25" s="233" t="inlineStr">
        <is>
          <t>Curve segment 5</t>
        </is>
      </c>
      <c r="AD25" s="204">
        <f>IFERROR(VLOOKUP(AB25,'Master List'!$A:$D,2,0),0)</f>
        <v/>
      </c>
      <c r="AE25" s="204">
        <f>IFERROR(VLOOKUP(AB25,'Master List'!$A:$D,3,0),0)</f>
        <v/>
      </c>
      <c r="AF25" s="204">
        <f>IFERROR(VLOOKUP(AB25,'Master List'!$A:$D,4,0),0)</f>
        <v/>
      </c>
      <c r="AG25" s="205">
        <f>VLOOKUP(AC25,$A$30:$E$37,5,0)</f>
        <v/>
      </c>
      <c r="AH25" s="204">
        <f>IFERROR(AE25/AF25,0)</f>
        <v/>
      </c>
      <c r="AI25" s="204">
        <f>IFERROR(IF(AG25&lt;((1/2*AF25*AH25^2)*2),1/2*AF25*SQRT((AG25/2)*2/AF25)^2,1/2*AF25*AH25^2),0)</f>
        <v/>
      </c>
      <c r="AJ25" s="204">
        <f>IFERROR(IF(AG25-AI25-AK25&lt;=0,0,AG25-AI25-AK25),0)</f>
        <v/>
      </c>
      <c r="AK25" s="204">
        <f>AI25</f>
        <v/>
      </c>
      <c r="AL25" s="204">
        <f>IFERROR(IF(AG25&lt;((1/2*AF25*AH25^2)*2),SQRT((AG25/2)*2/AF25),AH25),0)</f>
        <v/>
      </c>
      <c r="AM25" s="204">
        <f>IFERROR(AJ25/AE25,0)</f>
        <v/>
      </c>
      <c r="AN25" s="204">
        <f>AL25</f>
        <v/>
      </c>
      <c r="AO25" s="204">
        <f>IF(AD25&gt;0,AD25,SUM(AL25:AN25))</f>
        <v/>
      </c>
      <c r="AP25" s="205">
        <f>VLOOKUP(AC25,$A$30:$D$37,4,0)</f>
        <v/>
      </c>
      <c r="AQ25" s="204">
        <f>AO25*AP25</f>
        <v/>
      </c>
    </row>
    <row r="26">
      <c r="A26" s="79" t="inlineStr">
        <is>
          <t>Straight segment 7</t>
        </is>
      </c>
      <c r="B26" s="86" t="n"/>
      <c r="C26" s="86" t="n"/>
      <c r="D26" t="inlineStr">
        <is>
          <t>Use this for segment between ASRS</t>
        </is>
      </c>
      <c r="I26" s="241">
        <f>I25+1</f>
        <v/>
      </c>
      <c r="J26" s="203" t="inlineStr">
        <is>
          <t>RGV Running Curve</t>
        </is>
      </c>
      <c r="K26" s="233" t="inlineStr">
        <is>
          <t>Curve segment 6</t>
        </is>
      </c>
      <c r="L26" s="204">
        <f>IFERROR(VLOOKUP(J26,'Master List'!$A:$D,2,0),0)</f>
        <v/>
      </c>
      <c r="M26" s="204">
        <f>IFERROR(VLOOKUP(J26,'Master List'!$A:$D,3,0),0)</f>
        <v/>
      </c>
      <c r="N26" s="204">
        <f>IFERROR(VLOOKUP(J26,'Master List'!$A:$D,4,0),0)</f>
        <v/>
      </c>
      <c r="O26" s="205">
        <f>VLOOKUP(K26,$A$30:$E$37,5,0)</f>
        <v/>
      </c>
      <c r="P26" s="204">
        <f>IFERROR(M26/N26,0)</f>
        <v/>
      </c>
      <c r="Q26" s="204">
        <f>IFERROR(IF(O26&lt;((1/2*N26*P26^2)*2),1/2*N26*SQRT((O26/2)*2/N26)^2,1/2*N26*P26^2),0)</f>
        <v/>
      </c>
      <c r="R26" s="204">
        <f>IFERROR(IF(O26-Q26-S26&lt;=0,0,O26-Q26-S26),0)</f>
        <v/>
      </c>
      <c r="S26" s="204">
        <f>Q26</f>
        <v/>
      </c>
      <c r="T26" s="204">
        <f>IFERROR(IF(O26&lt;((1/2*N26*P26^2)*2),SQRT((O26/2)*2/N26),P26),0)</f>
        <v/>
      </c>
      <c r="U26" s="204">
        <f>IFERROR(R26/M26,0)</f>
        <v/>
      </c>
      <c r="V26" s="204">
        <f>T26</f>
        <v/>
      </c>
      <c r="W26" s="204">
        <f>IF(L26&gt;0,L26,SUM(T26:V26))</f>
        <v/>
      </c>
      <c r="X26" s="205">
        <f>VLOOKUP(K26,$A$30:$D$37,4,0)</f>
        <v/>
      </c>
      <c r="Y26" s="204">
        <f>W26*X26</f>
        <v/>
      </c>
      <c r="AA26" s="241">
        <f>AA25+1</f>
        <v/>
      </c>
      <c r="AB26" s="203" t="inlineStr">
        <is>
          <t>RGV Running Curve</t>
        </is>
      </c>
      <c r="AC26" s="233" t="inlineStr">
        <is>
          <t>Curve segment 6</t>
        </is>
      </c>
      <c r="AD26" s="204">
        <f>IFERROR(VLOOKUP(AB26,'Master List'!$A:$D,2,0),0)</f>
        <v/>
      </c>
      <c r="AE26" s="204">
        <f>IFERROR(VLOOKUP(AB26,'Master List'!$A:$D,3,0),0)</f>
        <v/>
      </c>
      <c r="AF26" s="204">
        <f>IFERROR(VLOOKUP(AB26,'Master List'!$A:$D,4,0),0)</f>
        <v/>
      </c>
      <c r="AG26" s="205">
        <f>VLOOKUP(AC26,$A$30:$E$37,5,0)</f>
        <v/>
      </c>
      <c r="AH26" s="204">
        <f>IFERROR(AE26/AF26,0)</f>
        <v/>
      </c>
      <c r="AI26" s="204">
        <f>IFERROR(IF(AG26&lt;((1/2*AF26*AH26^2)*2),1/2*AF26*SQRT((AG26/2)*2/AF26)^2,1/2*AF26*AH26^2),0)</f>
        <v/>
      </c>
      <c r="AJ26" s="204">
        <f>IFERROR(IF(AG26-AI26-AK26&lt;=0,0,AG26-AI26-AK26),0)</f>
        <v/>
      </c>
      <c r="AK26" s="204">
        <f>AI26</f>
        <v/>
      </c>
      <c r="AL26" s="204">
        <f>IFERROR(IF(AG26&lt;((1/2*AF26*AH26^2)*2),SQRT((AG26/2)*2/AF26),AH26),0)</f>
        <v/>
      </c>
      <c r="AM26" s="204">
        <f>IFERROR(AJ26/AE26,0)</f>
        <v/>
      </c>
      <c r="AN26" s="204">
        <f>AL26</f>
        <v/>
      </c>
      <c r="AO26" s="204">
        <f>IF(AD26&gt;0,AD26,SUM(AL26:AN26))</f>
        <v/>
      </c>
      <c r="AP26" s="205">
        <f>VLOOKUP(AC26,$A$30:$D$37,4,0)</f>
        <v/>
      </c>
      <c r="AQ26" s="204">
        <f>AO26*AP26</f>
        <v/>
      </c>
    </row>
    <row r="27">
      <c r="A27" s="79" t="inlineStr">
        <is>
          <t>Straight segment 8</t>
        </is>
      </c>
      <c r="B27" s="86" t="n"/>
      <c r="C27" s="86" t="n"/>
      <c r="D27" t="inlineStr">
        <is>
          <t>Use this for segment between two Inbound points</t>
        </is>
      </c>
      <c r="I27" s="241">
        <f>I26+1</f>
        <v/>
      </c>
      <c r="J27" s="203" t="inlineStr">
        <is>
          <t>RGV Running Curve</t>
        </is>
      </c>
      <c r="K27" s="233" t="inlineStr">
        <is>
          <t>Curve segment 7</t>
        </is>
      </c>
      <c r="L27" s="204">
        <f>IFERROR(VLOOKUP(J27,'Master List'!$A:$D,2,0),0)</f>
        <v/>
      </c>
      <c r="M27" s="204">
        <f>IFERROR(VLOOKUP(J27,'Master List'!$A:$D,3,0),0)</f>
        <v/>
      </c>
      <c r="N27" s="204">
        <f>IFERROR(VLOOKUP(J27,'Master List'!$A:$D,4,0),0)</f>
        <v/>
      </c>
      <c r="O27" s="205">
        <f>VLOOKUP(K27,$A$30:$E$37,5,0)</f>
        <v/>
      </c>
      <c r="P27" s="204">
        <f>IFERROR(M27/N27,0)</f>
        <v/>
      </c>
      <c r="Q27" s="204">
        <f>IFERROR(IF(O27&lt;((1/2*N27*P27^2)*2),1/2*N27*SQRT((O27/2)*2/N27)^2,1/2*N27*P27^2),0)</f>
        <v/>
      </c>
      <c r="R27" s="204">
        <f>IFERROR(IF(O27-Q27-S27&lt;=0,0,O27-Q27-S27),0)</f>
        <v/>
      </c>
      <c r="S27" s="204">
        <f>Q27</f>
        <v/>
      </c>
      <c r="T27" s="204">
        <f>IFERROR(IF(O27&lt;((1/2*N27*P27^2)*2),SQRT((O27/2)*2/N27),P27),0)</f>
        <v/>
      </c>
      <c r="U27" s="204">
        <f>IFERROR(R27/M27,0)</f>
        <v/>
      </c>
      <c r="V27" s="204">
        <f>T27</f>
        <v/>
      </c>
      <c r="W27" s="204">
        <f>IF(L27&gt;0,L27,SUM(T27:V27))</f>
        <v/>
      </c>
      <c r="X27" s="205">
        <f>VLOOKUP(K27,$A$30:$D$37,4,0)</f>
        <v/>
      </c>
      <c r="Y27" s="204">
        <f>W27*X27</f>
        <v/>
      </c>
      <c r="AA27" s="241">
        <f>AA26+1</f>
        <v/>
      </c>
      <c r="AB27" s="203" t="inlineStr">
        <is>
          <t>RGV Running Curve</t>
        </is>
      </c>
      <c r="AC27" s="233" t="inlineStr">
        <is>
          <t>Curve segment 7</t>
        </is>
      </c>
      <c r="AD27" s="204">
        <f>IFERROR(VLOOKUP(AB27,'Master List'!$A:$D,2,0),0)</f>
        <v/>
      </c>
      <c r="AE27" s="204">
        <f>IFERROR(VLOOKUP(AB27,'Master List'!$A:$D,3,0),0)</f>
        <v/>
      </c>
      <c r="AF27" s="204">
        <f>IFERROR(VLOOKUP(AB27,'Master List'!$A:$D,4,0),0)</f>
        <v/>
      </c>
      <c r="AG27" s="205">
        <f>VLOOKUP(AC27,$A$30:$E$37,5,0)</f>
        <v/>
      </c>
      <c r="AH27" s="204">
        <f>IFERROR(AE27/AF27,0)</f>
        <v/>
      </c>
      <c r="AI27" s="204">
        <f>IFERROR(IF(AG27&lt;((1/2*AF27*AH27^2)*2),1/2*AF27*SQRT((AG27/2)*2/AF27)^2,1/2*AF27*AH27^2),0)</f>
        <v/>
      </c>
      <c r="AJ27" s="204">
        <f>IFERROR(IF(AG27-AI27-AK27&lt;=0,0,AG27-AI27-AK27),0)</f>
        <v/>
      </c>
      <c r="AK27" s="204">
        <f>AI27</f>
        <v/>
      </c>
      <c r="AL27" s="204">
        <f>IFERROR(IF(AG27&lt;((1/2*AF27*AH27^2)*2),SQRT((AG27/2)*2/AF27),AH27),0)</f>
        <v/>
      </c>
      <c r="AM27" s="204">
        <f>IFERROR(AJ27/AE27,0)</f>
        <v/>
      </c>
      <c r="AN27" s="204">
        <f>AL27</f>
        <v/>
      </c>
      <c r="AO27" s="204">
        <f>IF(AD27&gt;0,AD27,SUM(AL27:AN27))</f>
        <v/>
      </c>
      <c r="AP27" s="205">
        <f>VLOOKUP(AC27,$A$30:$D$37,4,0)</f>
        <v/>
      </c>
      <c r="AQ27" s="204">
        <f>AO27*AP27</f>
        <v/>
      </c>
    </row>
    <row r="28">
      <c r="I28" s="241">
        <f>I27+1</f>
        <v/>
      </c>
      <c r="J28" s="203" t="inlineStr">
        <is>
          <t>RGV Running Curve</t>
        </is>
      </c>
      <c r="K28" s="233" t="inlineStr">
        <is>
          <t>Curve segment 8</t>
        </is>
      </c>
      <c r="L28" s="204">
        <f>IFERROR(VLOOKUP(J28,'Master List'!$A:$D,2,0),0)</f>
        <v/>
      </c>
      <c r="M28" s="204">
        <f>IFERROR(VLOOKUP(J28,'Master List'!$A:$D,3,0),0)</f>
        <v/>
      </c>
      <c r="N28" s="204">
        <f>IFERROR(VLOOKUP(J28,'Master List'!$A:$D,4,0),0)</f>
        <v/>
      </c>
      <c r="O28" s="205">
        <f>VLOOKUP(K28,$A$30:$E$37,5,0)</f>
        <v/>
      </c>
      <c r="P28" s="204">
        <f>IFERROR(M28/N28,0)</f>
        <v/>
      </c>
      <c r="Q28" s="204">
        <f>IFERROR(IF(O28&lt;((1/2*N28*P28^2)*2),1/2*N28*SQRT((O28/2)*2/N28)^2,1/2*N28*P28^2),0)</f>
        <v/>
      </c>
      <c r="R28" s="204">
        <f>IFERROR(IF(O28-Q28-S28&lt;=0,0,O28-Q28-S28),0)</f>
        <v/>
      </c>
      <c r="S28" s="204">
        <f>Q28</f>
        <v/>
      </c>
      <c r="T28" s="204">
        <f>IFERROR(IF(O28&lt;((1/2*N28*P28^2)*2),SQRT((O28/2)*2/N28),P28),0)</f>
        <v/>
      </c>
      <c r="U28" s="204">
        <f>IFERROR(R28/M28,0)</f>
        <v/>
      </c>
      <c r="V28" s="204">
        <f>T28</f>
        <v/>
      </c>
      <c r="W28" s="204">
        <f>IF(L28&gt;0,L28,SUM(T28:V28))</f>
        <v/>
      </c>
      <c r="X28" s="205">
        <f>VLOOKUP(K28,$A$30:$D$37,4,0)</f>
        <v/>
      </c>
      <c r="Y28" s="204">
        <f>W28*X28</f>
        <v/>
      </c>
      <c r="AA28" s="241">
        <f>AA27+1</f>
        <v/>
      </c>
      <c r="AB28" s="203" t="inlineStr">
        <is>
          <t>RGV Running Curve</t>
        </is>
      </c>
      <c r="AC28" s="233" t="inlineStr">
        <is>
          <t>Curve segment 8</t>
        </is>
      </c>
      <c r="AD28" s="204">
        <f>IFERROR(VLOOKUP(AB28,'Master List'!$A:$D,2,0),0)</f>
        <v/>
      </c>
      <c r="AE28" s="204">
        <f>IFERROR(VLOOKUP(AB28,'Master List'!$A:$D,3,0),0)</f>
        <v/>
      </c>
      <c r="AF28" s="204">
        <f>IFERROR(VLOOKUP(AB28,'Master List'!$A:$D,4,0),0)</f>
        <v/>
      </c>
      <c r="AG28" s="205">
        <f>VLOOKUP(AC28,$A$30:$E$37,5,0)</f>
        <v/>
      </c>
      <c r="AH28" s="204">
        <f>IFERROR(AE28/AF28,0)</f>
        <v/>
      </c>
      <c r="AI28" s="204">
        <f>IFERROR(IF(AG28&lt;((1/2*AF28*AH28^2)*2),1/2*AF28*SQRT((AG28/2)*2/AF28)^2,1/2*AF28*AH28^2),0)</f>
        <v/>
      </c>
      <c r="AJ28" s="204">
        <f>IFERROR(IF(AG28-AI28-AK28&lt;=0,0,AG28-AI28-AK28),0)</f>
        <v/>
      </c>
      <c r="AK28" s="204">
        <f>AI28</f>
        <v/>
      </c>
      <c r="AL28" s="204">
        <f>IFERROR(IF(AG28&lt;((1/2*AF28*AH28^2)*2),SQRT((AG28/2)*2/AF28),AH28),0)</f>
        <v/>
      </c>
      <c r="AM28" s="204">
        <f>IFERROR(AJ28/AE28,0)</f>
        <v/>
      </c>
      <c r="AN28" s="204">
        <f>AL28</f>
        <v/>
      </c>
      <c r="AO28" s="204">
        <f>IF(AD28&gt;0,AD28,SUM(AL28:AN28))</f>
        <v/>
      </c>
      <c r="AP28" s="205">
        <f>VLOOKUP(AC28,$A$30:$D$37,4,0)</f>
        <v/>
      </c>
      <c r="AQ28" s="204">
        <f>AO28*AP28</f>
        <v/>
      </c>
    </row>
    <row r="29">
      <c r="A29" s="80" t="inlineStr">
        <is>
          <t>Curve segment in RGV loop</t>
        </is>
      </c>
      <c r="B29" s="80" t="inlineStr">
        <is>
          <t>Radius in M</t>
        </is>
      </c>
      <c r="C29" s="80" t="inlineStr">
        <is>
          <t>Curve (º)</t>
        </is>
      </c>
      <c r="D29" s="80" t="inlineStr">
        <is>
          <t>Number of segments</t>
        </is>
      </c>
      <c r="E29" s="98" t="inlineStr">
        <is>
          <t>Distance travelled</t>
        </is>
      </c>
      <c r="F29" s="100" t="n"/>
      <c r="G29" s="100" t="n"/>
      <c r="I29" s="241">
        <f>I28+1</f>
        <v/>
      </c>
      <c r="J29" s="203" t="n"/>
      <c r="K29" s="209" t="n"/>
      <c r="L29" s="204">
        <f>IFERROR(VLOOKUP(J29,'Master List'!$A:$D,2,0),0)</f>
        <v/>
      </c>
      <c r="M29" s="204">
        <f>IFERROR(VLOOKUP(J29,'Master List'!$A:$D,3,0),0)</f>
        <v/>
      </c>
      <c r="N29" s="204">
        <f>IFERROR(VLOOKUP(J29,'Master List'!$A:$D,4,0),0)</f>
        <v/>
      </c>
      <c r="O29" s="205" t="n"/>
      <c r="P29" s="204">
        <f>IFERROR(M29/N29,0)</f>
        <v/>
      </c>
      <c r="Q29" s="204">
        <f>IFERROR(IF(O29&lt;((1/2*N29*P29^2)*2),1/2*N29*SQRT((O29/2)*2/N29)^2,1/2*N29*P29^2),0)</f>
        <v/>
      </c>
      <c r="R29" s="204">
        <f>IFERROR(IF(O29-Q29-S29&lt;=0,0,O29-Q29-S29),0)</f>
        <v/>
      </c>
      <c r="S29" s="204">
        <f>Q29</f>
        <v/>
      </c>
      <c r="T29" s="204">
        <f>IFERROR(IF(O29&lt;((1/2*N29*P29^2)*2),SQRT((O29/2)*2/N29),P29),0)</f>
        <v/>
      </c>
      <c r="U29" s="204">
        <f>IFERROR(R29/M29,0)</f>
        <v/>
      </c>
      <c r="V29" s="204">
        <f>T29</f>
        <v/>
      </c>
      <c r="W29" s="204">
        <f>IF(L29&gt;0,L29,SUM(T29:V29))</f>
        <v/>
      </c>
      <c r="X29" s="205" t="n"/>
      <c r="Y29" s="204">
        <f>W29*X29</f>
        <v/>
      </c>
      <c r="AA29" s="241">
        <f>AA28+1</f>
        <v/>
      </c>
      <c r="AB29" s="203" t="n"/>
      <c r="AC29" s="209" t="n"/>
      <c r="AD29" s="204">
        <f>IFERROR(VLOOKUP(AB29,'Master List'!$A:$D,2,0),0)</f>
        <v/>
      </c>
      <c r="AE29" s="204">
        <f>IFERROR(VLOOKUP(AB29,'Master List'!$A:$D,3,0),0)</f>
        <v/>
      </c>
      <c r="AF29" s="204">
        <f>IFERROR(VLOOKUP(AB29,'Master List'!$A:$D,4,0),0)</f>
        <v/>
      </c>
      <c r="AG29" s="205" t="n"/>
      <c r="AH29" s="204">
        <f>IFERROR(AE29/AF29,0)</f>
        <v/>
      </c>
      <c r="AI29" s="204">
        <f>IFERROR(IF(AG29&lt;((1/2*AF29*AH29^2)*2),1/2*AF29*SQRT((AG29/2)*2/AF29)^2,1/2*AF29*AH29^2),0)</f>
        <v/>
      </c>
      <c r="AJ29" s="204">
        <f>IFERROR(IF(AG29-AI29-AK29&lt;=0,0,AG29-AI29-AK29),0)</f>
        <v/>
      </c>
      <c r="AK29" s="204">
        <f>AI29</f>
        <v/>
      </c>
      <c r="AL29" s="204">
        <f>IFERROR(IF(AG29&lt;((1/2*AF29*AH29^2)*2),SQRT((AG29/2)*2/AF29),AH29),0)</f>
        <v/>
      </c>
      <c r="AM29" s="204">
        <f>IFERROR(AJ29/AE29,0)</f>
        <v/>
      </c>
      <c r="AN29" s="204">
        <f>AL29</f>
        <v/>
      </c>
      <c r="AO29" s="204">
        <f>IF(AD29&gt;0,AD29,SUM(AL29:AN29))</f>
        <v/>
      </c>
      <c r="AP29" s="205" t="n"/>
      <c r="AQ29" s="204">
        <f>AO29*AP29</f>
        <v/>
      </c>
    </row>
    <row r="30">
      <c r="A30" s="79" t="inlineStr">
        <is>
          <t>Curve segment 1</t>
        </is>
      </c>
      <c r="B30" s="96" t="n">
        <v>2</v>
      </c>
      <c r="C30" s="96" t="n">
        <v>90</v>
      </c>
      <c r="D30" s="96" t="n">
        <v>1</v>
      </c>
      <c r="E30" s="25">
        <f>IFERROR((2*PI()*B30)/(360/C30),0)</f>
        <v/>
      </c>
      <c r="F30" s="101" t="n"/>
      <c r="G30" s="101" t="n"/>
      <c r="I30" s="241">
        <f>I29+1</f>
        <v/>
      </c>
      <c r="J30" s="203" t="n"/>
      <c r="K30" s="209" t="n"/>
      <c r="L30" s="204">
        <f>IFERROR(VLOOKUP(J30,'Master List'!$A:$D,2,0),0)</f>
        <v/>
      </c>
      <c r="M30" s="204">
        <f>IFERROR(VLOOKUP(J30,'Master List'!$A:$D,3,0),0)</f>
        <v/>
      </c>
      <c r="N30" s="204">
        <f>IFERROR(VLOOKUP(J30,'Master List'!$A:$D,4,0),0)</f>
        <v/>
      </c>
      <c r="O30" s="205" t="n"/>
      <c r="P30" s="204">
        <f>IFERROR(M30/N30,0)</f>
        <v/>
      </c>
      <c r="Q30" s="204">
        <f>IFERROR(IF(O30&lt;((1/2*N30*P30^2)*2),1/2*N30*SQRT((O30/2)*2/N30)^2,1/2*N30*P30^2),0)</f>
        <v/>
      </c>
      <c r="R30" s="204">
        <f>IFERROR(IF(O30-Q30-S30&lt;=0,0,O30-Q30-S30),0)</f>
        <v/>
      </c>
      <c r="S30" s="204">
        <f>Q30</f>
        <v/>
      </c>
      <c r="T30" s="204">
        <f>IFERROR(IF(O30&lt;((1/2*N30*P30^2)*2),SQRT((O30/2)*2/N30),P30),0)</f>
        <v/>
      </c>
      <c r="U30" s="204">
        <f>IFERROR(R30/M30,0)</f>
        <v/>
      </c>
      <c r="V30" s="204">
        <f>T30</f>
        <v/>
      </c>
      <c r="W30" s="204">
        <f>IF(L30&gt;0,L30,SUM(T30:V30))</f>
        <v/>
      </c>
      <c r="X30" s="205" t="n"/>
      <c r="Y30" s="204">
        <f>W30*X30</f>
        <v/>
      </c>
      <c r="AA30" s="241">
        <f>AA29+1</f>
        <v/>
      </c>
      <c r="AB30" s="203" t="n"/>
      <c r="AC30" s="209" t="n"/>
      <c r="AD30" s="204">
        <f>IFERROR(VLOOKUP(AB30,'Master List'!$A:$D,2,0),0)</f>
        <v/>
      </c>
      <c r="AE30" s="204">
        <f>IFERROR(VLOOKUP(AB30,'Master List'!$A:$D,3,0),0)</f>
        <v/>
      </c>
      <c r="AF30" s="204">
        <f>IFERROR(VLOOKUP(AB30,'Master List'!$A:$D,4,0),0)</f>
        <v/>
      </c>
      <c r="AG30" s="205" t="n"/>
      <c r="AH30" s="204">
        <f>IFERROR(AE30/AF30,0)</f>
        <v/>
      </c>
      <c r="AI30" s="204">
        <f>IFERROR(IF(AG30&lt;((1/2*AF30*AH30^2)*2),1/2*AF30*SQRT((AG30/2)*2/AF30)^2,1/2*AF30*AH30^2),0)</f>
        <v/>
      </c>
      <c r="AJ30" s="204">
        <f>IFERROR(IF(AG30-AI30-AK30&lt;=0,0,AG30-AI30-AK30),0)</f>
        <v/>
      </c>
      <c r="AK30" s="204">
        <f>AI30</f>
        <v/>
      </c>
      <c r="AL30" s="204">
        <f>IFERROR(IF(AG30&lt;((1/2*AF30*AH30^2)*2),SQRT((AG30/2)*2/AF30),AH30),0)</f>
        <v/>
      </c>
      <c r="AM30" s="204">
        <f>IFERROR(AJ30/AE30,0)</f>
        <v/>
      </c>
      <c r="AN30" s="204">
        <f>AL30</f>
        <v/>
      </c>
      <c r="AO30" s="204">
        <f>IF(AD30&gt;0,AD30,SUM(AL30:AN30))</f>
        <v/>
      </c>
      <c r="AP30" s="205" t="n"/>
      <c r="AQ30" s="204">
        <f>AO30*AP30</f>
        <v/>
      </c>
    </row>
    <row r="31">
      <c r="A31" s="79" t="inlineStr">
        <is>
          <t>Curve segment 2</t>
        </is>
      </c>
      <c r="B31" s="96" t="n">
        <v>2</v>
      </c>
      <c r="C31" s="96" t="n">
        <v>90</v>
      </c>
      <c r="D31" s="96" t="n">
        <v>1</v>
      </c>
      <c r="E31" s="25">
        <f>IFERROR((2*PI()*B31)/(360/C31),0)</f>
        <v/>
      </c>
      <c r="F31" s="101" t="n"/>
      <c r="G31" s="101" t="n"/>
      <c r="I31" s="241">
        <f>I30+1</f>
        <v/>
      </c>
      <c r="J31" s="203" t="n"/>
      <c r="K31" s="209" t="n"/>
      <c r="L31" s="204">
        <f>IFERROR(VLOOKUP(J31,'Master List'!$A:$D,2,0),0)</f>
        <v/>
      </c>
      <c r="M31" s="204">
        <f>IFERROR(VLOOKUP(J31,'Master List'!$A:$D,3,0),0)</f>
        <v/>
      </c>
      <c r="N31" s="204">
        <f>IFERROR(VLOOKUP(J31,'Master List'!$A:$D,4,0),0)</f>
        <v/>
      </c>
      <c r="O31" s="205" t="n"/>
      <c r="P31" s="204">
        <f>IFERROR(M31/N31,0)</f>
        <v/>
      </c>
      <c r="Q31" s="204">
        <f>IFERROR(IF(O31&lt;((1/2*N31*P31^2)*2),1/2*N31*SQRT((O31/2)*2/N31)^2,1/2*N31*P31^2),0)</f>
        <v/>
      </c>
      <c r="R31" s="204">
        <f>IFERROR(IF(O31-Q31-S31&lt;=0,0,O31-Q31-S31),0)</f>
        <v/>
      </c>
      <c r="S31" s="204">
        <f>Q31</f>
        <v/>
      </c>
      <c r="T31" s="204">
        <f>IFERROR(IF(O31&lt;((1/2*N31*P31^2)*2),SQRT((O31/2)*2/N31),P31),0)</f>
        <v/>
      </c>
      <c r="U31" s="204">
        <f>IFERROR(R31/M31,0)</f>
        <v/>
      </c>
      <c r="V31" s="204">
        <f>T31</f>
        <v/>
      </c>
      <c r="W31" s="204">
        <f>IF(L31&gt;0,L31,SUM(T31:V31))</f>
        <v/>
      </c>
      <c r="X31" s="205" t="n"/>
      <c r="Y31" s="204">
        <f>W31*X31</f>
        <v/>
      </c>
      <c r="AA31" s="241">
        <f>AA30+1</f>
        <v/>
      </c>
      <c r="AB31" s="203" t="n"/>
      <c r="AC31" s="209" t="n"/>
      <c r="AD31" s="204">
        <f>IFERROR(VLOOKUP(AB31,'Master List'!$A:$D,2,0),0)</f>
        <v/>
      </c>
      <c r="AE31" s="204">
        <f>IFERROR(VLOOKUP(AB31,'Master List'!$A:$D,3,0),0)</f>
        <v/>
      </c>
      <c r="AF31" s="204">
        <f>IFERROR(VLOOKUP(AB31,'Master List'!$A:$D,4,0),0)</f>
        <v/>
      </c>
      <c r="AG31" s="205" t="n"/>
      <c r="AH31" s="204">
        <f>IFERROR(AE31/AF31,0)</f>
        <v/>
      </c>
      <c r="AI31" s="204">
        <f>IFERROR(IF(AG31&lt;((1/2*AF31*AH31^2)*2),1/2*AF31*SQRT((AG31/2)*2/AF31)^2,1/2*AF31*AH31^2),0)</f>
        <v/>
      </c>
      <c r="AJ31" s="204">
        <f>IFERROR(IF(AG31-AI31-AK31&lt;=0,0,AG31-AI31-AK31),0)</f>
        <v/>
      </c>
      <c r="AK31" s="204">
        <f>AI31</f>
        <v/>
      </c>
      <c r="AL31" s="204">
        <f>IFERROR(IF(AG31&lt;((1/2*AF31*AH31^2)*2),SQRT((AG31/2)*2/AF31),AH31),0)</f>
        <v/>
      </c>
      <c r="AM31" s="204">
        <f>IFERROR(AJ31/AE31,0)</f>
        <v/>
      </c>
      <c r="AN31" s="204">
        <f>AL31</f>
        <v/>
      </c>
      <c r="AO31" s="204">
        <f>IF(AD31&gt;0,AD31,SUM(AL31:AN31))</f>
        <v/>
      </c>
      <c r="AP31" s="205" t="n"/>
      <c r="AQ31" s="204">
        <f>AO31*AP31</f>
        <v/>
      </c>
    </row>
    <row r="32">
      <c r="A32" s="79" t="inlineStr">
        <is>
          <t>Curve segment 3</t>
        </is>
      </c>
      <c r="B32" s="96" t="n">
        <v>2</v>
      </c>
      <c r="C32" s="96" t="n">
        <v>90</v>
      </c>
      <c r="D32" s="96" t="n">
        <v>1</v>
      </c>
      <c r="E32" s="25">
        <f>IFERROR((2*PI()*B32)/(360/C32),0)</f>
        <v/>
      </c>
      <c r="F32" s="101" t="n"/>
      <c r="G32" s="101" t="n"/>
      <c r="I32" s="222" t="n"/>
      <c r="AA32" s="222" t="n"/>
    </row>
    <row r="33">
      <c r="A33" s="79" t="inlineStr">
        <is>
          <t>Curve segment 4</t>
        </is>
      </c>
      <c r="B33" s="96" t="n">
        <v>2</v>
      </c>
      <c r="C33" s="96" t="n">
        <v>90</v>
      </c>
      <c r="D33" s="96" t="n">
        <v>1</v>
      </c>
      <c r="E33" s="25">
        <f>IFERROR((2*PI()*B33)/(360/C33),0)</f>
        <v/>
      </c>
      <c r="F33" s="101" t="n"/>
      <c r="G33" s="101" t="n"/>
    </row>
    <row r="34">
      <c r="A34" s="79" t="inlineStr">
        <is>
          <t>Curve segment 5</t>
        </is>
      </c>
      <c r="B34" s="96" t="n"/>
      <c r="C34" s="96" t="n"/>
      <c r="D34" s="96" t="n"/>
      <c r="E34" s="25">
        <f>IFERROR((2*PI()*B34)/(360/C34),0)</f>
        <v/>
      </c>
      <c r="F34" s="101" t="n"/>
      <c r="G34" s="101" t="n"/>
    </row>
    <row r="35">
      <c r="A35" s="79" t="inlineStr">
        <is>
          <t>Curve segment 6</t>
        </is>
      </c>
      <c r="B35" s="96" t="n"/>
      <c r="C35" s="96" t="n"/>
      <c r="D35" s="96" t="n"/>
      <c r="E35" s="25">
        <f>IFERROR((2*PI()*B35)/(360/C35),0)</f>
        <v/>
      </c>
      <c r="F35" s="101" t="n"/>
      <c r="G35" s="101" t="n"/>
    </row>
    <row r="36">
      <c r="A36" s="79" t="inlineStr">
        <is>
          <t>Curve segment 7</t>
        </is>
      </c>
      <c r="B36" s="96" t="n"/>
      <c r="C36" s="96" t="n"/>
      <c r="D36" s="96" t="n"/>
      <c r="E36" s="25">
        <f>IFERROR((2*PI()*B36)/(360/C36),0)</f>
        <v/>
      </c>
      <c r="F36" s="101" t="n"/>
      <c r="G36" s="101" t="n"/>
    </row>
    <row r="37">
      <c r="A37" s="79" t="inlineStr">
        <is>
          <t>Curve segment 8</t>
        </is>
      </c>
      <c r="B37" s="96" t="n"/>
      <c r="C37" s="96" t="n"/>
      <c r="D37" s="96" t="n"/>
      <c r="E37" s="25">
        <f>IFERROR((2*PI()*B37)/(360/C37),0)</f>
        <v/>
      </c>
      <c r="F37" s="101" t="n"/>
      <c r="G37" s="101" t="n"/>
    </row>
    <row r="39">
      <c r="A39" s="76" t="inlineStr">
        <is>
          <t>Distance travelled by pallet to enter/exit the RGV M</t>
        </is>
      </c>
      <c r="B39" s="79" t="n">
        <v>1.5</v>
      </c>
    </row>
  </sheetData>
  <sheetProtection selectLockedCells="0" selectUnlockedCells="0" algorithmName="SHA-512" sheet="1" objects="1" insertRows="1" insertHyperlinks="1" autoFilter="1" scenarios="1" formatColumns="1" deleteColumns="1" insertColumns="1" pivotTables="1" deleteRows="1" formatCells="1" saltValue="tRbA+os5Ba1zaQvc+ahnXw==" formatRows="1" sort="1" spinCount="100000" hashValue="pe25gMy1Nj7GnGJvvn0yprwq5+jC7S8LFiPxojdmX064knysjhz2fUMzchtEEL1V3rnb/kEq2lyCQHJfUAJYMQ=="/>
  <mergeCells count="12">
    <mergeCell ref="I5:Y5"/>
    <mergeCell ref="AB6:AP6"/>
    <mergeCell ref="AB7:AP7"/>
    <mergeCell ref="J7:X7"/>
    <mergeCell ref="J6:X6"/>
    <mergeCell ref="J8:X8"/>
    <mergeCell ref="AB9:AP9"/>
    <mergeCell ref="I6:I10"/>
    <mergeCell ref="J9:X9"/>
    <mergeCell ref="AA6:AA10"/>
    <mergeCell ref="AB8:AP8"/>
    <mergeCell ref="AA5:AQ5"/>
  </mergeCells>
  <conditionalFormatting sqref="B7">
    <cfRule type="cellIs" priority="19" operator="lessThan" dxfId="1">
      <formula>#REF!</formula>
    </cfRule>
  </conditionalFormatting>
  <conditionalFormatting sqref="B9">
    <cfRule type="cellIs" priority="1" operator="lessThan" dxfId="1">
      <formula>#REF!</formula>
    </cfRule>
  </conditionalFormatting>
  <conditionalFormatting sqref="B14">
    <cfRule type="cellIs" priority="2" operator="notEqual" dxfId="0">
      <formula>1</formula>
    </cfRule>
  </conditionalFormatting>
  <pageMargins left="0.7" right="0.7" top="0.75" bottom="0.75" header="0.3" footer="0.3"/>
  <pageSetup orientation="landscape" scale="69"/>
  <drawing r:id="rId1"/>
</worksheet>
</file>

<file path=xl/worksheets/sheet10.xml><?xml version="1.0" encoding="utf-8"?>
<worksheet xmlns:r="http://schemas.openxmlformats.org/officeDocument/2006/relationships" xmlns="http://schemas.openxmlformats.org/spreadsheetml/2006/main">
  <sheetPr codeName="Sheet10">
    <tabColor theme="7"/>
    <outlinePr summaryBelow="1" summaryRight="1"/>
    <pageSetUpPr fitToPage="1"/>
  </sheetPr>
  <dimension ref="A2:AF54"/>
  <sheetViews>
    <sheetView showGridLines="0" zoomScaleNormal="100" workbookViewId="0">
      <selection activeCell="G14" sqref="G14"/>
    </sheetView>
  </sheetViews>
  <sheetFormatPr baseColWidth="10" defaultColWidth="9.1640625" defaultRowHeight="15"/>
  <cols>
    <col width="36.83203125" bestFit="1" customWidth="1" style="102" min="1" max="1"/>
    <col width="19.6640625" bestFit="1" customWidth="1" style="102" min="2" max="3"/>
    <col width="10.83203125" bestFit="1" customWidth="1" style="102" min="4" max="4"/>
    <col width="9.1640625" customWidth="1" style="102" min="5" max="6"/>
    <col width="25.5" customWidth="1" style="102" min="7" max="7"/>
    <col width="7.5" customWidth="1" style="103" min="8" max="8"/>
    <col width="9.1640625" customWidth="1" style="103" min="9" max="9"/>
    <col width="7.5" customWidth="1" style="102" min="10" max="10"/>
    <col width="9.1640625" customWidth="1" style="102" min="11" max="11"/>
    <col width="17.6640625" customWidth="1" style="103" min="12" max="12"/>
    <col width="11.83203125" customWidth="1" style="103" min="13" max="13"/>
    <col width="12.33203125" customWidth="1" style="103" min="14" max="14"/>
    <col width="14" bestFit="1" customWidth="1" style="103" min="15" max="15"/>
    <col width="12" bestFit="1" customWidth="1" style="102" min="16" max="16"/>
    <col width="7.83203125" customWidth="1" style="102" min="17" max="17"/>
    <col width="8.33203125" customWidth="1" style="102" min="18" max="18"/>
    <col width="9.5" customWidth="1" style="102" min="19" max="19"/>
    <col width="9.33203125" customWidth="1" style="102" min="20" max="20"/>
    <col width="9.5" customWidth="1" style="102" min="21" max="21"/>
    <col width="9.1640625" customWidth="1" style="102" min="22" max="22"/>
    <col width="9.6640625" customWidth="1" style="102" min="23" max="23"/>
    <col width="9.1640625" customWidth="1" style="102" min="24" max="26"/>
    <col width="8.6640625" customWidth="1" style="102" min="27" max="27"/>
    <col width="9.1640625" customWidth="1" style="102" min="28" max="28"/>
    <col width="9.33203125" customWidth="1" style="102" min="29" max="29"/>
    <col width="9.1640625" customWidth="1" style="102" min="30" max="30"/>
    <col width="9.1640625" customWidth="1" style="102" min="31" max="16384"/>
  </cols>
  <sheetData>
    <row r="2">
      <c r="B2" s="1">
        <f>'Master List'!$F$2</f>
        <v/>
      </c>
    </row>
    <row r="4">
      <c r="A4" s="34" t="inlineStr">
        <is>
          <t>Equipment</t>
        </is>
      </c>
      <c r="B4" s="33" t="inlineStr">
        <is>
          <t>Mini Load</t>
        </is>
      </c>
    </row>
    <row r="5">
      <c r="A5" s="34" t="inlineStr">
        <is>
          <t>Utilization</t>
        </is>
      </c>
      <c r="B5" s="402">
        <f>B18</f>
        <v/>
      </c>
      <c r="G5" s="102" t="inlineStr">
        <is>
          <t>Travel - X direction</t>
        </is>
      </c>
      <c r="H5" s="102" t="n"/>
      <c r="I5" s="102" t="n"/>
    </row>
    <row r="6" ht="14.75" customHeight="1" s="516">
      <c r="A6" s="180" t="inlineStr">
        <is>
          <t>Project name</t>
        </is>
      </c>
      <c r="B6" s="181" t="n"/>
      <c r="C6" s="131" t="n"/>
      <c r="D6" s="131" t="n"/>
      <c r="G6" s="111" t="inlineStr">
        <is>
          <t>Speed</t>
        </is>
      </c>
      <c r="H6" s="543" t="inlineStr">
        <is>
          <t>Vx</t>
        </is>
      </c>
      <c r="I6" s="115" t="n">
        <v>6</v>
      </c>
      <c r="J6" s="111" t="inlineStr">
        <is>
          <t>m/s</t>
        </is>
      </c>
      <c r="L6" s="544" t="inlineStr">
        <is>
          <t>Throughput</t>
        </is>
      </c>
      <c r="M6" s="543" t="inlineStr">
        <is>
          <t>Sec/cycle</t>
        </is>
      </c>
      <c r="N6" s="543" t="inlineStr">
        <is>
          <t>Desired</t>
        </is>
      </c>
      <c r="O6" s="543" t="inlineStr">
        <is>
          <t>Cranes needed</t>
        </is>
      </c>
      <c r="P6" s="543" t="inlineStr">
        <is>
          <t>Cycles</t>
        </is>
      </c>
      <c r="R6" s="107" t="inlineStr">
        <is>
          <t>FEM Locations</t>
        </is>
      </c>
      <c r="S6" s="103" t="n"/>
      <c r="T6" s="103" t="n"/>
    </row>
    <row r="7" ht="14.75" customHeight="1" s="516">
      <c r="A7" s="180" t="inlineStr">
        <is>
          <t>Revision</t>
        </is>
      </c>
      <c r="B7" s="181" t="n"/>
      <c r="C7" s="131" t="n"/>
      <c r="D7" s="131" t="n"/>
      <c r="G7" s="111" t="inlineStr">
        <is>
          <t>Accelaration</t>
        </is>
      </c>
      <c r="H7" s="543" t="inlineStr">
        <is>
          <t>Ax</t>
        </is>
      </c>
      <c r="I7" s="110" t="n">
        <v>4</v>
      </c>
      <c r="J7" s="111" t="inlineStr">
        <is>
          <t>m/s2</t>
        </is>
      </c>
      <c r="L7" s="544" t="inlineStr">
        <is>
          <t>Single input cycle</t>
        </is>
      </c>
      <c r="M7" s="542">
        <f>S22+U22+I43+I44</f>
        <v/>
      </c>
      <c r="N7" s="116" t="n"/>
      <c r="O7" s="117">
        <f>N7/(3600/M7)</f>
        <v/>
      </c>
      <c r="P7" s="118">
        <f>3600/M7</f>
        <v/>
      </c>
      <c r="R7" s="543" t="n"/>
      <c r="S7" s="543" t="inlineStr">
        <is>
          <t>X</t>
        </is>
      </c>
      <c r="T7" s="543" t="inlineStr">
        <is>
          <t>Y</t>
        </is>
      </c>
    </row>
    <row r="8" ht="17" customHeight="1" s="516">
      <c r="A8" s="131" t="n"/>
      <c r="B8" s="131" t="n"/>
      <c r="C8" s="131" t="n"/>
      <c r="D8" s="131" t="n"/>
      <c r="G8" s="111" t="inlineStr">
        <is>
          <t>Slow speed travel</t>
        </is>
      </c>
      <c r="H8" s="543" t="n"/>
      <c r="I8" s="110" t="n">
        <v>0.1</v>
      </c>
      <c r="J8" s="111" t="inlineStr">
        <is>
          <t>m</t>
        </is>
      </c>
      <c r="L8" s="544" t="inlineStr">
        <is>
          <t>Single output cycle</t>
        </is>
      </c>
      <c r="M8" s="542">
        <f>Y22+AA22+I43+I44</f>
        <v/>
      </c>
      <c r="N8" s="116" t="n"/>
      <c r="O8" s="117">
        <f>N8/(3600/M8)</f>
        <v/>
      </c>
      <c r="P8" s="118" t="n"/>
      <c r="R8" s="543" t="inlineStr">
        <is>
          <t>P1E</t>
        </is>
      </c>
      <c r="S8" s="542">
        <f>IF(H27&lt;0,$C$26/5,IF(AND(0&lt;=H27,H27&lt;C26/2),$C$26/5+H27/3,IF(AND(C26/2&lt;=H27,H27&lt;=C26),$C$26-(C26/5+(C26-H27)/3),"error")))</f>
        <v/>
      </c>
      <c r="T8" s="542">
        <f>IF(I27&lt;0,2*$C$27/3,IF(AND(0&lt;=I27,I27&lt;C27/2),2*$C$27/3+I27/3,IF(AND(C27/2&lt;=I27,I27&lt;=C27),$C$27-(2*C27/3+(C27-I27)/3),"error")))</f>
        <v/>
      </c>
      <c r="U8" s="130" t="n"/>
      <c r="V8" s="130" t="n"/>
    </row>
    <row r="9" ht="17" customHeight="1" s="516">
      <c r="A9" s="131" t="n"/>
      <c r="B9" s="131" t="n"/>
      <c r="C9" s="131" t="n"/>
      <c r="D9" s="131" t="n"/>
      <c r="G9" s="111" t="inlineStr">
        <is>
          <t>Positioning speed</t>
        </is>
      </c>
      <c r="H9" s="111" t="n"/>
      <c r="I9" s="110" t="n">
        <v>0.05</v>
      </c>
      <c r="J9" s="111" t="inlineStr">
        <is>
          <t>m/s</t>
        </is>
      </c>
      <c r="L9" s="544" t="inlineStr">
        <is>
          <t>combined cycle</t>
        </is>
      </c>
      <c r="M9" s="542">
        <f>((S22+W22+AA22+AE22)+(U22+Y22+AC22+AE22))/2+2*I43+2*I44</f>
        <v/>
      </c>
      <c r="N9" s="116" t="n"/>
      <c r="O9" s="117">
        <f>N9/(3600/M9)</f>
        <v/>
      </c>
      <c r="P9" s="118">
        <f>3600/M9</f>
        <v/>
      </c>
      <c r="R9" s="543" t="inlineStr">
        <is>
          <t>P2E</t>
        </is>
      </c>
      <c r="S9" s="542">
        <f>IF(H27&lt;0,2*$C$26/3,IF(AND(0&lt;=H27,H27&lt;C26/2),2*$C$26/3+H27/3,IF(AND(C26/2&lt;=H27,H27&lt;=C26),$C$26-(2*C26/3+(C26-H27)/3),"error")))</f>
        <v/>
      </c>
      <c r="T9" s="542">
        <f>IF(I27&lt;0,$C$27/5,IF(AND(0&lt;=I27,I27&lt;C27/2),$C$27/5+I27/3,IF(AND(C27/2&lt;=I27,I27&lt;=C27),$C$27-(C27/5+(C27-I27)/3),"error")))</f>
        <v/>
      </c>
      <c r="U9" s="130" t="n"/>
      <c r="V9" s="130" t="n"/>
    </row>
    <row r="10" ht="23" customHeight="1" s="516">
      <c r="A10" s="138" t="inlineStr">
        <is>
          <t>Totes or Cases per Hr</t>
        </is>
      </c>
      <c r="B10" s="53">
        <f>(SUMPRODUCT(D21:D22,C21:C22))</f>
        <v/>
      </c>
      <c r="C10" s="131" t="n"/>
      <c r="D10" s="131" t="n"/>
      <c r="H10" s="102" t="n"/>
      <c r="I10" s="102" t="n"/>
      <c r="L10" s="103" t="inlineStr">
        <is>
          <t>Total</t>
        </is>
      </c>
      <c r="O10" s="123">
        <f>SUM(O7:O9)</f>
        <v/>
      </c>
      <c r="P10" s="123" t="n"/>
      <c r="R10" s="543" t="inlineStr">
        <is>
          <t>P1A</t>
        </is>
      </c>
      <c r="S10" s="542">
        <f>IF(H28&lt;0,$C$26/5,IF(AND(0&lt;=H28,H28&lt;C26/2),$C$26/5+H28/3,IF(AND(C26/2&lt;=H28,H28&lt;=C26),$C$26-(C26/5+(C26-H28)/3),"error")))</f>
        <v/>
      </c>
      <c r="T10" s="542">
        <f>IF(I28&lt;0,2*$C$27/3,IF(AND(0&lt;=I28,I28&lt;C27/2),2*$C$27/3+I28/3,IF(AND(C27/2&lt;=I28,I28&lt;=C27),$C$27-(2*C27/3+(C27-I28)/3),"error")))</f>
        <v/>
      </c>
      <c r="U10" s="130" t="n"/>
      <c r="V10" s="130" t="n"/>
    </row>
    <row r="11" ht="23" customHeight="1" s="516">
      <c r="A11" s="138" t="inlineStr">
        <is>
          <t>Cranes required</t>
        </is>
      </c>
      <c r="B11" s="53">
        <f>ROUNDUP(B16/B10,0)</f>
        <v/>
      </c>
      <c r="C11" s="251">
        <f>B16/B10</f>
        <v/>
      </c>
      <c r="D11" s="131" t="n"/>
      <c r="H11" s="102" t="n"/>
      <c r="I11" s="102" t="n"/>
      <c r="R11" s="543" t="inlineStr">
        <is>
          <t>P2A</t>
        </is>
      </c>
      <c r="S11" s="542">
        <f>IF(H28&lt;0,2*$C$26/3,IF(AND(0&lt;=H28,H28&lt;C26/2),2*$C$26/3+H28/3,IF(AND(C26/2&lt;=H28,H28&lt;=C26),$C$26-(2*C26/3+(C26-H28)/3),"error")))</f>
        <v/>
      </c>
      <c r="T11" s="542">
        <f>IF(I28&lt;0,$C$27/5,IF(AND(0&lt;=I28,I28&lt;C27/2),$C$27/5+I28/3,IF(AND(C27/2&lt;=I28,I28&lt;=C27),$C$27-(C27/5+(C27-I28)/3),"error")))</f>
        <v/>
      </c>
      <c r="U11" s="130" t="n"/>
      <c r="V11" s="130" t="n"/>
    </row>
    <row r="12" ht="17" customHeight="1" s="516">
      <c r="A12" s="131" t="n"/>
      <c r="B12" s="131" t="n"/>
      <c r="C12" s="131" t="n"/>
      <c r="D12" s="131" t="n"/>
      <c r="G12" s="102" t="inlineStr">
        <is>
          <t>Hoist - Y direction</t>
        </is>
      </c>
      <c r="H12" s="102" t="n"/>
      <c r="I12" s="102" t="n"/>
      <c r="R12" s="103" t="n"/>
      <c r="S12" s="545" t="n"/>
      <c r="T12" s="546" t="n"/>
      <c r="U12" s="547" t="n"/>
      <c r="V12" s="548" t="n"/>
      <c r="W12" s="547" t="n"/>
      <c r="X12" s="548" t="n"/>
      <c r="Y12" s="547" t="n"/>
      <c r="Z12" s="548" t="n"/>
      <c r="AA12" s="547" t="n"/>
      <c r="AB12" s="548" t="n"/>
      <c r="AC12" s="547" t="n"/>
      <c r="AD12" s="548" t="n"/>
      <c r="AE12" s="547" t="n"/>
      <c r="AF12" s="548" t="n"/>
    </row>
    <row r="13" ht="17" customHeight="1" s="516">
      <c r="A13" s="133" t="inlineStr">
        <is>
          <t>Category</t>
        </is>
      </c>
      <c r="B13" s="133" t="inlineStr">
        <is>
          <t>Totes or Cases per Hr</t>
        </is>
      </c>
      <c r="D13" s="131" t="n"/>
      <c r="G13" s="111" t="inlineStr">
        <is>
          <t>Hoist Speed</t>
        </is>
      </c>
      <c r="H13" s="543" t="inlineStr">
        <is>
          <t>Vy</t>
        </is>
      </c>
      <c r="I13" s="110" t="n">
        <v>3</v>
      </c>
      <c r="J13" s="111" t="inlineStr">
        <is>
          <t>m/s</t>
        </is>
      </c>
      <c r="R13" s="103" t="n"/>
      <c r="S13" s="543" t="inlineStr">
        <is>
          <t>E - P1E</t>
        </is>
      </c>
      <c r="T13" s="534" t="n"/>
      <c r="U13" s="543" t="inlineStr">
        <is>
          <t>E - P2E</t>
        </is>
      </c>
      <c r="V13" s="534" t="n"/>
      <c r="W13" s="543" t="inlineStr">
        <is>
          <t>P1E - P2E</t>
        </is>
      </c>
      <c r="X13" s="534" t="n"/>
      <c r="Y13" s="543" t="inlineStr">
        <is>
          <t>A - P1A</t>
        </is>
      </c>
      <c r="Z13" s="534" t="n"/>
      <c r="AA13" s="543" t="inlineStr">
        <is>
          <t>A - P2A</t>
        </is>
      </c>
      <c r="AB13" s="534" t="n"/>
      <c r="AC13" s="543" t="inlineStr">
        <is>
          <t>P1A - P2A</t>
        </is>
      </c>
      <c r="AD13" s="534" t="n"/>
      <c r="AE13" s="543" t="inlineStr">
        <is>
          <t>A - E</t>
        </is>
      </c>
      <c r="AF13" s="534" t="n"/>
    </row>
    <row r="14" ht="17" customHeight="1" s="516">
      <c r="A14" s="134" t="inlineStr">
        <is>
          <t>Inbound</t>
        </is>
      </c>
      <c r="B14" s="135" t="n">
        <v>355</v>
      </c>
      <c r="D14" s="131" t="n"/>
      <c r="G14" s="111" t="inlineStr">
        <is>
          <t>Hoist Accelaration</t>
        </is>
      </c>
      <c r="H14" s="543" t="inlineStr">
        <is>
          <t>Ay</t>
        </is>
      </c>
      <c r="I14" s="110" t="n">
        <v>3</v>
      </c>
      <c r="J14" s="111" t="inlineStr">
        <is>
          <t>m/s2</t>
        </is>
      </c>
      <c r="S14" s="543" t="inlineStr">
        <is>
          <t>X</t>
        </is>
      </c>
      <c r="T14" s="543" t="inlineStr">
        <is>
          <t>Y</t>
        </is>
      </c>
      <c r="U14" s="543" t="inlineStr">
        <is>
          <t>X</t>
        </is>
      </c>
      <c r="V14" s="543" t="inlineStr">
        <is>
          <t>Y</t>
        </is>
      </c>
      <c r="W14" s="543" t="inlineStr">
        <is>
          <t>X</t>
        </is>
      </c>
      <c r="X14" s="543" t="inlineStr">
        <is>
          <t>Y</t>
        </is>
      </c>
      <c r="Y14" s="543" t="inlineStr">
        <is>
          <t>X</t>
        </is>
      </c>
      <c r="Z14" s="543" t="inlineStr">
        <is>
          <t>Y</t>
        </is>
      </c>
      <c r="AA14" s="543" t="inlineStr">
        <is>
          <t>X</t>
        </is>
      </c>
      <c r="AB14" s="543" t="inlineStr">
        <is>
          <t>Y</t>
        </is>
      </c>
      <c r="AC14" s="543" t="inlineStr">
        <is>
          <t>X</t>
        </is>
      </c>
      <c r="AD14" s="543" t="inlineStr">
        <is>
          <t>Y</t>
        </is>
      </c>
      <c r="AE14" s="543" t="inlineStr">
        <is>
          <t>X</t>
        </is>
      </c>
      <c r="AF14" s="543" t="inlineStr">
        <is>
          <t>Y</t>
        </is>
      </c>
    </row>
    <row r="15" ht="17" customHeight="1" s="516">
      <c r="A15" s="134" t="inlineStr">
        <is>
          <t>Outbound</t>
        </is>
      </c>
      <c r="B15" s="135" t="n">
        <v>195</v>
      </c>
      <c r="D15" s="131" t="n"/>
      <c r="G15" s="111" t="inlineStr">
        <is>
          <t>Slow speed Hoist</t>
        </is>
      </c>
      <c r="H15" s="543" t="n"/>
      <c r="I15" s="110" t="n">
        <v>0.05</v>
      </c>
      <c r="J15" s="111" t="inlineStr">
        <is>
          <t>m</t>
        </is>
      </c>
      <c r="Q15" s="119" t="inlineStr">
        <is>
          <t>Travel Dist</t>
        </is>
      </c>
      <c r="R15" s="111" t="n"/>
      <c r="S15" s="113">
        <f>ABS(H27-S8)</f>
        <v/>
      </c>
      <c r="T15" s="542">
        <f>ABS(I27-T8)</f>
        <v/>
      </c>
      <c r="U15" s="113">
        <f>ABS(H27-S9)</f>
        <v/>
      </c>
      <c r="V15" s="542">
        <f>ABS(I27-T9)</f>
        <v/>
      </c>
      <c r="W15" s="113">
        <f>ABS(S8-S9)</f>
        <v/>
      </c>
      <c r="X15" s="542">
        <f>ABS(T8-T9)</f>
        <v/>
      </c>
      <c r="Y15" s="113">
        <f>ABS(H28-S10)</f>
        <v/>
      </c>
      <c r="Z15" s="542">
        <f>ABS(I28-T10)</f>
        <v/>
      </c>
      <c r="AA15" s="113">
        <f>ABS(H28-S11)</f>
        <v/>
      </c>
      <c r="AB15" s="542">
        <f>ABS(I28-T11)</f>
        <v/>
      </c>
      <c r="AC15" s="113">
        <f>ABS(S10-S11)</f>
        <v/>
      </c>
      <c r="AD15" s="542">
        <f>ABS(T10-T11)</f>
        <v/>
      </c>
      <c r="AE15" s="113">
        <f>ABS(H27-H28)</f>
        <v/>
      </c>
      <c r="AF15" s="542">
        <f>ABS(I27-I28)</f>
        <v/>
      </c>
    </row>
    <row r="16" ht="17" customHeight="1" s="516">
      <c r="A16" s="133" t="inlineStr">
        <is>
          <t>Total</t>
        </is>
      </c>
      <c r="B16" s="133">
        <f>SUM(B14:B15)</f>
        <v/>
      </c>
      <c r="D16" s="131" t="n"/>
      <c r="G16" s="111" t="inlineStr">
        <is>
          <t>Positioning speed</t>
        </is>
      </c>
      <c r="H16" s="111" t="n"/>
      <c r="I16" s="110" t="n">
        <v>0.05</v>
      </c>
      <c r="J16" s="111" t="inlineStr">
        <is>
          <t>m/s</t>
        </is>
      </c>
      <c r="Q16" s="120" t="inlineStr">
        <is>
          <t>Accelaration time</t>
        </is>
      </c>
      <c r="R16" s="121" t="n"/>
      <c r="S16" s="549">
        <f>IF((S15-$I$8)&gt;=($I$6^2/$I$7),$I$6/$I$7,((S15-$I$8)/$I$7)^0.5)</f>
        <v/>
      </c>
      <c r="T16" s="549">
        <f>IF((T15-$I$15)&gt;=($I$13^2/$I$14),$I$13/$I$14,(T15/$I$14)^0.5)</f>
        <v/>
      </c>
      <c r="U16" s="549">
        <f>IF((U15-$I$8)&gt;=($I$6^2/$I$7),$I$6/$I$7,(U15/$I$7)^0.5)</f>
        <v/>
      </c>
      <c r="V16" s="549">
        <f>IF((V15-$I$15)&gt;=($I$13^2/$I$14),$I$13/$I$14,(V15/$I$14)^0.5)</f>
        <v/>
      </c>
      <c r="W16" s="549">
        <f>IF((W15-$I$8)&gt;=($I$6^2/$I$7),$I$6/$I$7,(W15/$I$7)^0.5)</f>
        <v/>
      </c>
      <c r="X16" s="549">
        <f>IF((X15-$I$15)&gt;=($I$13^2/$I$14),$I$13/$I$14,(X15/$I$14)^0.5)</f>
        <v/>
      </c>
      <c r="Y16" s="549">
        <f>IF((Y15-$I$8)&gt;=($I$6^2/$I$7),$I$6/$I$7,(Y15/$I$7)^0.5)</f>
        <v/>
      </c>
      <c r="Z16" s="549">
        <f>IF((Z15-$I$15)&gt;=($I$13^2/$I$14),$I$13/$I$14,(Z15/$I$14)^0.5)</f>
        <v/>
      </c>
      <c r="AA16" s="549">
        <f>IF((AA15-$I$8)&gt;=($I$6^2/$I$7),$I$6/$I$7,(AA15/$I$7)^0.5)</f>
        <v/>
      </c>
      <c r="AB16" s="549">
        <f>IF((AB15-$I$15)&gt;=($I$13^2/$I$14),$I$13/$I$14,(AB15/$I$14)^0.5)</f>
        <v/>
      </c>
      <c r="AC16" s="549">
        <f>IF((AC15-$I$8)&gt;=($I$6^2/$I$7),$I$6/$I$7,(AC15/$I$7)^0.5)</f>
        <v/>
      </c>
      <c r="AD16" s="549">
        <f>IF((AD15-$I$15)&gt;=($I$13^2/$I$14),$I$13/$I$14,(AD15/$I$14)^0.5)</f>
        <v/>
      </c>
      <c r="AE16" s="549">
        <f>IF((AE15-$I$8)&gt;=($I$6^2/$I$7),$I$6/$I$7,(AE15/$I$7)^0.5)</f>
        <v/>
      </c>
      <c r="AF16" s="549">
        <f>IF((AF15-$I$15)&gt;=($I$13^2/$I$14),$I$13/$I$14,(AF15/$I$14)^0.5)</f>
        <v/>
      </c>
    </row>
    <row r="17" ht="17" customHeight="1" s="516">
      <c r="A17" s="131" t="n"/>
      <c r="B17" s="131" t="n"/>
      <c r="C17" s="131" t="n"/>
      <c r="D17" s="131" t="n"/>
      <c r="G17" s="103" t="n"/>
      <c r="J17" s="103" t="n"/>
      <c r="Q17" s="121" t="inlineStr">
        <is>
          <t>Ct speed time</t>
        </is>
      </c>
      <c r="R17" s="121" t="n"/>
      <c r="S17" s="549">
        <f>IF((S15-$I$8)&lt;($I$6^2/$I$7),0,(S15-$I$8-$I$6^2/$I$7)/$I$6)</f>
        <v/>
      </c>
      <c r="T17" s="549">
        <f>IF((T15-$I$15)&lt;($I$13^2/$I$14),0,(T15-$I$15-$I$13^2/$I$14)/$I$13)</f>
        <v/>
      </c>
      <c r="U17" s="549">
        <f>IF((U15-$I$8)&lt;($I$6^2/$I$7),0,(U15-$I$8-$I$6^2/$I$7)/$I$6)</f>
        <v/>
      </c>
      <c r="V17" s="549">
        <f>IF((V15-$I$15)&lt;($I$13^2/$I$14),0,(V15-$I$15-$I$13^2/$I$14)/$I$13)</f>
        <v/>
      </c>
      <c r="W17" s="549">
        <f>IF((W15-$I$8)&lt;($I$6^2/$I$7),0,(W15-$I$8-$I$6^2/$I$7)/$I$6)</f>
        <v/>
      </c>
      <c r="X17" s="549">
        <f>IF((X15-$I$15)&lt;($I$13^2/$I$14),0,(X15-$I$15-$I$13^2/$I$14)/$I$13)</f>
        <v/>
      </c>
      <c r="Y17" s="549">
        <f>IF((Y15-$I$8)&lt;($I$6^2/$I$7),0,(Y15-$I$8-$I$6^2/$I$7)/$I$6)</f>
        <v/>
      </c>
      <c r="Z17" s="549">
        <f>IF((Z15-$I$15)&lt;($I$13^2/$I$14),0,(Z15-$I$15-$I$13^2/$I$14)/$I$13)</f>
        <v/>
      </c>
      <c r="AA17" s="549">
        <f>IF((AA15-$I$8)&lt;($I$6^2/$I$7),0,(AA15-$I$8-$I$6^2/$I$7)/$I$6)</f>
        <v/>
      </c>
      <c r="AB17" s="549">
        <f>IF((AB15-$I$15)&lt;($I$13^2/$I$14),0,(AB15-$I$15-$I$13^2/$I$14)/$I$13)</f>
        <v/>
      </c>
      <c r="AC17" s="549">
        <f>IF((AC15-$I$8)&lt;($I$6^2/$I$7),0,(AC15-$I$8-$I$6^2/$I$7)/$I$6)</f>
        <v/>
      </c>
      <c r="AD17" s="549">
        <f>IF((AD15-$I$15)&lt;($I$13^2/$I$14),0,(AD15-$I$15-$I$13^2/$I$14)/$I$13)</f>
        <v/>
      </c>
      <c r="AE17" s="549">
        <f>IF((AE15-$I$8)&lt;($I$6^2/$I$7),0,(AE15-$I$8-$I$6^2/$I$7)/$I$6)</f>
        <v/>
      </c>
      <c r="AF17" s="549">
        <f>IF((AF15-$I$15)&lt;($I$13^2/$I$14),0,(AF15-$I$15-$I$13^2/$I$14)/$I$13)</f>
        <v/>
      </c>
    </row>
    <row r="18" ht="17" customHeight="1" s="516">
      <c r="A18" s="133" t="inlineStr">
        <is>
          <t>Utilization</t>
        </is>
      </c>
      <c r="B18" s="137" t="n">
        <v>0.8</v>
      </c>
      <c r="C18" s="131" t="n"/>
      <c r="D18" s="131" t="n"/>
      <c r="G18" s="103" t="n"/>
      <c r="J18" s="103" t="n"/>
      <c r="Q18" s="121" t="inlineStr">
        <is>
          <t>Dec. time</t>
        </is>
      </c>
      <c r="R18" s="121" t="n"/>
      <c r="S18" s="549">
        <f>S16</f>
        <v/>
      </c>
      <c r="T18" s="549">
        <f>T16</f>
        <v/>
      </c>
      <c r="U18" s="549">
        <f>U16</f>
        <v/>
      </c>
      <c r="V18" s="549">
        <f>V16</f>
        <v/>
      </c>
      <c r="W18" s="549">
        <f>W16</f>
        <v/>
      </c>
      <c r="X18" s="549">
        <f>X16</f>
        <v/>
      </c>
      <c r="Y18" s="549">
        <f>Y16</f>
        <v/>
      </c>
      <c r="Z18" s="549">
        <f>Z16</f>
        <v/>
      </c>
      <c r="AA18" s="549">
        <f>AA16</f>
        <v/>
      </c>
      <c r="AB18" s="549">
        <f>AB16</f>
        <v/>
      </c>
      <c r="AC18" s="549">
        <f>AC16</f>
        <v/>
      </c>
      <c r="AD18" s="549">
        <f>AD16</f>
        <v/>
      </c>
      <c r="AE18" s="549">
        <f>AE16</f>
        <v/>
      </c>
      <c r="AF18" s="549">
        <f>AF16</f>
        <v/>
      </c>
    </row>
    <row r="19" ht="17" customHeight="1" s="516">
      <c r="A19" s="131" t="n"/>
      <c r="B19" s="131" t="n"/>
      <c r="C19" s="131" t="n"/>
      <c r="D19" s="132" t="n"/>
      <c r="G19" s="107" t="inlineStr">
        <is>
          <t>Forking - Z direction</t>
        </is>
      </c>
      <c r="J19" s="103" t="n"/>
      <c r="Q19" s="121" t="inlineStr">
        <is>
          <t>Slow speed time</t>
        </is>
      </c>
      <c r="R19" s="121" t="n"/>
      <c r="S19" s="549">
        <f>$I$8/$I$9</f>
        <v/>
      </c>
      <c r="T19" s="549">
        <f>$I$15/$I$16</f>
        <v/>
      </c>
      <c r="U19" s="549">
        <f>$I$8/$I$9</f>
        <v/>
      </c>
      <c r="V19" s="549">
        <f>$I$15/$I$16</f>
        <v/>
      </c>
      <c r="W19" s="549">
        <f>$I$8/$I$9</f>
        <v/>
      </c>
      <c r="X19" s="549">
        <f>$I$15/$I$16</f>
        <v/>
      </c>
      <c r="Y19" s="549">
        <f>$I$8/$I$9</f>
        <v/>
      </c>
      <c r="Z19" s="549">
        <f>$I$15/$I$16</f>
        <v/>
      </c>
      <c r="AA19" s="549">
        <f>$I$8/$I$9</f>
        <v/>
      </c>
      <c r="AB19" s="549">
        <f>$I$15/$I$16</f>
        <v/>
      </c>
      <c r="AC19" s="549">
        <f>$I$8/$I$9</f>
        <v/>
      </c>
      <c r="AD19" s="549">
        <f>$I$15/$I$16</f>
        <v/>
      </c>
      <c r="AE19" s="549">
        <f>IF(AE15=0,0,$I$8/$I$9)</f>
        <v/>
      </c>
      <c r="AF19" s="549">
        <f>IF(AF15=0,0,$I$15/$I$16)</f>
        <v/>
      </c>
    </row>
    <row r="20" ht="17" customHeight="1" s="516">
      <c r="A20" s="133" t="inlineStr">
        <is>
          <t>Cycle type</t>
        </is>
      </c>
      <c r="B20" s="133" t="inlineStr">
        <is>
          <t>Cycles per Hr</t>
        </is>
      </c>
      <c r="C20" s="133" t="inlineStr">
        <is>
          <t>Totes or Cases per Hr</t>
        </is>
      </c>
      <c r="D20" s="133" t="inlineStr">
        <is>
          <t>Weightage</t>
        </is>
      </c>
      <c r="G20" s="111" t="inlineStr">
        <is>
          <t>Loaded Fork speed</t>
        </is>
      </c>
      <c r="H20" s="543" t="inlineStr">
        <is>
          <t>Vz1</t>
        </is>
      </c>
      <c r="I20" s="110" t="n">
        <v>1.5</v>
      </c>
      <c r="J20" s="111" t="inlineStr">
        <is>
          <t>m/s</t>
        </is>
      </c>
      <c r="Q20" s="121" t="inlineStr">
        <is>
          <t>positining time</t>
        </is>
      </c>
      <c r="R20" s="121" t="n"/>
      <c r="S20" s="549" t="n">
        <v>1</v>
      </c>
      <c r="T20" s="549" t="n">
        <v>1</v>
      </c>
      <c r="U20" s="549" t="n">
        <v>1</v>
      </c>
      <c r="V20" s="549" t="n">
        <v>1</v>
      </c>
      <c r="W20" s="549" t="n">
        <v>1</v>
      </c>
      <c r="X20" s="549" t="n">
        <v>1</v>
      </c>
      <c r="Y20" s="549" t="n">
        <v>1</v>
      </c>
      <c r="Z20" s="549" t="n">
        <v>1</v>
      </c>
      <c r="AA20" s="549" t="n">
        <v>1</v>
      </c>
      <c r="AB20" s="549" t="n">
        <v>1</v>
      </c>
      <c r="AC20" s="549" t="n">
        <v>1</v>
      </c>
      <c r="AD20" s="549" t="n">
        <v>1</v>
      </c>
      <c r="AE20" s="549">
        <f>IF(AE15=0,0,1)</f>
        <v/>
      </c>
      <c r="AF20" s="549">
        <f>IF(AF15=0,0,1)</f>
        <v/>
      </c>
    </row>
    <row r="21" ht="17" customHeight="1" s="516">
      <c r="A21" s="134" t="inlineStr">
        <is>
          <t>Combined cycle</t>
        </is>
      </c>
      <c r="B21" s="134">
        <f>(3600/M9)</f>
        <v/>
      </c>
      <c r="C21" s="134">
        <f>(B21*2)*B18</f>
        <v/>
      </c>
      <c r="D21" s="136">
        <f>MIN(B14:B15)/($B$16-MIN($B$14:$B$15))</f>
        <v/>
      </c>
      <c r="G21" s="111" t="inlineStr">
        <is>
          <t>Loaded Fork Acc.</t>
        </is>
      </c>
      <c r="H21" s="543" t="inlineStr">
        <is>
          <t>Az1</t>
        </is>
      </c>
      <c r="I21" s="110">
        <f>I20</f>
        <v/>
      </c>
      <c r="J21" s="111" t="inlineStr">
        <is>
          <t>m/s2</t>
        </is>
      </c>
      <c r="R21" s="124" t="inlineStr">
        <is>
          <t>Total</t>
        </is>
      </c>
      <c r="S21" s="125">
        <f>SUM(S16:S20)</f>
        <v/>
      </c>
      <c r="T21" s="125">
        <f>SUM(T16:T20)</f>
        <v/>
      </c>
      <c r="U21" s="125">
        <f>SUM(U16:U20)</f>
        <v/>
      </c>
      <c r="V21" s="125">
        <f>SUM(V16:V20)</f>
        <v/>
      </c>
      <c r="W21" s="125">
        <f>SUM(W16:W20)</f>
        <v/>
      </c>
      <c r="X21" s="125">
        <f>SUM(X16:X20)</f>
        <v/>
      </c>
      <c r="Y21" s="125">
        <f>SUM(Y16:Y20)</f>
        <v/>
      </c>
      <c r="Z21" s="125">
        <f>SUM(Z16:Z20)</f>
        <v/>
      </c>
      <c r="AA21" s="125">
        <f>SUM(AA16:AA20)</f>
        <v/>
      </c>
      <c r="AB21" s="125">
        <f>SUM(AB16:AB20)</f>
        <v/>
      </c>
      <c r="AC21" s="125">
        <f>SUM(AC16:AC20)</f>
        <v/>
      </c>
      <c r="AD21" s="125">
        <f>SUM(AD16:AD20)</f>
        <v/>
      </c>
      <c r="AE21" s="125">
        <f>SUM(AE16:AE20)</f>
        <v/>
      </c>
      <c r="AF21" s="125">
        <f>SUM(AF16:AF20)</f>
        <v/>
      </c>
    </row>
    <row r="22" ht="17" customHeight="1" s="516">
      <c r="A22" s="134" t="inlineStr">
        <is>
          <t>Single Cycle</t>
        </is>
      </c>
      <c r="B22" s="134">
        <f>(3600/M8)</f>
        <v/>
      </c>
      <c r="C22" s="134">
        <f>B22*B18</f>
        <v/>
      </c>
      <c r="D22" s="136">
        <f>1-D21</f>
        <v/>
      </c>
      <c r="G22" s="111" t="inlineStr">
        <is>
          <t>Unloaded fork speed</t>
        </is>
      </c>
      <c r="H22" s="543" t="inlineStr">
        <is>
          <t>Vz2</t>
        </is>
      </c>
      <c r="I22" s="110" t="n">
        <v>2</v>
      </c>
      <c r="J22" s="111" t="inlineStr">
        <is>
          <t>m/s</t>
        </is>
      </c>
      <c r="Q22" s="550" t="inlineStr">
        <is>
          <t>Considered time</t>
        </is>
      </c>
      <c r="R22" s="534" t="n"/>
      <c r="S22" s="542">
        <f>MAX(S21:T21)</f>
        <v/>
      </c>
      <c r="T22" s="534" t="n"/>
      <c r="U22" s="542">
        <f>MAX(U21:V21)</f>
        <v/>
      </c>
      <c r="V22" s="534" t="n"/>
      <c r="W22" s="542">
        <f>MAX(W21:X21)</f>
        <v/>
      </c>
      <c r="X22" s="534" t="n"/>
      <c r="Y22" s="542">
        <f>MAX(Y21:Z21)</f>
        <v/>
      </c>
      <c r="Z22" s="534" t="n"/>
      <c r="AA22" s="542">
        <f>MAX(AA21:AB21)</f>
        <v/>
      </c>
      <c r="AB22" s="534" t="n"/>
      <c r="AC22" s="542">
        <f>MAX(AC21:AD21)</f>
        <v/>
      </c>
      <c r="AD22" s="534" t="n"/>
      <c r="AE22" s="542">
        <f>MAX(AE21:AF21)</f>
        <v/>
      </c>
      <c r="AF22" s="534" t="n"/>
    </row>
    <row r="23" ht="17" customHeight="1" s="516">
      <c r="G23" s="111" t="inlineStr">
        <is>
          <t>Unloaded fork Acc.</t>
        </is>
      </c>
      <c r="H23" s="543" t="inlineStr">
        <is>
          <t>Az2</t>
        </is>
      </c>
      <c r="I23" s="110" t="n">
        <v>5</v>
      </c>
      <c r="J23" s="111" t="inlineStr">
        <is>
          <t>m/s2</t>
        </is>
      </c>
    </row>
    <row r="24" ht="17" customHeight="1" s="516">
      <c r="A24" s="104" t="inlineStr">
        <is>
          <t>Input Parameters</t>
        </is>
      </c>
      <c r="B24" s="105" t="n"/>
      <c r="C24" s="103" t="n"/>
      <c r="L24" s="543" t="n"/>
      <c r="M24" s="126" t="inlineStr">
        <is>
          <t>Single deep</t>
        </is>
      </c>
      <c r="N24" s="126" t="inlineStr">
        <is>
          <t>Double Deep</t>
        </is>
      </c>
    </row>
    <row r="25" ht="17" customHeight="1" s="516">
      <c r="A25" s="108" t="inlineStr">
        <is>
          <t>Parameters</t>
        </is>
      </c>
      <c r="B25" s="109" t="inlineStr">
        <is>
          <t>Abb</t>
        </is>
      </c>
      <c r="C25" s="109" t="inlineStr">
        <is>
          <t>Value</t>
        </is>
      </c>
      <c r="D25" s="108" t="inlineStr">
        <is>
          <t>Unit</t>
        </is>
      </c>
      <c r="K25" s="103" t="n"/>
      <c r="L25" s="543" t="inlineStr">
        <is>
          <t>Dist. Lift</t>
        </is>
      </c>
      <c r="M25" s="116" t="n">
        <v>0.11</v>
      </c>
      <c r="N25" s="116" t="n">
        <v>0.11</v>
      </c>
    </row>
    <row r="26" ht="17" customHeight="1" s="516">
      <c r="A26" s="111" t="inlineStr">
        <is>
          <t>Travel distance</t>
        </is>
      </c>
      <c r="B26" s="543" t="inlineStr">
        <is>
          <t>L</t>
        </is>
      </c>
      <c r="C26" s="145" t="n">
        <v>58.3</v>
      </c>
      <c r="D26" s="111" t="inlineStr">
        <is>
          <t>m</t>
        </is>
      </c>
      <c r="G26" s="543" t="n"/>
      <c r="H26" s="543" t="inlineStr">
        <is>
          <t>X</t>
        </is>
      </c>
      <c r="I26" s="543" t="inlineStr">
        <is>
          <t>Y</t>
        </is>
      </c>
      <c r="K26" s="103" t="n"/>
      <c r="L26" s="543" t="inlineStr">
        <is>
          <t>Speed Lift</t>
        </is>
      </c>
      <c r="M26" s="116" t="n">
        <v>0.025</v>
      </c>
      <c r="N26" s="116" t="n">
        <v>0.025</v>
      </c>
    </row>
    <row r="27" ht="17" customHeight="1" s="516">
      <c r="A27" s="111" t="inlineStr">
        <is>
          <t>Hoist distance</t>
        </is>
      </c>
      <c r="B27" s="543" t="inlineStr">
        <is>
          <t>H</t>
        </is>
      </c>
      <c r="C27" s="145" t="n">
        <v>13.1</v>
      </c>
      <c r="D27" s="111" t="inlineStr">
        <is>
          <t>m</t>
        </is>
      </c>
      <c r="G27" s="543" t="inlineStr">
        <is>
          <t>Infeed Point</t>
        </is>
      </c>
      <c r="H27" s="145" t="n">
        <v>0</v>
      </c>
      <c r="I27" s="145" t="n">
        <v>1.5</v>
      </c>
      <c r="K27" s="103" t="n"/>
    </row>
    <row r="28" ht="30" customHeight="1" s="516">
      <c r="A28" s="111" t="inlineStr">
        <is>
          <t>Fork Distance Deep 1</t>
        </is>
      </c>
      <c r="B28" s="543" t="inlineStr">
        <is>
          <t>Z1</t>
        </is>
      </c>
      <c r="C28" s="146" t="n">
        <v>0.7</v>
      </c>
      <c r="D28" s="111" t="inlineStr">
        <is>
          <t>m</t>
        </is>
      </c>
      <c r="G28" s="543" t="inlineStr">
        <is>
          <t>Outfeed Point</t>
        </is>
      </c>
      <c r="H28" s="145" t="n">
        <v>0</v>
      </c>
      <c r="I28" s="145" t="n">
        <v>1.5</v>
      </c>
    </row>
    <row r="29" ht="17" customHeight="1" s="516">
      <c r="A29" s="111" t="inlineStr">
        <is>
          <t>Fork Distance Deep 2</t>
        </is>
      </c>
      <c r="B29" s="543" t="inlineStr">
        <is>
          <t>Z2</t>
        </is>
      </c>
      <c r="C29" s="145" t="n">
        <v>1.4</v>
      </c>
      <c r="D29" s="111" t="inlineStr">
        <is>
          <t>m</t>
        </is>
      </c>
    </row>
    <row r="30" ht="17" customHeight="1" s="516"/>
    <row r="31" ht="17" customHeight="1" s="516"/>
    <row r="34">
      <c r="I34" s="543" t="inlineStr">
        <is>
          <t>Single Deep</t>
        </is>
      </c>
      <c r="J34" s="534" t="n"/>
      <c r="K34" s="543" t="inlineStr">
        <is>
          <t>Double Deep</t>
        </is>
      </c>
      <c r="L34" s="534" t="n"/>
    </row>
    <row r="35">
      <c r="H35" s="102" t="n"/>
      <c r="I35" s="543" t="inlineStr">
        <is>
          <t>Loaded</t>
        </is>
      </c>
      <c r="J35" s="543" t="inlineStr">
        <is>
          <t>Unloaded</t>
        </is>
      </c>
      <c r="K35" s="543" t="inlineStr">
        <is>
          <t>Loaded</t>
        </is>
      </c>
      <c r="L35" s="543" t="inlineStr">
        <is>
          <t>Unloaded</t>
        </is>
      </c>
    </row>
    <row r="36">
      <c r="G36" s="111" t="inlineStr">
        <is>
          <t>Travel Dist</t>
        </is>
      </c>
      <c r="H36" s="111" t="n"/>
      <c r="I36" s="123">
        <f>C28</f>
        <v/>
      </c>
      <c r="J36" s="117">
        <f>C28</f>
        <v/>
      </c>
      <c r="K36" s="113">
        <f>C29</f>
        <v/>
      </c>
      <c r="L36" s="542">
        <f>C29</f>
        <v/>
      </c>
    </row>
    <row r="37">
      <c r="G37" s="121" t="inlineStr">
        <is>
          <t>Accelaration time</t>
        </is>
      </c>
      <c r="H37" s="121" t="n"/>
      <c r="I37" s="549">
        <f>IF(I36&gt;=($I$20^2/$I$21),$I$20/$I$21,(I36/$I$21)^0.5)</f>
        <v/>
      </c>
      <c r="J37" s="549">
        <f>IF(J36&gt;=($I$22^2/$I$23),$I$22/$I$23,(J36/$I$23)^0.5)</f>
        <v/>
      </c>
      <c r="K37" s="549">
        <f>IF(K36&gt;=($I$20^2/$I$21),$I$20/$I$21,(K36/$I$21)^0.5)</f>
        <v/>
      </c>
      <c r="L37" s="549">
        <f>IF(L36&gt;=($I$22^2/$I$23),$I$22/$I$23,(L36/$I$23)^0.5)</f>
        <v/>
      </c>
    </row>
    <row r="38">
      <c r="G38" s="121" t="inlineStr">
        <is>
          <t>Ct speed time</t>
        </is>
      </c>
      <c r="H38" s="121" t="n"/>
      <c r="I38" s="549">
        <f>IF(I36&lt;($I$20^2/$I$21),0,(I36-$I$20^2/$I$21)/$I$20)</f>
        <v/>
      </c>
      <c r="J38" s="549">
        <f>IF(J36&lt;($I$22^2/$I$23),0,(J36-$I$22^2/$I$23)/$I$22)</f>
        <v/>
      </c>
      <c r="K38" s="549">
        <f>IF(K36&lt;($I$20^2/$I$21),0,(K36-$I$20^2/$I$21)/$I$20)</f>
        <v/>
      </c>
      <c r="L38" s="549">
        <f>IF(L36&lt;($I$22^2/$I$23),0,(L36-$I$22^2/$I$23)/$I$22)</f>
        <v/>
      </c>
    </row>
    <row r="39">
      <c r="G39" s="121" t="inlineStr">
        <is>
          <t>Dec. time</t>
        </is>
      </c>
      <c r="H39" s="121" t="n"/>
      <c r="I39" s="549">
        <f>I37</f>
        <v/>
      </c>
      <c r="J39" s="549">
        <f>J37</f>
        <v/>
      </c>
      <c r="K39" s="549">
        <f>K37</f>
        <v/>
      </c>
      <c r="L39" s="549">
        <f>L37</f>
        <v/>
      </c>
    </row>
    <row r="40">
      <c r="G40" s="121" t="inlineStr">
        <is>
          <t>positining time</t>
        </is>
      </c>
      <c r="H40" s="121" t="n"/>
      <c r="I40" s="549" t="n">
        <v>1</v>
      </c>
      <c r="J40" s="549" t="n">
        <v>1</v>
      </c>
      <c r="K40" s="549" t="n">
        <v>1</v>
      </c>
      <c r="L40" s="549" t="n">
        <v>1</v>
      </c>
    </row>
    <row r="41">
      <c r="H41" s="124" t="inlineStr">
        <is>
          <t>Total</t>
        </is>
      </c>
      <c r="I41" s="125">
        <f>SUM(I37:I40)</f>
        <v/>
      </c>
      <c r="J41" s="125">
        <f>SUM(J37:J40)</f>
        <v/>
      </c>
      <c r="K41" s="125">
        <f>SUM(K37:K40)</f>
        <v/>
      </c>
      <c r="L41" s="125">
        <f>SUM(L37:L40)</f>
        <v/>
      </c>
    </row>
    <row r="42">
      <c r="G42" s="121" t="inlineStr">
        <is>
          <t>Up/Down time</t>
        </is>
      </c>
      <c r="H42" s="121" t="n"/>
      <c r="I42" s="549">
        <f>M25/M26</f>
        <v/>
      </c>
      <c r="J42" s="534" t="n"/>
      <c r="K42" s="549">
        <f>N25/N26</f>
        <v/>
      </c>
      <c r="L42" s="534" t="n"/>
    </row>
    <row r="43">
      <c r="G43" s="544" t="inlineStr">
        <is>
          <t xml:space="preserve">Total Forking time </t>
        </is>
      </c>
      <c r="H43" s="534" t="n"/>
      <c r="I43" s="542">
        <f>I41+I42+J41</f>
        <v/>
      </c>
      <c r="J43" s="534" t="n"/>
      <c r="K43" s="542">
        <f>K41+K42+L41</f>
        <v/>
      </c>
      <c r="L43" s="534" t="n"/>
    </row>
    <row r="44">
      <c r="G44" s="544" t="inlineStr">
        <is>
          <t xml:space="preserve">Avg Forking time </t>
        </is>
      </c>
      <c r="H44" s="534" t="n"/>
      <c r="I44" s="127">
        <f>(I43+K43)/2</f>
        <v/>
      </c>
      <c r="J44" s="128" t="n"/>
      <c r="K44" s="128" t="n"/>
      <c r="L44" s="128" t="n"/>
    </row>
    <row r="47">
      <c r="G47" s="102" t="inlineStr">
        <is>
          <t>Total Pallet Movement</t>
        </is>
      </c>
      <c r="H47" s="103" t="n">
        <v>220</v>
      </c>
    </row>
    <row r="48">
      <c r="G48" s="102" t="inlineStr">
        <is>
          <t>Total Storage</t>
        </is>
      </c>
    </row>
    <row r="49">
      <c r="G49" s="102" t="inlineStr">
        <is>
          <t>Total Retrieval</t>
        </is>
      </c>
    </row>
    <row r="50">
      <c r="G50" s="102" t="inlineStr">
        <is>
          <t>%Double Cycles</t>
        </is>
      </c>
      <c r="H50" s="129" t="n">
        <v>0.7</v>
      </c>
    </row>
    <row r="51">
      <c r="G51" s="102" t="inlineStr">
        <is>
          <t>Number of Double Cycles</t>
        </is>
      </c>
      <c r="H51" s="103" t="n">
        <v>77</v>
      </c>
    </row>
    <row r="52">
      <c r="G52" s="102" t="inlineStr">
        <is>
          <t>Number of Single Cycles</t>
        </is>
      </c>
      <c r="H52" s="103" t="n">
        <v>66</v>
      </c>
    </row>
    <row r="53">
      <c r="G53" s="102" t="inlineStr">
        <is>
          <t>Double cycles per crane</t>
        </is>
      </c>
    </row>
    <row r="54">
      <c r="G54" s="102" t="inlineStr">
        <is>
          <t>Single cycles per crane</t>
        </is>
      </c>
    </row>
  </sheetData>
  <sheetProtection selectLockedCells="0" selectUnlockedCells="0" algorithmName="SHA-512" sheet="1" objects="1" insertRows="1" insertHyperlinks="1" autoFilter="1" scenarios="1" formatColumns="1" deleteColumns="1" insertColumns="1" pivotTables="1" deleteRows="1" formatCells="1" saltValue="Pgl7SopAiVDM2oZj9bSV0g==" formatRows="1" sort="1" spinCount="100000" hashValue="uON3p8bQ0D03ceZ9T0K0FANbWu0P0qk3w34R6cyCdCsm42nFVdbHiT4xppg77wzMu5MyNrfvVZ2m+KsM/lkBgQ=="/>
  <mergeCells count="30">
    <mergeCell ref="S22:T22"/>
    <mergeCell ref="I34:J34"/>
    <mergeCell ref="G43:H43"/>
    <mergeCell ref="U22:V22"/>
    <mergeCell ref="K34:L34"/>
    <mergeCell ref="S12:T12"/>
    <mergeCell ref="AA13:AB13"/>
    <mergeCell ref="AE22:AF22"/>
    <mergeCell ref="AC13:AD13"/>
    <mergeCell ref="AC12:AD12"/>
    <mergeCell ref="AE12:AF12"/>
    <mergeCell ref="S13:T13"/>
    <mergeCell ref="W22:X22"/>
    <mergeCell ref="U13:V13"/>
    <mergeCell ref="Y22:Z22"/>
    <mergeCell ref="I43:J43"/>
    <mergeCell ref="U12:V12"/>
    <mergeCell ref="K43:L43"/>
    <mergeCell ref="W12:X12"/>
    <mergeCell ref="I42:J42"/>
    <mergeCell ref="K42:L42"/>
    <mergeCell ref="Q22:R22"/>
    <mergeCell ref="AE13:AF13"/>
    <mergeCell ref="Y13:Z13"/>
    <mergeCell ref="AC22:AD22"/>
    <mergeCell ref="Y12:Z12"/>
    <mergeCell ref="AA12:AB12"/>
    <mergeCell ref="G44:H44"/>
    <mergeCell ref="W13:X13"/>
    <mergeCell ref="AA22:AB22"/>
  </mergeCells>
  <conditionalFormatting sqref="B10:B11">
    <cfRule type="cellIs" priority="1" operator="lessThan" dxfId="1">
      <formula>$A$39</formula>
    </cfRule>
  </conditionalFormatting>
  <pageMargins left="0.75" right="0.75" top="1" bottom="1" header="0.5" footer="0.5"/>
  <pageSetup orientation="landscape" paperSize="9" scale="83"/>
  <drawing r:id="rId1"/>
</worksheet>
</file>

<file path=xl/worksheets/sheet11.xml><?xml version="1.0" encoding="utf-8"?>
<worksheet xmlns:r="http://schemas.openxmlformats.org/officeDocument/2006/relationships" xmlns="http://schemas.openxmlformats.org/spreadsheetml/2006/main">
  <sheetPr codeName="Sheet11">
    <tabColor theme="7"/>
    <outlinePr summaryBelow="1" summaryRight="1"/>
    <pageSetUpPr fitToPage="1"/>
  </sheetPr>
  <dimension ref="A2:BA57"/>
  <sheetViews>
    <sheetView showGridLines="0" zoomScale="85" zoomScaleNormal="85" workbookViewId="0">
      <selection activeCell="B10" sqref="B10"/>
    </sheetView>
  </sheetViews>
  <sheetFormatPr baseColWidth="10" defaultColWidth="9.1640625" defaultRowHeight="15"/>
  <cols>
    <col width="27.5" bestFit="1" customWidth="1" style="131" min="1" max="1"/>
    <col width="27.5" customWidth="1" style="131" min="2" max="2"/>
    <col width="12.83203125" bestFit="1" customWidth="1" style="131" min="3" max="4"/>
    <col width="9.1640625" customWidth="1" style="131" min="5" max="5"/>
    <col hidden="1" width="12.5" customWidth="1" style="102" min="6" max="6"/>
    <col width="25.5" customWidth="1" style="102" min="7" max="7"/>
    <col width="7.5" customWidth="1" style="103" min="8" max="8"/>
    <col width="9.1640625" customWidth="1" style="103" min="9" max="9"/>
    <col width="7.5" customWidth="1" style="102" min="10" max="10"/>
    <col width="9.1640625" customWidth="1" style="102" min="11" max="11"/>
    <col width="17.6640625" customWidth="1" style="103" min="12" max="12"/>
    <col width="11.83203125" customWidth="1" style="103" min="13" max="13"/>
    <col width="12.33203125" customWidth="1" style="103" min="14" max="14"/>
    <col width="15.1640625" customWidth="1" style="103" min="15" max="15"/>
    <col width="9.1640625" customWidth="1" style="102" min="16" max="16"/>
    <col width="7.83203125" customWidth="1" style="102" min="17" max="17"/>
    <col width="8.33203125" customWidth="1" style="102" min="18" max="18"/>
    <col width="9.5" customWidth="1" style="102" min="19" max="19"/>
    <col width="9.33203125" customWidth="1" style="102" min="20" max="20"/>
    <col width="9.5" customWidth="1" style="102" min="21" max="21"/>
    <col width="9.1640625" customWidth="1" style="102" min="22" max="22"/>
    <col width="9.6640625" customWidth="1" style="102" min="23" max="23"/>
    <col width="9.1640625" customWidth="1" style="102" min="24" max="26"/>
    <col width="8.6640625" customWidth="1" style="102" min="27" max="27"/>
    <col width="9.1640625" customWidth="1" style="102" min="28" max="28"/>
    <col width="9.33203125" customWidth="1" style="102" min="29" max="29"/>
    <col width="9.1640625" customWidth="1" style="102" min="30" max="34"/>
    <col width="2.6640625" customWidth="1" style="456" min="35" max="35"/>
    <col width="9.1640625" customWidth="1" style="102" min="36" max="37"/>
    <col width="18.1640625" bestFit="1" customWidth="1" style="102" min="38" max="38"/>
    <col width="9.1640625" customWidth="1" style="102" min="39" max="39"/>
    <col width="10.83203125" customWidth="1" style="102" min="40" max="53"/>
    <col width="9.1640625" customWidth="1" style="102" min="54" max="54"/>
    <col width="9.1640625" customWidth="1" style="102" min="55" max="16384"/>
  </cols>
  <sheetData>
    <row r="2">
      <c r="B2" s="1">
        <f>'Master List'!$F$2</f>
        <v/>
      </c>
    </row>
    <row r="4">
      <c r="A4" s="34" t="inlineStr">
        <is>
          <t>Equipment</t>
        </is>
      </c>
      <c r="B4" s="33" t="inlineStr">
        <is>
          <t>ASRS Stacker Crane</t>
        </is>
      </c>
      <c r="AL4" s="102" t="inlineStr">
        <is>
          <t>Gebhardt</t>
        </is>
      </c>
      <c r="AM4" s="102" t="n">
        <v>1</v>
      </c>
    </row>
    <row r="5">
      <c r="A5" s="34" t="inlineStr">
        <is>
          <t>Utilization</t>
        </is>
      </c>
      <c r="B5" s="402">
        <f>B20</f>
        <v/>
      </c>
      <c r="R5" s="107" t="inlineStr">
        <is>
          <t>FEM Locations</t>
        </is>
      </c>
      <c r="S5" s="103" t="n"/>
      <c r="T5" s="103" t="n"/>
      <c r="AL5" s="102" t="inlineStr">
        <is>
          <t>Addverb</t>
        </is>
      </c>
      <c r="AM5" s="102" t="n">
        <v>2</v>
      </c>
    </row>
    <row r="6" ht="17" customHeight="1" s="516">
      <c r="A6" s="180" t="inlineStr">
        <is>
          <t>Project name</t>
        </is>
      </c>
      <c r="B6" s="181" t="n"/>
      <c r="R6" s="543" t="n"/>
      <c r="S6" s="543" t="inlineStr">
        <is>
          <t>X</t>
        </is>
      </c>
      <c r="T6" s="543" t="inlineStr">
        <is>
          <t>Y</t>
        </is>
      </c>
      <c r="AK6" s="457" t="n"/>
      <c r="AM6" s="102" t="n">
        <v>3</v>
      </c>
    </row>
    <row r="7">
      <c r="A7" s="180" t="inlineStr">
        <is>
          <t>Revision</t>
        </is>
      </c>
      <c r="B7" s="181" t="n"/>
      <c r="R7" s="543" t="inlineStr">
        <is>
          <t>P1E</t>
        </is>
      </c>
      <c r="S7" s="542">
        <f>IF(H30&lt;0,$C$28/5,IF(AND(0&lt;=H30,H30&lt;C28/2),$C$28/5+H30/3,IF(AND(C28/2&lt;=H30,H30&lt;=C28),$C$28-(C28/5+(C28-H30)/3),"error")))</f>
        <v/>
      </c>
      <c r="T7" s="542">
        <f>IF(I30&lt;0,2*$C$29/3,IF(AND(0&lt;=I30,I30&lt;C29/2),2*$C$29/3+I30/3,IF(AND(C29/2&lt;=I30,I30&lt;=C29),$C$29-(2*C29/3+(C29-I30)/3),"error")))</f>
        <v/>
      </c>
      <c r="AM7" s="102" t="n">
        <v>4</v>
      </c>
    </row>
    <row r="8">
      <c r="G8" s="102" t="inlineStr">
        <is>
          <t>Travel - X direction</t>
        </is>
      </c>
      <c r="H8" s="102" t="n"/>
      <c r="I8" s="102" t="n"/>
      <c r="R8" s="543" t="inlineStr">
        <is>
          <t>P2E</t>
        </is>
      </c>
      <c r="S8" s="542">
        <f>IF(H30&lt;0,2*$C$28/3,IF(AND(0&lt;=H30,H30&lt;C28/2),2*$C$28/3+H30/3,IF(AND(C28/2&lt;=H30,H30&lt;=C28),$C$28-(2*C28/3+(C28-H30)/3),"error")))</f>
        <v/>
      </c>
      <c r="T8" s="542">
        <f>IF(I30&lt;0,$C$29/5,IF(AND(0&lt;=I30,I30&lt;C29/2),$C$29/5+I30/3,IF(AND(C29/2&lt;=I30,I30&lt;=C29),$C$29-(C29/5+(C29-I30)/3),"error")))</f>
        <v/>
      </c>
      <c r="U8" s="130" t="n"/>
      <c r="V8" s="130" t="n"/>
      <c r="AM8" s="102" t="n">
        <v>5</v>
      </c>
    </row>
    <row r="9" ht="21" customHeight="1" s="516">
      <c r="A9" s="138" t="inlineStr">
        <is>
          <t>Pallets per Hr</t>
        </is>
      </c>
      <c r="B9" s="53">
        <f>SUMPRODUCT(D23:D24,C23:C24)</f>
        <v/>
      </c>
      <c r="F9" s="102">
        <f>$B$12&amp;$B$13</f>
        <v/>
      </c>
      <c r="G9" s="111" t="inlineStr">
        <is>
          <t>Speed</t>
        </is>
      </c>
      <c r="H9" s="543" t="inlineStr">
        <is>
          <t>Vx</t>
        </is>
      </c>
      <c r="I9" s="110">
        <f>HLOOKUP(F9,$AN$17:$AZ$21,2,0)</f>
        <v/>
      </c>
      <c r="J9" s="111" t="inlineStr">
        <is>
          <t>m/s</t>
        </is>
      </c>
      <c r="M9" s="113" t="n"/>
      <c r="R9" s="543" t="inlineStr">
        <is>
          <t>P1A</t>
        </is>
      </c>
      <c r="S9" s="542">
        <f>IF(H31&lt;0,$C$28/5,IF(AND(0&lt;=H31,H31&lt;C28/2),$C$28/5+H31/3,IF(AND(C28/2&lt;=H31,H31&lt;=C28),$C$28-(C28/5+(C28-H31)/3),"error")))</f>
        <v/>
      </c>
      <c r="T9" s="542">
        <f>IF(I31&lt;0,2*$C$29/3,IF(AND(0&lt;=I31,I31&lt;C29/2),2*$C$29/3+I31/3,IF(AND(C29/2&lt;=I31,I31&lt;=C29),$C$29-(2*C29/3+(C29-I31)/3),"error")))</f>
        <v/>
      </c>
      <c r="U9" s="130" t="n"/>
      <c r="V9" s="130" t="n"/>
      <c r="AM9" s="102" t="n">
        <v>6</v>
      </c>
    </row>
    <row r="10" ht="21" customHeight="1" s="516">
      <c r="A10" s="138" t="inlineStr">
        <is>
          <t>Cranes required</t>
        </is>
      </c>
      <c r="B10" s="53">
        <f>ROUNDUP(B18/B9,0)</f>
        <v/>
      </c>
      <c r="C10" s="251">
        <f>B18/B9</f>
        <v/>
      </c>
      <c r="F10" s="102">
        <f>$B$12&amp;$B$13</f>
        <v/>
      </c>
      <c r="G10" s="111" t="inlineStr">
        <is>
          <t>Accelaration</t>
        </is>
      </c>
      <c r="H10" s="543" t="inlineStr">
        <is>
          <t>Ax</t>
        </is>
      </c>
      <c r="I10" s="110">
        <f>HLOOKUP(F10,$AN$17:$AZ$21,3,0)</f>
        <v/>
      </c>
      <c r="J10" s="111" t="inlineStr">
        <is>
          <t>m/s2</t>
        </is>
      </c>
      <c r="M10" s="113" t="n"/>
      <c r="R10" s="543" t="inlineStr">
        <is>
          <t>P2A</t>
        </is>
      </c>
      <c r="S10" s="542">
        <f>IF(H31&lt;0,2*$C$28/3,IF(AND(0&lt;=H31,H31&lt;C28/2),2*$C$28/3+H31/3,IF(AND(C28/2&lt;=H31,H31&lt;=C28),$C$28-(2*C28/3+(C28-H31)/3),"error")))</f>
        <v/>
      </c>
      <c r="T10" s="542">
        <f>IF(I31&lt;0,$C$29/5,IF(AND(0&lt;=I31,I31&lt;C29/2),$C$29/5+I31/3,IF(AND(C29/2&lt;=I31,I31&lt;=C29),$C$29-(C29/5+(C29-I31)/3),"error")))</f>
        <v/>
      </c>
      <c r="U10" s="130" t="n"/>
      <c r="V10" s="130" t="n"/>
    </row>
    <row r="11" ht="21" customHeight="1" s="516">
      <c r="A11" s="458" t="n"/>
      <c r="B11" s="247" t="n"/>
      <c r="C11" s="251" t="n"/>
      <c r="F11" s="102">
        <f>$B$12&amp;$B$13</f>
        <v/>
      </c>
      <c r="G11" s="111" t="inlineStr">
        <is>
          <t>Slow speed travel</t>
        </is>
      </c>
      <c r="H11" s="543" t="n"/>
      <c r="I11" s="110">
        <f>HLOOKUP(F11,$AN$17:$AZ$21,4,0)</f>
        <v/>
      </c>
      <c r="J11" s="111" t="inlineStr">
        <is>
          <t>m</t>
        </is>
      </c>
      <c r="M11" s="113" t="n"/>
      <c r="R11" s="103" t="n"/>
      <c r="S11" s="113" t="n"/>
      <c r="T11" s="113" t="n"/>
      <c r="U11" s="130" t="n"/>
      <c r="V11" s="130" t="n"/>
    </row>
    <row r="12" ht="21" customHeight="1" s="516">
      <c r="A12" s="133" t="inlineStr">
        <is>
          <t>Crane Make</t>
        </is>
      </c>
      <c r="B12" s="181" t="inlineStr">
        <is>
          <t>Gebhardt</t>
        </is>
      </c>
      <c r="C12" s="251" t="n"/>
      <c r="F12" s="102">
        <f>$B$12&amp;$B$13</f>
        <v/>
      </c>
      <c r="G12" s="111" t="inlineStr">
        <is>
          <t>Positioning speed</t>
        </is>
      </c>
      <c r="H12" s="111" t="n"/>
      <c r="I12" s="110">
        <f>HLOOKUP(F12,$AN$17:$AZ$21,5,0)</f>
        <v/>
      </c>
      <c r="J12" s="111" t="inlineStr">
        <is>
          <t>m/s</t>
        </is>
      </c>
      <c r="M12" s="113" t="n"/>
      <c r="R12" s="103" t="n"/>
      <c r="S12" s="113" t="n"/>
      <c r="T12" s="113" t="n"/>
      <c r="U12" s="130" t="n"/>
      <c r="V12" s="130" t="n"/>
    </row>
    <row r="13" ht="21" customHeight="1" s="516">
      <c r="A13" s="133" t="inlineStr">
        <is>
          <t>Option</t>
        </is>
      </c>
      <c r="B13" s="181" t="n">
        <v>2</v>
      </c>
      <c r="C13" s="251" t="n"/>
      <c r="H13" s="102" t="n"/>
      <c r="I13" s="102" t="n"/>
      <c r="M13" s="113" t="n"/>
      <c r="R13" s="103" t="n"/>
      <c r="S13" s="113" t="n"/>
      <c r="T13" s="113" t="n"/>
      <c r="U13" s="130" t="n"/>
      <c r="V13" s="130" t="n"/>
    </row>
    <row r="14">
      <c r="A14" s="102" t="n"/>
      <c r="B14" s="102" t="n"/>
      <c r="H14" s="102" t="n"/>
      <c r="I14" s="102" t="n"/>
      <c r="U14" s="130" t="n"/>
      <c r="V14" s="130" t="n"/>
    </row>
    <row r="15" ht="17" customHeight="1" s="516">
      <c r="A15" s="133" t="inlineStr">
        <is>
          <t>Category</t>
        </is>
      </c>
      <c r="B15" s="133" t="inlineStr">
        <is>
          <t>Pallets per Hr</t>
        </is>
      </c>
      <c r="G15" s="102" t="inlineStr">
        <is>
          <t>Hoist - Y direction</t>
        </is>
      </c>
      <c r="H15" s="102" t="n"/>
      <c r="I15" s="102" t="n"/>
      <c r="R15" s="103" t="n"/>
      <c r="U15" s="547" t="n"/>
      <c r="V15" s="548" t="n"/>
      <c r="W15" s="547" t="n"/>
      <c r="X15" s="548" t="n"/>
      <c r="Y15" s="547" t="n"/>
      <c r="Z15" s="548" t="n"/>
      <c r="AA15" s="547" t="n"/>
      <c r="AB15" s="548" t="n"/>
      <c r="AC15" s="547" t="n"/>
      <c r="AD15" s="548" t="n"/>
      <c r="AE15" s="547" t="n"/>
      <c r="AF15" s="548" t="n"/>
      <c r="AN15" s="99" t="n">
        <v>1</v>
      </c>
      <c r="AO15" s="99" t="n">
        <v>2</v>
      </c>
      <c r="AP15" s="99" t="n">
        <v>3</v>
      </c>
      <c r="AQ15" s="99" t="n">
        <v>4</v>
      </c>
      <c r="AR15" s="99" t="n">
        <v>1</v>
      </c>
      <c r="AS15" s="99" t="n">
        <v>2</v>
      </c>
      <c r="AT15" s="99" t="n">
        <v>3</v>
      </c>
      <c r="AU15" s="99" t="n"/>
      <c r="AV15" s="99" t="n"/>
      <c r="AW15" s="99" t="n"/>
      <c r="AX15" s="99" t="n"/>
      <c r="AY15" s="99" t="n"/>
      <c r="AZ15" s="99" t="n"/>
    </row>
    <row r="16" ht="17" customHeight="1" s="516">
      <c r="A16" s="134" t="inlineStr">
        <is>
          <t>Inbound</t>
        </is>
      </c>
      <c r="B16" s="135" t="n">
        <v>100</v>
      </c>
      <c r="F16" s="102">
        <f>$B$12&amp;$B$13</f>
        <v/>
      </c>
      <c r="G16" s="111" t="inlineStr">
        <is>
          <t>Hoist Speed</t>
        </is>
      </c>
      <c r="H16" s="543" t="inlineStr">
        <is>
          <t>Vy</t>
        </is>
      </c>
      <c r="I16" s="110">
        <f>HLOOKUP(F16,$AN$24:$AZ$28,2,0)</f>
        <v/>
      </c>
      <c r="J16" s="111" t="inlineStr">
        <is>
          <t>m/s</t>
        </is>
      </c>
      <c r="L16" s="544" t="inlineStr">
        <is>
          <t>Throughput</t>
        </is>
      </c>
      <c r="M16" s="543" t="inlineStr">
        <is>
          <t>Sec/cycle</t>
        </is>
      </c>
      <c r="N16" s="543" t="inlineStr">
        <is>
          <t>Desired</t>
        </is>
      </c>
      <c r="O16" s="543" t="inlineStr">
        <is>
          <t>Cranes needed</t>
        </is>
      </c>
      <c r="R16" s="103" t="n"/>
      <c r="S16" s="543" t="inlineStr">
        <is>
          <t>E - P1E</t>
        </is>
      </c>
      <c r="T16" s="534" t="n"/>
      <c r="U16" s="543" t="inlineStr">
        <is>
          <t>E - P2E</t>
        </is>
      </c>
      <c r="V16" s="534" t="n"/>
      <c r="W16" s="543" t="inlineStr">
        <is>
          <t>P1E - P2E</t>
        </is>
      </c>
      <c r="X16" s="534" t="n"/>
      <c r="Y16" s="543" t="inlineStr">
        <is>
          <t>A - P1A</t>
        </is>
      </c>
      <c r="Z16" s="534" t="n"/>
      <c r="AA16" s="543" t="inlineStr">
        <is>
          <t>A - P2A</t>
        </is>
      </c>
      <c r="AB16" s="534" t="n"/>
      <c r="AC16" s="543" t="inlineStr">
        <is>
          <t>P1A - P2A</t>
        </is>
      </c>
      <c r="AD16" s="534" t="n"/>
      <c r="AE16" s="543" t="inlineStr">
        <is>
          <t>A - E</t>
        </is>
      </c>
      <c r="AF16" s="534" t="n"/>
      <c r="AM16" s="99" t="n"/>
      <c r="AN16" s="454" t="inlineStr">
        <is>
          <t>Gebhardt</t>
        </is>
      </c>
      <c r="AO16" s="454" t="inlineStr">
        <is>
          <t>Gebhardt</t>
        </is>
      </c>
      <c r="AP16" s="454" t="inlineStr">
        <is>
          <t>Gebhardt</t>
        </is>
      </c>
      <c r="AQ16" s="454" t="inlineStr">
        <is>
          <t>Gebhardt</t>
        </is>
      </c>
      <c r="AR16" s="454" t="inlineStr">
        <is>
          <t>Addverb</t>
        </is>
      </c>
      <c r="AS16" s="454" t="inlineStr">
        <is>
          <t>Addverb</t>
        </is>
      </c>
      <c r="AT16" s="454" t="inlineStr">
        <is>
          <t>Addverb</t>
        </is>
      </c>
      <c r="AU16" s="454" t="n"/>
      <c r="AV16" s="454" t="n"/>
      <c r="AW16" s="454" t="n"/>
      <c r="AX16" s="454" t="n"/>
      <c r="AY16" s="454" t="n"/>
      <c r="AZ16" s="454" t="n"/>
      <c r="BA16" s="99" t="n"/>
    </row>
    <row r="17" ht="17" customHeight="1" s="516">
      <c r="A17" s="134" t="inlineStr">
        <is>
          <t>Outbound</t>
        </is>
      </c>
      <c r="B17" s="135" t="n">
        <v>150</v>
      </c>
      <c r="F17" s="102">
        <f>$B$12&amp;$B$13</f>
        <v/>
      </c>
      <c r="G17" s="111" t="inlineStr">
        <is>
          <t>Hoist Accelaration</t>
        </is>
      </c>
      <c r="H17" s="543" t="inlineStr">
        <is>
          <t>Ay</t>
        </is>
      </c>
      <c r="I17" s="110">
        <f>HLOOKUP(F17,$AN$24:$AZ$28,3,0)</f>
        <v/>
      </c>
      <c r="J17" s="111" t="inlineStr">
        <is>
          <t>m/s2</t>
        </is>
      </c>
      <c r="L17" s="544" t="inlineStr">
        <is>
          <t>Single input cycle</t>
        </is>
      </c>
      <c r="M17" s="542">
        <f>S25+U25+I46+I47</f>
        <v/>
      </c>
      <c r="N17" s="116" t="n">
        <v>5</v>
      </c>
      <c r="O17" s="117">
        <f>N17/(3600/M17)</f>
        <v/>
      </c>
      <c r="S17" s="543" t="inlineStr">
        <is>
          <t>X</t>
        </is>
      </c>
      <c r="T17" s="543" t="inlineStr">
        <is>
          <t>Y</t>
        </is>
      </c>
      <c r="U17" s="543" t="inlineStr">
        <is>
          <t>X</t>
        </is>
      </c>
      <c r="V17" s="543" t="inlineStr">
        <is>
          <t>Y</t>
        </is>
      </c>
      <c r="W17" s="543" t="inlineStr">
        <is>
          <t>X</t>
        </is>
      </c>
      <c r="X17" s="543" t="inlineStr">
        <is>
          <t>Y</t>
        </is>
      </c>
      <c r="Y17" s="543" t="inlineStr">
        <is>
          <t>X</t>
        </is>
      </c>
      <c r="Z17" s="543" t="inlineStr">
        <is>
          <t>Y</t>
        </is>
      </c>
      <c r="AA17" s="543" t="inlineStr">
        <is>
          <t>X</t>
        </is>
      </c>
      <c r="AB17" s="543" t="inlineStr">
        <is>
          <t>Y</t>
        </is>
      </c>
      <c r="AC17" s="543" t="inlineStr">
        <is>
          <t>X</t>
        </is>
      </c>
      <c r="AD17" s="543" t="inlineStr">
        <is>
          <t>Y</t>
        </is>
      </c>
      <c r="AE17" s="543" t="inlineStr">
        <is>
          <t>X</t>
        </is>
      </c>
      <c r="AF17" s="543" t="inlineStr">
        <is>
          <t>Y</t>
        </is>
      </c>
      <c r="AL17" s="104" t="inlineStr">
        <is>
          <t>Travel - X direction</t>
        </is>
      </c>
      <c r="AN17" s="459">
        <f>AN16&amp;AN15</f>
        <v/>
      </c>
      <c r="AO17" s="459">
        <f>AO16&amp;AO15</f>
        <v/>
      </c>
      <c r="AP17" s="459">
        <f>AP16&amp;AP15</f>
        <v/>
      </c>
      <c r="AQ17" s="459">
        <f>AQ16&amp;AQ15</f>
        <v/>
      </c>
      <c r="AR17" s="459">
        <f>AR16&amp;AR15</f>
        <v/>
      </c>
      <c r="AS17" s="459">
        <f>AS16&amp;AS15</f>
        <v/>
      </c>
      <c r="AT17" s="459">
        <f>AT16&amp;AT15</f>
        <v/>
      </c>
      <c r="AU17" s="459" t="n"/>
      <c r="AV17" s="459" t="n"/>
      <c r="AW17" s="459" t="n"/>
      <c r="AX17" s="459" t="n"/>
      <c r="AY17" s="459" t="n"/>
      <c r="AZ17" s="459" t="n"/>
    </row>
    <row r="18" ht="17" customHeight="1" s="516">
      <c r="A18" s="133" t="inlineStr">
        <is>
          <t>Total</t>
        </is>
      </c>
      <c r="B18" s="133">
        <f>SUM(B16:B17)</f>
        <v/>
      </c>
      <c r="F18" s="102">
        <f>$B$12&amp;$B$13</f>
        <v/>
      </c>
      <c r="G18" s="111" t="inlineStr">
        <is>
          <t>Slow speed Hoist</t>
        </is>
      </c>
      <c r="H18" s="543" t="n"/>
      <c r="I18" s="110">
        <f>HLOOKUP(F18,$AN$24:$AZ$28,4,0)</f>
        <v/>
      </c>
      <c r="J18" s="111" t="inlineStr">
        <is>
          <t>m</t>
        </is>
      </c>
      <c r="L18" s="544" t="inlineStr">
        <is>
          <t>Single output cycle</t>
        </is>
      </c>
      <c r="M18" s="542">
        <f>Y25+AA25+I46+I47</f>
        <v/>
      </c>
      <c r="N18" s="116" t="n">
        <v>5</v>
      </c>
      <c r="O18" s="117">
        <f>N18/(3600/M18)</f>
        <v/>
      </c>
      <c r="Q18" s="111" t="inlineStr">
        <is>
          <t>Travel Dist</t>
        </is>
      </c>
      <c r="R18" s="111" t="n"/>
      <c r="S18" s="113">
        <f>ABS(H30-S7)</f>
        <v/>
      </c>
      <c r="T18" s="542">
        <f>ABS(I30-T7)</f>
        <v/>
      </c>
      <c r="U18" s="113">
        <f>ABS(H30-S8)</f>
        <v/>
      </c>
      <c r="V18" s="542">
        <f>ABS(I30-T8)</f>
        <v/>
      </c>
      <c r="W18" s="113">
        <f>ABS(S7-S8)</f>
        <v/>
      </c>
      <c r="X18" s="542">
        <f>ABS(T7-T8)</f>
        <v/>
      </c>
      <c r="Y18" s="113">
        <f>ABS(H31-S9)</f>
        <v/>
      </c>
      <c r="Z18" s="542">
        <f>ABS(I31-T9)</f>
        <v/>
      </c>
      <c r="AA18" s="113">
        <f>ABS(H31-S10)</f>
        <v/>
      </c>
      <c r="AB18" s="542">
        <f>ABS(I31-T10)</f>
        <v/>
      </c>
      <c r="AC18" s="113">
        <f>ABS(S9-S10)</f>
        <v/>
      </c>
      <c r="AD18" s="542">
        <f>ABS(T9-T10)</f>
        <v/>
      </c>
      <c r="AE18" s="113">
        <f>ABS(H30-H31)</f>
        <v/>
      </c>
      <c r="AF18" s="542">
        <f>ABS(I30-I31)</f>
        <v/>
      </c>
      <c r="AL18" s="111" t="inlineStr">
        <is>
          <t>Speed</t>
        </is>
      </c>
      <c r="AM18" s="543" t="inlineStr">
        <is>
          <t>Vx</t>
        </is>
      </c>
      <c r="AN18" s="110" t="n">
        <v>2</v>
      </c>
      <c r="AO18" s="110" t="n">
        <v>2.5</v>
      </c>
      <c r="AP18" s="110" t="n">
        <v>3</v>
      </c>
      <c r="AQ18" s="110" t="n">
        <v>4</v>
      </c>
      <c r="AR18" s="110" t="n">
        <v>2</v>
      </c>
      <c r="AS18" s="110" t="n">
        <v>3</v>
      </c>
      <c r="AT18" s="110" t="n">
        <v>4</v>
      </c>
      <c r="AU18" s="110" t="n"/>
      <c r="AV18" s="110" t="n"/>
      <c r="AW18" s="110" t="n"/>
      <c r="AX18" s="110" t="n"/>
      <c r="AY18" s="110" t="n"/>
      <c r="AZ18" s="110" t="n"/>
      <c r="BA18" s="111" t="inlineStr">
        <is>
          <t>m/s</t>
        </is>
      </c>
    </row>
    <row r="19" ht="17" customHeight="1" s="516">
      <c r="F19" s="102">
        <f>$B$12&amp;$B$13</f>
        <v/>
      </c>
      <c r="G19" s="111" t="inlineStr">
        <is>
          <t>Positioning speed</t>
        </is>
      </c>
      <c r="H19" s="111" t="n"/>
      <c r="I19" s="110">
        <f>HLOOKUP(F19,$AN$24:$AZ$28,5,0)</f>
        <v/>
      </c>
      <c r="J19" s="111" t="inlineStr">
        <is>
          <t>m/s</t>
        </is>
      </c>
      <c r="L19" s="544" t="inlineStr">
        <is>
          <t>combined cycle</t>
        </is>
      </c>
      <c r="M19" s="542">
        <f>((S25+W25+AA25+AE25)+(U25+Y25+AC25+AE25))/2+2*I46+2*I47</f>
        <v/>
      </c>
      <c r="N19" s="116" t="n">
        <v>95</v>
      </c>
      <c r="O19" s="117">
        <f>N19/(3600/M19)</f>
        <v/>
      </c>
      <c r="Q19" s="121" t="inlineStr">
        <is>
          <t>Accelaration time</t>
        </is>
      </c>
      <c r="R19" s="121" t="n"/>
      <c r="S19" s="549">
        <f>IF((S18-$I$11)&gt;=($I$9^2/$I$10),$I$9/$I$10,((S18-$I$11)/$I$10)^0.5)</f>
        <v/>
      </c>
      <c r="T19" s="549">
        <f>IF((T18-$I$18)&gt;=($I$16^2/$I$17),$I$16/$I$17,(T18/$I$17)^0.5)</f>
        <v/>
      </c>
      <c r="U19" s="549">
        <f>IF((U18-$I$11)&gt;=($I$9^2/$I$10),$I$9/$I$10,(U18/$I$10)^0.5)</f>
        <v/>
      </c>
      <c r="V19" s="549">
        <f>IF((V18-$I$18)&gt;=($I$16^2/$I$17),$I$16/$I$17,(V18/$I$17)^0.5)</f>
        <v/>
      </c>
      <c r="W19" s="549">
        <f>IF((W18-$I$11)&gt;=($I$9^2/$I$10),$I$9/$I$10,(W18/$I$10)^0.5)</f>
        <v/>
      </c>
      <c r="X19" s="549">
        <f>IF((X18-$I$18)&gt;=($I$16^2/$I$17),$I$16/$I$17,(X18/$I$17)^0.5)</f>
        <v/>
      </c>
      <c r="Y19" s="549">
        <f>IF((Y18-$I$11)&gt;=($I$9^2/$I$10),$I$9/$I$10,(Y18/$I$10)^0.5)</f>
        <v/>
      </c>
      <c r="Z19" s="549">
        <f>IF((Z18-$I$18)&gt;=($I$16^2/$I$17),$I$16/$I$17,(Z18/$I$17)^0.5)</f>
        <v/>
      </c>
      <c r="AA19" s="549">
        <f>IF((AA18-$I$11)&gt;=($I$9^2/$I$10),$I$9/$I$10,(AA18/$I$10)^0.5)</f>
        <v/>
      </c>
      <c r="AB19" s="549">
        <f>IF((AB18-$I$18)&gt;=($I$16^2/$I$17),$I$16/$I$17,(AB18/$I$17)^0.5)</f>
        <v/>
      </c>
      <c r="AC19" s="549">
        <f>IF((AC18-$I$11)&gt;=($I$9^2/$I$10),$I$9/$I$10,(AC18/$I$10)^0.5)</f>
        <v/>
      </c>
      <c r="AD19" s="549">
        <f>IF((AD18-$I$18)&gt;=($I$16^2/$I$17),$I$16/$I$17,(AD18/$I$17)^0.5)</f>
        <v/>
      </c>
      <c r="AE19" s="549">
        <f>IF((AE18-$I$11)&gt;=($I$9^2/$I$10),$I$9/$I$10,(AE18/$I$10)^0.5)</f>
        <v/>
      </c>
      <c r="AF19" s="549">
        <f>IF((AF18-$I$18)&gt;=($I$16^2/$I$17),$I$16/$I$17,(AF18/$I$17)^0.5)</f>
        <v/>
      </c>
      <c r="AL19" s="111" t="inlineStr">
        <is>
          <t>Accelaration</t>
        </is>
      </c>
      <c r="AM19" s="543" t="inlineStr">
        <is>
          <t>Ax</t>
        </is>
      </c>
      <c r="AN19" s="110" t="n">
        <v>0.5</v>
      </c>
      <c r="AO19" s="110" t="n">
        <v>0.5</v>
      </c>
      <c r="AP19" s="110" t="n">
        <v>0.5</v>
      </c>
      <c r="AQ19" s="110" t="n">
        <v>0.8</v>
      </c>
      <c r="AR19" s="110" t="n">
        <v>0.5</v>
      </c>
      <c r="AS19" s="110">
        <f>AP19</f>
        <v/>
      </c>
      <c r="AT19" s="110" t="n">
        <v>0.8</v>
      </c>
      <c r="AU19" s="110" t="n"/>
      <c r="AV19" s="110" t="n"/>
      <c r="AW19" s="110" t="n"/>
      <c r="AX19" s="110" t="n"/>
      <c r="AY19" s="110" t="n"/>
      <c r="AZ19" s="110" t="n"/>
      <c r="BA19" s="111" t="inlineStr">
        <is>
          <t>m/s2</t>
        </is>
      </c>
    </row>
    <row r="20" ht="17" customHeight="1" s="516">
      <c r="A20" s="133" t="inlineStr">
        <is>
          <t>Utilization</t>
        </is>
      </c>
      <c r="B20" s="137">
        <f>'Master List'!G1</f>
        <v/>
      </c>
      <c r="G20" s="103" t="n"/>
      <c r="J20" s="103" t="n"/>
      <c r="L20" s="103" t="inlineStr">
        <is>
          <t>Total</t>
        </is>
      </c>
      <c r="O20" s="123">
        <f>SUM(O17:O19)</f>
        <v/>
      </c>
      <c r="Q20" s="121" t="inlineStr">
        <is>
          <t>Ct speed time</t>
        </is>
      </c>
      <c r="R20" s="121" t="n"/>
      <c r="S20" s="549">
        <f>IF((S18-$I$11)&lt;($I$9^2/$I$10),0,(S18-$I$11-$I$9^2/$I$10)/$I$9)</f>
        <v/>
      </c>
      <c r="T20" s="549">
        <f>IF((T18-$I$18)&lt;($I$16^2/$I$17),0,(T18-$I$18-$I$16^2/$I$17)/$I$16)</f>
        <v/>
      </c>
      <c r="U20" s="549">
        <f>IF((U18-$I$11)&lt;($I$9^2/$I$10),0,(U18-$I$11-$I$9^2/$I$10)/$I$9)</f>
        <v/>
      </c>
      <c r="V20" s="549">
        <f>IF((V18-$I$18)&lt;($I$16^2/$I$17),0,(V18-$I$18-$I$16^2/$I$17)/$I$16)</f>
        <v/>
      </c>
      <c r="W20" s="549">
        <f>IF((W18-$I$11)&lt;($I$9^2/$I$10),0,(W18-$I$11-$I$9^2/$I$10)/$I$9)</f>
        <v/>
      </c>
      <c r="X20" s="549">
        <f>IF((X18-$I$18)&lt;($I$16^2/$I$17),0,(X18-$I$18-$I$16^2/$I$17)/$I$16)</f>
        <v/>
      </c>
      <c r="Y20" s="549">
        <f>IF((Y18-$I$11)&lt;($I$9^2/$I$10),0,(Y18-$I$11-$I$9^2/$I$10)/$I$9)</f>
        <v/>
      </c>
      <c r="Z20" s="549">
        <f>IF((Z18-$I$18)&lt;($I$16^2/$I$17),0,(Z18-$I$18-$I$16^2/$I$17)/$I$16)</f>
        <v/>
      </c>
      <c r="AA20" s="549">
        <f>IF((AA18-$I$11)&lt;($I$9^2/$I$10),0,(AA18-$I$11-$I$9^2/$I$10)/$I$9)</f>
        <v/>
      </c>
      <c r="AB20" s="549">
        <f>IF((AB18-$I$18)&lt;($I$16^2/$I$17),0,(AB18-$I$18-$I$16^2/$I$17)/$I$16)</f>
        <v/>
      </c>
      <c r="AC20" s="549">
        <f>IF((AC18-$I$11)&lt;($I$9^2/$I$10),0,(AC18-$I$11-$I$9^2/$I$10)/$I$9)</f>
        <v/>
      </c>
      <c r="AD20" s="549">
        <f>IF((AD18-$I$18)&lt;($I$16^2/$I$17),0,(AD18-$I$18-$I$16^2/$I$17)/$I$16)</f>
        <v/>
      </c>
      <c r="AE20" s="549">
        <f>IF((AE18-$I$11)&lt;($I$9^2/$I$10),0,(AE18-$I$11-$I$9^2/$I$10)/$I$9)</f>
        <v/>
      </c>
      <c r="AF20" s="549">
        <f>IF((AF18-$I$18)&lt;($I$16^2/$I$17),0,(AF18-$I$18-$I$16^2/$I$17)/$I$16)</f>
        <v/>
      </c>
      <c r="AL20" s="111" t="inlineStr">
        <is>
          <t>Slow speed travel</t>
        </is>
      </c>
      <c r="AM20" s="543" t="n"/>
      <c r="AN20" s="455" t="n">
        <v>0.1</v>
      </c>
      <c r="AO20" s="455">
        <f>AN20</f>
        <v/>
      </c>
      <c r="AP20" s="455">
        <f>AO20</f>
        <v/>
      </c>
      <c r="AQ20" s="455">
        <f>AP20</f>
        <v/>
      </c>
      <c r="AR20" s="455">
        <f>AQ20</f>
        <v/>
      </c>
      <c r="AS20" s="455">
        <f>AR20</f>
        <v/>
      </c>
      <c r="AT20" s="455">
        <f>AS20</f>
        <v/>
      </c>
      <c r="AU20" s="455" t="n"/>
      <c r="AV20" s="455" t="n"/>
      <c r="AW20" s="455" t="n"/>
      <c r="AX20" s="455" t="n"/>
      <c r="AY20" s="455" t="n"/>
      <c r="AZ20" s="455" t="n"/>
      <c r="BA20" s="111" t="inlineStr">
        <is>
          <t>m</t>
        </is>
      </c>
    </row>
    <row r="21" ht="17" customHeight="1" s="516">
      <c r="D21" s="132" t="n"/>
      <c r="G21" s="103" t="n"/>
      <c r="J21" s="103" t="n"/>
      <c r="Q21" s="121" t="inlineStr">
        <is>
          <t>Dec. time</t>
        </is>
      </c>
      <c r="R21" s="121" t="n"/>
      <c r="S21" s="549">
        <f>S19</f>
        <v/>
      </c>
      <c r="T21" s="549">
        <f>T19</f>
        <v/>
      </c>
      <c r="U21" s="549">
        <f>U19</f>
        <v/>
      </c>
      <c r="V21" s="549">
        <f>V19</f>
        <v/>
      </c>
      <c r="W21" s="549">
        <f>W19</f>
        <v/>
      </c>
      <c r="X21" s="549">
        <f>X19</f>
        <v/>
      </c>
      <c r="Y21" s="549">
        <f>Y19</f>
        <v/>
      </c>
      <c r="Z21" s="549">
        <f>Z19</f>
        <v/>
      </c>
      <c r="AA21" s="549">
        <f>AA19</f>
        <v/>
      </c>
      <c r="AB21" s="549">
        <f>AB19</f>
        <v/>
      </c>
      <c r="AC21" s="549">
        <f>AC19</f>
        <v/>
      </c>
      <c r="AD21" s="549">
        <f>AD19</f>
        <v/>
      </c>
      <c r="AE21" s="549">
        <f>AE19</f>
        <v/>
      </c>
      <c r="AF21" s="549">
        <f>AF19</f>
        <v/>
      </c>
      <c r="AL21" s="111" t="inlineStr">
        <is>
          <t>Positioning speed</t>
        </is>
      </c>
      <c r="AM21" s="111" t="n"/>
      <c r="AN21" s="455" t="n">
        <v>0.05</v>
      </c>
      <c r="AO21" s="455">
        <f>AN21</f>
        <v/>
      </c>
      <c r="AP21" s="455">
        <f>AO21</f>
        <v/>
      </c>
      <c r="AQ21" s="455">
        <f>AP21</f>
        <v/>
      </c>
      <c r="AR21" s="455">
        <f>AQ21</f>
        <v/>
      </c>
      <c r="AS21" s="455">
        <f>AR21</f>
        <v/>
      </c>
      <c r="AT21" s="455">
        <f>AS21</f>
        <v/>
      </c>
      <c r="AU21" s="455" t="n"/>
      <c r="AV21" s="455" t="n"/>
      <c r="AW21" s="455" t="n"/>
      <c r="AX21" s="455" t="n"/>
      <c r="AY21" s="455" t="n"/>
      <c r="AZ21" s="455" t="n"/>
      <c r="BA21" s="111" t="inlineStr">
        <is>
          <t>m/s</t>
        </is>
      </c>
    </row>
    <row r="22" ht="17" customHeight="1" s="516">
      <c r="A22" s="133" t="inlineStr">
        <is>
          <t>Cycle type</t>
        </is>
      </c>
      <c r="B22" s="133" t="inlineStr">
        <is>
          <t>Cycles per Hr</t>
        </is>
      </c>
      <c r="C22" s="133" t="inlineStr">
        <is>
          <t>Pallets per Hr</t>
        </is>
      </c>
      <c r="D22" s="133" t="inlineStr">
        <is>
          <t>Weightage</t>
        </is>
      </c>
      <c r="G22" s="107" t="inlineStr">
        <is>
          <t>Forking - Z direction</t>
        </is>
      </c>
      <c r="J22" s="103" t="n"/>
      <c r="Q22" s="121" t="inlineStr">
        <is>
          <t>Slow speed time</t>
        </is>
      </c>
      <c r="R22" s="121" t="n"/>
      <c r="S22" s="549">
        <f>$I$11/$I$12</f>
        <v/>
      </c>
      <c r="T22" s="549">
        <f>$I$18/$I$19</f>
        <v/>
      </c>
      <c r="U22" s="549">
        <f>$I$11/$I$12</f>
        <v/>
      </c>
      <c r="V22" s="549">
        <f>$I$18/$I$19</f>
        <v/>
      </c>
      <c r="W22" s="549">
        <f>$I$11/$I$12</f>
        <v/>
      </c>
      <c r="X22" s="549">
        <f>$I$18/$I$19</f>
        <v/>
      </c>
      <c r="Y22" s="549">
        <f>$I$11/$I$12</f>
        <v/>
      </c>
      <c r="Z22" s="549">
        <f>$I$18/$I$19</f>
        <v/>
      </c>
      <c r="AA22" s="549">
        <f>$I$11/$I$12</f>
        <v/>
      </c>
      <c r="AB22" s="549">
        <f>$I$18/$I$19</f>
        <v/>
      </c>
      <c r="AC22" s="549">
        <f>$I$11/$I$12</f>
        <v/>
      </c>
      <c r="AD22" s="549">
        <f>$I$18/$I$19</f>
        <v/>
      </c>
      <c r="AE22" s="549">
        <f>IF(AE18=0,0,$I$11/$I$12)</f>
        <v/>
      </c>
      <c r="AF22" s="549">
        <f>IF(AF18=0,0,$I$18/$I$19)</f>
        <v/>
      </c>
    </row>
    <row r="23" ht="17" customHeight="1" s="516">
      <c r="A23" s="134" t="inlineStr">
        <is>
          <t>Combined cycle</t>
        </is>
      </c>
      <c r="B23" s="134">
        <f>3600/M19</f>
        <v/>
      </c>
      <c r="C23" s="134">
        <f>(B23*2)*B20</f>
        <v/>
      </c>
      <c r="D23" s="136">
        <f>MIN(B16:B17)/($B$18-MIN($B$16:$B$17))</f>
        <v/>
      </c>
      <c r="F23" s="102">
        <f>$B$12&amp;$B$13</f>
        <v/>
      </c>
      <c r="G23" s="111" t="inlineStr">
        <is>
          <t>Loaded Fork speed</t>
        </is>
      </c>
      <c r="H23" s="543" t="inlineStr">
        <is>
          <t>Vz1</t>
        </is>
      </c>
      <c r="I23" s="110">
        <f>HLOOKUP(F23,$AN$31:$AZ$35,2,0)</f>
        <v/>
      </c>
      <c r="J23" s="111" t="inlineStr">
        <is>
          <t>m/s</t>
        </is>
      </c>
      <c r="Q23" s="121" t="inlineStr">
        <is>
          <t>positining time</t>
        </is>
      </c>
      <c r="R23" s="121" t="n"/>
      <c r="S23" s="549" t="n">
        <v>1</v>
      </c>
      <c r="T23" s="549" t="n">
        <v>1</v>
      </c>
      <c r="U23" s="549" t="n">
        <v>1</v>
      </c>
      <c r="V23" s="549" t="n">
        <v>1</v>
      </c>
      <c r="W23" s="549" t="n">
        <v>1</v>
      </c>
      <c r="X23" s="549" t="n">
        <v>1</v>
      </c>
      <c r="Y23" s="549" t="n">
        <v>1</v>
      </c>
      <c r="Z23" s="549" t="n">
        <v>1</v>
      </c>
      <c r="AA23" s="549" t="n">
        <v>1</v>
      </c>
      <c r="AB23" s="549" t="n">
        <v>1</v>
      </c>
      <c r="AC23" s="549" t="n">
        <v>1</v>
      </c>
      <c r="AD23" s="549" t="n">
        <v>1</v>
      </c>
      <c r="AE23" s="549">
        <f>IF(AE18=0,0,1)</f>
        <v/>
      </c>
      <c r="AF23" s="549">
        <f>IF(AF18=0,0,1)</f>
        <v/>
      </c>
    </row>
    <row r="24" ht="17" customHeight="1" s="516">
      <c r="A24" s="134" t="inlineStr">
        <is>
          <t>Single Cycle</t>
        </is>
      </c>
      <c r="B24" s="134">
        <f>3600/M18</f>
        <v/>
      </c>
      <c r="C24" s="134">
        <f>B24*B20</f>
        <v/>
      </c>
      <c r="D24" s="136">
        <f>1-D23</f>
        <v/>
      </c>
      <c r="F24" s="102">
        <f>$B$12&amp;$B$13</f>
        <v/>
      </c>
      <c r="G24" s="111" t="inlineStr">
        <is>
          <t>Loaded Fork Acc.</t>
        </is>
      </c>
      <c r="H24" s="543" t="inlineStr">
        <is>
          <t>Az1</t>
        </is>
      </c>
      <c r="I24" s="110">
        <f>HLOOKUP(F24,$AN$31:$AZ$35,3,0)</f>
        <v/>
      </c>
      <c r="J24" s="111" t="inlineStr">
        <is>
          <t>m/s2</t>
        </is>
      </c>
      <c r="R24" s="124" t="inlineStr">
        <is>
          <t>Total</t>
        </is>
      </c>
      <c r="S24" s="125">
        <f>SUM(S19:S23)</f>
        <v/>
      </c>
      <c r="T24" s="125">
        <f>SUM(T19:T23)</f>
        <v/>
      </c>
      <c r="U24" s="125">
        <f>SUM(U19:U23)</f>
        <v/>
      </c>
      <c r="V24" s="125">
        <f>SUM(V19:V23)</f>
        <v/>
      </c>
      <c r="W24" s="125">
        <f>SUM(W19:W23)</f>
        <v/>
      </c>
      <c r="X24" s="125">
        <f>SUM(X19:X23)</f>
        <v/>
      </c>
      <c r="Y24" s="125">
        <f>SUM(Y19:Y23)</f>
        <v/>
      </c>
      <c r="Z24" s="125">
        <f>SUM(Z19:Z23)</f>
        <v/>
      </c>
      <c r="AA24" s="125">
        <f>SUM(AA19:AA23)</f>
        <v/>
      </c>
      <c r="AB24" s="125">
        <f>SUM(AB19:AB23)</f>
        <v/>
      </c>
      <c r="AC24" s="125">
        <f>SUM(AC19:AC23)</f>
        <v/>
      </c>
      <c r="AD24" s="125">
        <f>SUM(AD19:AD23)</f>
        <v/>
      </c>
      <c r="AE24" s="125">
        <f>SUM(AE19:AE23)</f>
        <v/>
      </c>
      <c r="AF24" s="125">
        <f>SUM(AF19:AF23)</f>
        <v/>
      </c>
      <c r="AL24" s="104" t="inlineStr">
        <is>
          <t>Hoist - Y direction</t>
        </is>
      </c>
      <c r="AN24" s="459">
        <f>AN17</f>
        <v/>
      </c>
      <c r="AO24" s="459">
        <f>AO17</f>
        <v/>
      </c>
      <c r="AP24" s="459">
        <f>AP17</f>
        <v/>
      </c>
      <c r="AQ24" s="459">
        <f>AQ17</f>
        <v/>
      </c>
      <c r="AR24" s="459">
        <f>AR17</f>
        <v/>
      </c>
      <c r="AS24" s="459">
        <f>AS17</f>
        <v/>
      </c>
      <c r="AT24" s="459">
        <f>AT17</f>
        <v/>
      </c>
      <c r="AU24" s="459" t="n"/>
      <c r="AV24" s="459" t="n"/>
      <c r="AW24" s="459" t="n"/>
      <c r="AX24" s="459" t="n"/>
      <c r="AY24" s="459" t="n"/>
      <c r="AZ24" s="459" t="n"/>
    </row>
    <row r="25" ht="17" customHeight="1" s="516">
      <c r="F25" s="102">
        <f>$B$12&amp;$B$13</f>
        <v/>
      </c>
      <c r="G25" s="111" t="inlineStr">
        <is>
          <t>Unloaded fork speed</t>
        </is>
      </c>
      <c r="H25" s="543" t="inlineStr">
        <is>
          <t>Vz2</t>
        </is>
      </c>
      <c r="I25" s="110">
        <f>HLOOKUP(F25,$AN$31:$AZ$35,4,0)</f>
        <v/>
      </c>
      <c r="J25" s="111" t="inlineStr">
        <is>
          <t>m/s</t>
        </is>
      </c>
      <c r="Q25" s="550" t="inlineStr">
        <is>
          <t>Considered time</t>
        </is>
      </c>
      <c r="R25" s="534" t="n"/>
      <c r="S25" s="542">
        <f>MAX(S24:T24)</f>
        <v/>
      </c>
      <c r="T25" s="534" t="n"/>
      <c r="U25" s="542">
        <f>MAX(U24:V24)</f>
        <v/>
      </c>
      <c r="V25" s="534" t="n"/>
      <c r="W25" s="542">
        <f>MAX(W24:X24)</f>
        <v/>
      </c>
      <c r="X25" s="534" t="n"/>
      <c r="Y25" s="542">
        <f>MAX(Y24:Z24)</f>
        <v/>
      </c>
      <c r="Z25" s="534" t="n"/>
      <c r="AA25" s="542">
        <f>MAX(AA24:AB24)</f>
        <v/>
      </c>
      <c r="AB25" s="534" t="n"/>
      <c r="AC25" s="542">
        <f>MAX(AC24:AD24)</f>
        <v/>
      </c>
      <c r="AD25" s="534" t="n"/>
      <c r="AE25" s="542">
        <f>MAX(AE24:AF24)</f>
        <v/>
      </c>
      <c r="AF25" s="534" t="n"/>
      <c r="AL25" s="111" t="inlineStr">
        <is>
          <t>Hoist Speed</t>
        </is>
      </c>
      <c r="AM25" s="543" t="inlineStr">
        <is>
          <t>Vy</t>
        </is>
      </c>
      <c r="AN25" s="110" t="n">
        <v>0.5</v>
      </c>
      <c r="AO25" s="110" t="n">
        <v>0.6</v>
      </c>
      <c r="AP25" s="110" t="n">
        <v>1</v>
      </c>
      <c r="AQ25" s="110" t="n">
        <v>1</v>
      </c>
      <c r="AR25" s="110" t="n">
        <v>0.6</v>
      </c>
      <c r="AS25" s="110" t="n">
        <v>1</v>
      </c>
      <c r="AT25" s="110">
        <f>AS25</f>
        <v/>
      </c>
      <c r="AU25" s="110" t="n"/>
      <c r="AV25" s="110" t="n"/>
      <c r="AW25" s="110" t="n"/>
      <c r="AX25" s="110" t="n"/>
      <c r="AY25" s="110" t="n"/>
      <c r="AZ25" s="110" t="n"/>
      <c r="BA25" s="111" t="inlineStr">
        <is>
          <t>m/s</t>
        </is>
      </c>
    </row>
    <row r="26" ht="17" customHeight="1" s="516">
      <c r="A26" s="104" t="inlineStr">
        <is>
          <t>Input Parameters</t>
        </is>
      </c>
      <c r="B26" s="105" t="n"/>
      <c r="C26" s="103" t="n"/>
      <c r="D26" s="102" t="n"/>
      <c r="F26" s="102">
        <f>$B$12&amp;$B$13</f>
        <v/>
      </c>
      <c r="G26" s="111" t="inlineStr">
        <is>
          <t>Unloaded fork Acc.</t>
        </is>
      </c>
      <c r="H26" s="543" t="inlineStr">
        <is>
          <t>Az2</t>
        </is>
      </c>
      <c r="I26" s="110">
        <f>HLOOKUP(F26,$AN$31:$AZ$35,5,0)</f>
        <v/>
      </c>
      <c r="J26" s="111" t="inlineStr">
        <is>
          <t>m/s2</t>
        </is>
      </c>
      <c r="AL26" s="111" t="inlineStr">
        <is>
          <t>Hoist Accelaration</t>
        </is>
      </c>
      <c r="AM26" s="543" t="inlineStr">
        <is>
          <t>Ay</t>
        </is>
      </c>
      <c r="AN26" s="110" t="n">
        <v>0.5</v>
      </c>
      <c r="AO26" s="110" t="n">
        <v>0.6</v>
      </c>
      <c r="AP26" s="110" t="n">
        <v>1</v>
      </c>
      <c r="AQ26" s="110" t="n">
        <v>1</v>
      </c>
      <c r="AR26" s="110">
        <f>AR25</f>
        <v/>
      </c>
      <c r="AS26" s="110">
        <f>AS25</f>
        <v/>
      </c>
      <c r="AT26" s="110">
        <f>AT25</f>
        <v/>
      </c>
      <c r="AU26" s="110" t="n"/>
      <c r="AV26" s="110" t="n"/>
      <c r="AW26" s="110" t="n"/>
      <c r="AX26" s="110" t="n"/>
      <c r="AY26" s="110" t="n"/>
      <c r="AZ26" s="110" t="n"/>
      <c r="BA26" s="111" t="inlineStr">
        <is>
          <t>m/s2</t>
        </is>
      </c>
    </row>
    <row r="27" ht="17" customHeight="1" s="516">
      <c r="A27" s="108" t="inlineStr">
        <is>
          <t>Parameters</t>
        </is>
      </c>
      <c r="B27" s="109" t="inlineStr">
        <is>
          <t>Abb</t>
        </is>
      </c>
      <c r="C27" s="109" t="inlineStr">
        <is>
          <t>Value</t>
        </is>
      </c>
      <c r="D27" s="108" t="inlineStr">
        <is>
          <t>Unit</t>
        </is>
      </c>
      <c r="F27" s="103" t="n"/>
      <c r="AL27" s="111" t="inlineStr">
        <is>
          <t>Slow speed Hoist</t>
        </is>
      </c>
      <c r="AM27" s="543" t="n"/>
      <c r="AN27" s="455" t="n">
        <v>0.05</v>
      </c>
      <c r="AO27" s="455">
        <f>AN27</f>
        <v/>
      </c>
      <c r="AP27" s="455">
        <f>AO27</f>
        <v/>
      </c>
      <c r="AQ27" s="455">
        <f>AP27</f>
        <v/>
      </c>
      <c r="AR27" s="455">
        <f>AQ27</f>
        <v/>
      </c>
      <c r="AS27" s="455">
        <f>AR27</f>
        <v/>
      </c>
      <c r="AT27" s="455">
        <f>AS27</f>
        <v/>
      </c>
      <c r="AU27" s="455" t="n"/>
      <c r="AV27" s="455" t="n"/>
      <c r="AW27" s="455" t="n"/>
      <c r="AX27" s="455" t="n"/>
      <c r="AY27" s="455" t="n"/>
      <c r="AZ27" s="455" t="n"/>
      <c r="BA27" s="111" t="inlineStr">
        <is>
          <t>m</t>
        </is>
      </c>
    </row>
    <row r="28" ht="17" customHeight="1" s="516">
      <c r="A28" s="111" t="inlineStr">
        <is>
          <t>Travel distance</t>
        </is>
      </c>
      <c r="B28" s="543" t="inlineStr">
        <is>
          <t>L</t>
        </is>
      </c>
      <c r="C28" s="145" t="n">
        <v>105</v>
      </c>
      <c r="D28" s="111" t="inlineStr">
        <is>
          <t>m</t>
        </is>
      </c>
      <c r="F28" s="103" t="n"/>
      <c r="K28" s="103" t="n"/>
      <c r="AL28" s="111" t="inlineStr">
        <is>
          <t>Positioning speed</t>
        </is>
      </c>
      <c r="AM28" s="111" t="n"/>
      <c r="AN28" s="455" t="n">
        <v>0.05</v>
      </c>
      <c r="AO28" s="455">
        <f>AN28</f>
        <v/>
      </c>
      <c r="AP28" s="455">
        <f>AO28</f>
        <v/>
      </c>
      <c r="AQ28" s="455">
        <f>AP28</f>
        <v/>
      </c>
      <c r="AR28" s="455">
        <f>AQ28</f>
        <v/>
      </c>
      <c r="AS28" s="455">
        <f>AR28</f>
        <v/>
      </c>
      <c r="AT28" s="455">
        <f>AS28</f>
        <v/>
      </c>
      <c r="AU28" s="455" t="n"/>
      <c r="AV28" s="455" t="n"/>
      <c r="AW28" s="455" t="n"/>
      <c r="AX28" s="455" t="n"/>
      <c r="AY28" s="455" t="n"/>
      <c r="AZ28" s="455" t="n"/>
      <c r="BA28" s="111" t="inlineStr">
        <is>
          <t>m/s</t>
        </is>
      </c>
    </row>
    <row r="29" ht="17" customHeight="1" s="516">
      <c r="A29" s="111" t="inlineStr">
        <is>
          <t>Hoist distance</t>
        </is>
      </c>
      <c r="B29" s="543" t="inlineStr">
        <is>
          <t>H</t>
        </is>
      </c>
      <c r="C29" s="145" t="n">
        <v>12</v>
      </c>
      <c r="D29" s="111" t="inlineStr">
        <is>
          <t>m</t>
        </is>
      </c>
      <c r="G29" s="543" t="n"/>
      <c r="H29" s="543" t="inlineStr">
        <is>
          <t>X</t>
        </is>
      </c>
      <c r="I29" s="543" t="inlineStr">
        <is>
          <t>Y</t>
        </is>
      </c>
      <c r="K29" s="103" t="n"/>
      <c r="AL29" s="103" t="n"/>
      <c r="AM29" s="103" t="n"/>
      <c r="AN29" s="103" t="n"/>
      <c r="AO29" s="103" t="n"/>
      <c r="AP29" s="103" t="n"/>
      <c r="AQ29" s="103" t="n"/>
      <c r="AR29" s="103" t="n"/>
      <c r="AS29" s="103" t="n"/>
      <c r="AT29" s="103" t="n"/>
      <c r="AU29" s="103" t="n"/>
      <c r="AV29" s="103" t="n"/>
      <c r="AW29" s="103" t="n"/>
      <c r="AX29" s="103" t="n"/>
      <c r="AY29" s="103" t="n"/>
      <c r="AZ29" s="103" t="n"/>
      <c r="BA29" s="103" t="n"/>
    </row>
    <row r="30" ht="17" customHeight="1" s="516">
      <c r="A30" s="111" t="inlineStr">
        <is>
          <t>Fork Distance Deep 1</t>
        </is>
      </c>
      <c r="B30" s="543" t="inlineStr">
        <is>
          <t>Z1</t>
        </is>
      </c>
      <c r="C30" s="146" t="n">
        <v>1.45</v>
      </c>
      <c r="D30" s="111" t="inlineStr">
        <is>
          <t>m</t>
        </is>
      </c>
      <c r="G30" s="543" t="inlineStr">
        <is>
          <t>Infeed Point</t>
        </is>
      </c>
      <c r="H30" s="145" t="n">
        <v>0</v>
      </c>
      <c r="I30" s="145" t="n">
        <v>1.5</v>
      </c>
      <c r="K30" s="103" t="n"/>
      <c r="AL30" s="103" t="n"/>
      <c r="AM30" s="103" t="n"/>
      <c r="AN30" s="103" t="n"/>
      <c r="AO30" s="103" t="n"/>
      <c r="AP30" s="103" t="n"/>
      <c r="AQ30" s="103" t="n"/>
      <c r="AR30" s="103" t="n"/>
      <c r="AS30" s="103" t="n"/>
      <c r="AT30" s="103" t="n"/>
      <c r="AU30" s="103" t="n"/>
      <c r="AV30" s="103" t="n"/>
      <c r="AW30" s="103" t="n"/>
      <c r="AX30" s="103" t="n"/>
      <c r="AY30" s="103" t="n"/>
      <c r="AZ30" s="103" t="n"/>
      <c r="BA30" s="103" t="n"/>
    </row>
    <row r="31" ht="30" customHeight="1" s="516">
      <c r="A31" s="111" t="inlineStr">
        <is>
          <t>Fork Distance Deep 2</t>
        </is>
      </c>
      <c r="B31" s="543" t="inlineStr">
        <is>
          <t>Z2</t>
        </is>
      </c>
      <c r="C31" s="146" t="n">
        <v>2.6</v>
      </c>
      <c r="D31" s="111" t="inlineStr">
        <is>
          <t>m</t>
        </is>
      </c>
      <c r="G31" s="543" t="inlineStr">
        <is>
          <t>Outfeed Point</t>
        </is>
      </c>
      <c r="H31" s="145" t="n">
        <v>0</v>
      </c>
      <c r="I31" s="145" t="n">
        <v>1.5</v>
      </c>
      <c r="L31" s="543" t="n"/>
      <c r="M31" s="126" t="inlineStr">
        <is>
          <t>Single deep</t>
        </is>
      </c>
      <c r="N31" s="126" t="inlineStr">
        <is>
          <t>Double Deep</t>
        </is>
      </c>
      <c r="AL31" s="104" t="inlineStr">
        <is>
          <t>Forking - Z direction</t>
        </is>
      </c>
      <c r="AM31" s="103" t="n"/>
      <c r="AN31" s="459">
        <f>AN24</f>
        <v/>
      </c>
      <c r="AO31" s="459">
        <f>AO24</f>
        <v/>
      </c>
      <c r="AP31" s="459">
        <f>AP24</f>
        <v/>
      </c>
      <c r="AQ31" s="459">
        <f>AQ24</f>
        <v/>
      </c>
      <c r="AR31" s="459">
        <f>AR24</f>
        <v/>
      </c>
      <c r="AS31" s="459">
        <f>AS24</f>
        <v/>
      </c>
      <c r="AT31" s="459">
        <f>AT24</f>
        <v/>
      </c>
      <c r="AU31" s="459" t="n"/>
      <c r="AV31" s="459" t="n"/>
      <c r="AW31" s="459" t="n"/>
      <c r="AX31" s="459" t="n"/>
      <c r="AY31" s="459" t="n"/>
      <c r="AZ31" s="459" t="n"/>
      <c r="BA31" s="103" t="n"/>
    </row>
    <row r="32" ht="17" customHeight="1" s="516">
      <c r="L32" s="543" t="inlineStr">
        <is>
          <t>Dist. Lift</t>
        </is>
      </c>
      <c r="M32" s="116" t="n">
        <v>0.11</v>
      </c>
      <c r="N32" s="116" t="n">
        <v>0.11</v>
      </c>
      <c r="AL32" s="111" t="inlineStr">
        <is>
          <t>Loaded Fork speed</t>
        </is>
      </c>
      <c r="AM32" s="543" t="inlineStr">
        <is>
          <t>Vz1</t>
        </is>
      </c>
      <c r="AN32" s="110" t="n">
        <v>0.67</v>
      </c>
      <c r="AO32" s="110" t="n">
        <v>0.67</v>
      </c>
      <c r="AP32" s="110" t="n">
        <v>0.67</v>
      </c>
      <c r="AQ32" s="110" t="n">
        <v>0.67</v>
      </c>
      <c r="AR32" s="110" t="n">
        <v>0.7</v>
      </c>
      <c r="AS32" s="110">
        <f>AR32</f>
        <v/>
      </c>
      <c r="AT32" s="110">
        <f>AS32</f>
        <v/>
      </c>
      <c r="AU32" s="110" t="n"/>
      <c r="AV32" s="110" t="n"/>
      <c r="AW32" s="110" t="n"/>
      <c r="AX32" s="110" t="n"/>
      <c r="AY32" s="110" t="n"/>
      <c r="AZ32" s="110" t="n"/>
      <c r="BA32" s="111" t="inlineStr">
        <is>
          <t>m/s</t>
        </is>
      </c>
    </row>
    <row r="33" ht="17" customHeight="1" s="516">
      <c r="L33" s="543" t="inlineStr">
        <is>
          <t>Speed Lift</t>
        </is>
      </c>
      <c r="M33" s="116" t="n">
        <v>0.025</v>
      </c>
      <c r="N33" s="116" t="n">
        <v>0.025</v>
      </c>
      <c r="AL33" s="111" t="inlineStr">
        <is>
          <t>Loaded Fork Acc.</t>
        </is>
      </c>
      <c r="AM33" s="543" t="inlineStr">
        <is>
          <t>Az1</t>
        </is>
      </c>
      <c r="AN33" s="110" t="n">
        <v>0.5</v>
      </c>
      <c r="AO33" s="110" t="n">
        <v>0.5</v>
      </c>
      <c r="AP33" s="110" t="n">
        <v>0.5</v>
      </c>
      <c r="AQ33" s="110" t="n">
        <v>0.5</v>
      </c>
      <c r="AR33" s="110" t="n">
        <v>0.5</v>
      </c>
      <c r="AS33" s="110">
        <f>AR33</f>
        <v/>
      </c>
      <c r="AT33" s="110">
        <f>AS33</f>
        <v/>
      </c>
      <c r="AU33" s="110" t="n"/>
      <c r="AV33" s="110" t="n"/>
      <c r="AW33" s="110" t="n"/>
      <c r="AX33" s="110" t="n"/>
      <c r="AY33" s="110" t="n"/>
      <c r="AZ33" s="110" t="n"/>
      <c r="BA33" s="111" t="inlineStr">
        <is>
          <t>m/s2</t>
        </is>
      </c>
    </row>
    <row r="34" ht="17" customHeight="1" s="516">
      <c r="AL34" s="111" t="inlineStr">
        <is>
          <t>Unloaded fork speed</t>
        </is>
      </c>
      <c r="AM34" s="543" t="inlineStr">
        <is>
          <t>Vz2</t>
        </is>
      </c>
      <c r="AN34" s="110" t="n">
        <v>1.33</v>
      </c>
      <c r="AO34" s="110" t="n">
        <v>1.33</v>
      </c>
      <c r="AP34" s="110" t="n">
        <v>1.33</v>
      </c>
      <c r="AQ34" s="110" t="n">
        <v>1.33</v>
      </c>
      <c r="AR34" s="110" t="n">
        <v>1.4</v>
      </c>
      <c r="AS34" s="110">
        <f>AR34</f>
        <v/>
      </c>
      <c r="AT34" s="110">
        <f>AS34</f>
        <v/>
      </c>
      <c r="AU34" s="110" t="n"/>
      <c r="AV34" s="110" t="n"/>
      <c r="AW34" s="110" t="n"/>
      <c r="AX34" s="110" t="n"/>
      <c r="AY34" s="110" t="n"/>
      <c r="AZ34" s="110" t="n"/>
      <c r="BA34" s="111" t="inlineStr">
        <is>
          <t>m/s</t>
        </is>
      </c>
    </row>
    <row r="35">
      <c r="AL35" s="111" t="inlineStr">
        <is>
          <t>Unloaded fork Acc.</t>
        </is>
      </c>
      <c r="AM35" s="543" t="inlineStr">
        <is>
          <t>Az2</t>
        </is>
      </c>
      <c r="AN35" s="110" t="n">
        <v>1</v>
      </c>
      <c r="AO35" s="110" t="n">
        <v>1</v>
      </c>
      <c r="AP35" s="110" t="n">
        <v>1</v>
      </c>
      <c r="AQ35" s="110" t="n">
        <v>1</v>
      </c>
      <c r="AR35" s="110" t="n">
        <v>1</v>
      </c>
      <c r="AS35" s="110">
        <f>AR35</f>
        <v/>
      </c>
      <c r="AT35" s="110">
        <f>AS35</f>
        <v/>
      </c>
      <c r="AU35" s="110" t="n"/>
      <c r="AV35" s="110" t="n"/>
      <c r="AW35" s="110" t="n"/>
      <c r="AX35" s="110" t="n"/>
      <c r="AY35" s="110" t="n"/>
      <c r="AZ35" s="110" t="n"/>
      <c r="BA35" s="111" t="inlineStr">
        <is>
          <t>m/s2</t>
        </is>
      </c>
    </row>
    <row r="37">
      <c r="I37" s="543" t="inlineStr">
        <is>
          <t>Single Deep</t>
        </is>
      </c>
      <c r="J37" s="534" t="n"/>
      <c r="K37" s="543" t="inlineStr">
        <is>
          <t>Double Deep</t>
        </is>
      </c>
      <c r="L37" s="534" t="n"/>
    </row>
    <row r="38">
      <c r="H38" s="102" t="n"/>
      <c r="I38" s="543" t="inlineStr">
        <is>
          <t>Loaded</t>
        </is>
      </c>
      <c r="J38" s="543" t="inlineStr">
        <is>
          <t>Unloaded</t>
        </is>
      </c>
      <c r="K38" s="543" t="inlineStr">
        <is>
          <t>Loaded</t>
        </is>
      </c>
      <c r="L38" s="543" t="inlineStr">
        <is>
          <t>Unloaded</t>
        </is>
      </c>
    </row>
    <row r="39">
      <c r="G39" s="111" t="inlineStr">
        <is>
          <t>Travel Dist</t>
        </is>
      </c>
      <c r="H39" s="111" t="n"/>
      <c r="I39" s="123">
        <f>C30</f>
        <v/>
      </c>
      <c r="J39" s="117">
        <f>C30</f>
        <v/>
      </c>
      <c r="K39" s="113">
        <f>C31</f>
        <v/>
      </c>
      <c r="L39" s="542">
        <f>C31</f>
        <v/>
      </c>
    </row>
    <row r="40">
      <c r="G40" s="121" t="inlineStr">
        <is>
          <t>Accelaration time</t>
        </is>
      </c>
      <c r="H40" s="121" t="n"/>
      <c r="I40" s="549">
        <f>IF(I39&gt;=($I$23^2/$I$24),$I$23/$I$24,(I39/$I$24)^0.5)</f>
        <v/>
      </c>
      <c r="J40" s="549">
        <f>IF(J39&gt;=($I$25^2/$I$26),$I$25/$I$26,(J39/$I$26)^0.5)</f>
        <v/>
      </c>
      <c r="K40" s="549">
        <f>IF(K39&gt;=($I$23^2/$I$24),$I$23/$I$24,(K39/$I$24)^0.5)</f>
        <v/>
      </c>
      <c r="L40" s="549">
        <f>IF(L39&gt;=($I$25^2/$I$26),$I$25/$I$26,(L39/$I$26)^0.5)</f>
        <v/>
      </c>
    </row>
    <row r="41">
      <c r="G41" s="121" t="inlineStr">
        <is>
          <t>Ct speed time</t>
        </is>
      </c>
      <c r="H41" s="121" t="n"/>
      <c r="I41" s="549">
        <f>IF(I39&lt;($I$23^2/$I$24),0,(I39-$I$23^2/$I$24)/$I$23)</f>
        <v/>
      </c>
      <c r="J41" s="549">
        <f>IF(J39&lt;($I$25^2/$I$26),0,(J39-$I$25^2/$I$26)/$I$25)</f>
        <v/>
      </c>
      <c r="K41" s="549">
        <f>IF(K39&lt;($I$23^2/$I$24),0,(K39-$I$23^2/$I$24)/$I$23)</f>
        <v/>
      </c>
      <c r="L41" s="549">
        <f>IF(L39&lt;($I$25^2/$I$26),0,(L39-$I$25^2/$I$26)/$I$25)</f>
        <v/>
      </c>
    </row>
    <row r="42">
      <c r="G42" s="121" t="inlineStr">
        <is>
          <t>Dec. time</t>
        </is>
      </c>
      <c r="H42" s="121" t="n"/>
      <c r="I42" s="549">
        <f>I40</f>
        <v/>
      </c>
      <c r="J42" s="549">
        <f>J40</f>
        <v/>
      </c>
      <c r="K42" s="549">
        <f>K40</f>
        <v/>
      </c>
      <c r="L42" s="549">
        <f>L40</f>
        <v/>
      </c>
    </row>
    <row r="43">
      <c r="G43" s="121" t="inlineStr">
        <is>
          <t>positining time</t>
        </is>
      </c>
      <c r="H43" s="121" t="n"/>
      <c r="I43" s="549" t="n">
        <v>1</v>
      </c>
      <c r="J43" s="549" t="n">
        <v>1</v>
      </c>
      <c r="K43" s="549" t="n">
        <v>1</v>
      </c>
      <c r="L43" s="549" t="n">
        <v>1</v>
      </c>
    </row>
    <row r="44">
      <c r="H44" s="124" t="inlineStr">
        <is>
          <t>Total</t>
        </is>
      </c>
      <c r="I44" s="125">
        <f>SUM(I40:I43)</f>
        <v/>
      </c>
      <c r="J44" s="125">
        <f>SUM(J40:J43)</f>
        <v/>
      </c>
      <c r="K44" s="125">
        <f>SUM(K40:K43)</f>
        <v/>
      </c>
      <c r="L44" s="125">
        <f>SUM(L40:L43)</f>
        <v/>
      </c>
    </row>
    <row r="45">
      <c r="G45" s="121" t="inlineStr">
        <is>
          <t>Up/Down time</t>
        </is>
      </c>
      <c r="H45" s="121" t="n"/>
      <c r="I45" s="549">
        <f>M32/M33</f>
        <v/>
      </c>
      <c r="J45" s="534" t="n"/>
      <c r="K45" s="549">
        <f>N32/N33</f>
        <v/>
      </c>
      <c r="L45" s="534" t="n"/>
    </row>
    <row r="46">
      <c r="G46" s="544" t="inlineStr">
        <is>
          <t xml:space="preserve">Total Forking time </t>
        </is>
      </c>
      <c r="H46" s="534" t="n"/>
      <c r="I46" s="542">
        <f>I44+I45+J44</f>
        <v/>
      </c>
      <c r="J46" s="534" t="n"/>
      <c r="K46" s="542">
        <f>K44+K45+L44</f>
        <v/>
      </c>
      <c r="L46" s="534" t="n"/>
    </row>
    <row r="47">
      <c r="G47" s="544" t="inlineStr">
        <is>
          <t xml:space="preserve">Avg Forking time </t>
        </is>
      </c>
      <c r="H47" s="534" t="n"/>
      <c r="I47" s="127">
        <f>(I46+K46)/2</f>
        <v/>
      </c>
      <c r="J47" s="128" t="n"/>
      <c r="K47" s="128" t="n"/>
      <c r="L47" s="128" t="n"/>
    </row>
    <row r="50">
      <c r="G50" s="102" t="inlineStr">
        <is>
          <t>Total Pallet Movement</t>
        </is>
      </c>
      <c r="H50" s="103" t="n">
        <v>220</v>
      </c>
    </row>
    <row r="51">
      <c r="G51" s="102" t="inlineStr">
        <is>
          <t>Total Storage</t>
        </is>
      </c>
    </row>
    <row r="52">
      <c r="G52" s="102" t="inlineStr">
        <is>
          <t>Total Retrieval</t>
        </is>
      </c>
    </row>
    <row r="53">
      <c r="G53" s="102" t="inlineStr">
        <is>
          <t>%Double Cycles</t>
        </is>
      </c>
      <c r="H53" s="129" t="n">
        <v>0.7</v>
      </c>
    </row>
    <row r="54">
      <c r="G54" s="102" t="inlineStr">
        <is>
          <t>Number of Double Cycles</t>
        </is>
      </c>
      <c r="H54" s="103" t="n">
        <v>77</v>
      </c>
    </row>
    <row r="55">
      <c r="G55" s="102" t="inlineStr">
        <is>
          <t>Number of Single Cycles</t>
        </is>
      </c>
      <c r="H55" s="103" t="n">
        <v>66</v>
      </c>
    </row>
    <row r="56">
      <c r="G56" s="102" t="inlineStr">
        <is>
          <t>Double cycles per crane</t>
        </is>
      </c>
    </row>
    <row r="57">
      <c r="G57" s="102" t="inlineStr">
        <is>
          <t>Single cycles per crane</t>
        </is>
      </c>
    </row>
  </sheetData>
  <sheetProtection selectLockedCells="0" selectUnlockedCells="0" algorithmName="SHA-512" sheet="1" objects="1" insertRows="1" insertHyperlinks="1" autoFilter="1" scenarios="1" formatColumns="1" deleteColumns="1" insertColumns="1" pivotTables="1" deleteRows="1" formatCells="1" saltValue="nNCl0Rp8GbqsdianUj5pug==" formatRows="1" sort="1" spinCount="100000" hashValue="DliVSTDdbeMYCSPlutzYmsDpP6Ovs21A9u4NSHpsSlK3WTqet5YSAbgNnEiO3NYKrEH5Q2/Sp6aZHoLMU/zY4g=="/>
  <mergeCells count="29">
    <mergeCell ref="S16:T16"/>
    <mergeCell ref="Q25:R25"/>
    <mergeCell ref="S25:T25"/>
    <mergeCell ref="I46:J46"/>
    <mergeCell ref="AE25:AF25"/>
    <mergeCell ref="U15:V15"/>
    <mergeCell ref="AC16:AD16"/>
    <mergeCell ref="W25:X25"/>
    <mergeCell ref="W15:X15"/>
    <mergeCell ref="AE16:AF16"/>
    <mergeCell ref="Y15:Z15"/>
    <mergeCell ref="I45:J45"/>
    <mergeCell ref="K45:L45"/>
    <mergeCell ref="AA15:AB15"/>
    <mergeCell ref="AC15:AD15"/>
    <mergeCell ref="U25:V25"/>
    <mergeCell ref="U16:V16"/>
    <mergeCell ref="I37:J37"/>
    <mergeCell ref="K46:L46"/>
    <mergeCell ref="W16:X16"/>
    <mergeCell ref="Y16:Z16"/>
    <mergeCell ref="AA16:AB16"/>
    <mergeCell ref="Y25:Z25"/>
    <mergeCell ref="AA25:AB25"/>
    <mergeCell ref="AC25:AD25"/>
    <mergeCell ref="G47:H47"/>
    <mergeCell ref="AE15:AF15"/>
    <mergeCell ref="K37:L37"/>
    <mergeCell ref="G46:H46"/>
  </mergeCells>
  <conditionalFormatting sqref="B9:B11">
    <cfRule type="cellIs" priority="2" operator="lessThan" dxfId="1">
      <formula>$A$41</formula>
    </cfRule>
  </conditionalFormatting>
  <dataValidations count="2">
    <dataValidation sqref="B12" showDropDown="0" showInputMessage="1" showErrorMessage="1" allowBlank="1" type="list">
      <formula1>$AL$4:$AL$9</formula1>
    </dataValidation>
    <dataValidation sqref="B13" showDropDown="0" showInputMessage="1" showErrorMessage="1" allowBlank="1" type="list">
      <formula1>$AM$4:$AM$9</formula1>
    </dataValidation>
  </dataValidations>
  <pageMargins left="0.75" right="0.75" top="1" bottom="1" header="0.5" footer="0.5"/>
  <pageSetup orientation="landscape" paperSize="9" scale="82"/>
  <drawing r:id="rId1"/>
</worksheet>
</file>

<file path=xl/worksheets/sheet12.xml><?xml version="1.0" encoding="utf-8"?>
<worksheet xmlns:r="http://schemas.openxmlformats.org/officeDocument/2006/relationships" xmlns="http://schemas.openxmlformats.org/spreadsheetml/2006/main">
  <sheetPr codeName="Sheet12">
    <tabColor theme="7"/>
    <outlinePr summaryBelow="1" summaryRight="1"/>
    <pageSetUpPr fitToPage="1"/>
  </sheetPr>
  <dimension ref="A1:CV47"/>
  <sheetViews>
    <sheetView showGridLines="0" zoomScale="55" zoomScaleNormal="55" workbookViewId="0">
      <selection activeCell="G14" sqref="G14"/>
    </sheetView>
  </sheetViews>
  <sheetFormatPr baseColWidth="10" defaultColWidth="8.6640625" defaultRowHeight="15"/>
  <cols>
    <col width="58.33203125" customWidth="1" style="516" min="1" max="1"/>
    <col width="21.5" customWidth="1" style="516" min="2" max="2"/>
    <col width="20.33203125" customWidth="1" style="516" min="3" max="3"/>
    <col width="8.5" customWidth="1" style="1" min="4" max="4"/>
    <col width="57.6640625" bestFit="1" customWidth="1" style="31" min="5" max="6"/>
    <col hidden="1" width="11.5" customWidth="1" style="1" min="7" max="7"/>
    <col hidden="1" width="6.5" customWidth="1" style="1" min="8" max="8"/>
    <col hidden="1" width="11.6640625" customWidth="1" style="1" min="9" max="9"/>
    <col hidden="1" width="9.33203125" customWidth="1" style="31" min="10" max="10"/>
    <col hidden="1" width="10.6640625" customWidth="1" style="1" min="11" max="11"/>
    <col hidden="1" width="12.5" customWidth="1" style="1" min="12" max="12"/>
    <col hidden="1" width="9.5" customWidth="1" style="1" min="13" max="13"/>
    <col hidden="1" width="11.6640625" customWidth="1" style="1" min="14" max="14"/>
    <col hidden="1" width="11.5" customWidth="1" style="1" min="15" max="15"/>
    <col hidden="1" width="8.6640625" customWidth="1" style="1" min="16" max="16"/>
    <col hidden="1" width="11.33203125" customWidth="1" style="1" min="17" max="17"/>
    <col width="8.6640625" customWidth="1" style="1" min="18" max="18"/>
    <col width="9.33203125" bestFit="1" customWidth="1" style="31" min="19" max="19"/>
    <col width="14.33203125" bestFit="1" customWidth="1" style="1" min="20" max="20"/>
    <col width="8.6640625" customWidth="1" style="1" min="21" max="21"/>
    <col hidden="1" width="13" customWidth="1" style="1" min="22" max="22"/>
    <col hidden="1" width="24.6640625" customWidth="1" style="31" min="23" max="23"/>
    <col hidden="1" width="27.6640625" customWidth="1" style="31" min="24" max="24"/>
    <col hidden="1" width="13" customWidth="1" style="1" min="25" max="27"/>
    <col hidden="1" width="13" customWidth="1" style="31" min="28" max="28"/>
    <col hidden="1" width="13" customWidth="1" style="1" min="29" max="36"/>
    <col hidden="1" width="13" customWidth="1" style="31" min="37" max="37"/>
    <col hidden="1" width="13" customWidth="1" style="1" min="38" max="40"/>
    <col hidden="1" width="24.6640625" customWidth="1" style="31" min="41" max="41"/>
    <col hidden="1" width="32.6640625" customWidth="1" style="31" min="42" max="42"/>
    <col hidden="1" width="13" customWidth="1" style="1" min="43" max="45"/>
    <col hidden="1" width="13" customWidth="1" style="31" min="46" max="46"/>
    <col hidden="1" width="13" customWidth="1" style="1" min="47" max="54"/>
    <col hidden="1" width="13" customWidth="1" style="31" min="55" max="55"/>
    <col hidden="1" width="13" customWidth="1" style="1" min="56" max="57"/>
    <col hidden="1" width="8.6640625" customWidth="1" style="1" min="58" max="58"/>
    <col hidden="1" width="24.6640625" customWidth="1" style="31" min="59" max="59"/>
    <col hidden="1" width="23.83203125" customWidth="1" style="31" min="60" max="60"/>
    <col hidden="1" width="8.6640625" customWidth="1" style="1" min="61" max="63"/>
    <col hidden="1" width="8.6640625" customWidth="1" style="31" min="64" max="64"/>
    <col hidden="1" width="8.6640625" customWidth="1" style="1" min="65" max="72"/>
    <col hidden="1" width="8.6640625" customWidth="1" style="31" min="73" max="73"/>
    <col hidden="1" width="8.6640625" customWidth="1" style="1" min="74" max="74"/>
    <col width="8.6640625" customWidth="1" style="1" min="75" max="75"/>
    <col width="64.33203125" bestFit="1" customWidth="1" style="1" min="76" max="76"/>
    <col width="11.33203125" bestFit="1" customWidth="1" style="1" min="77" max="77"/>
    <col width="12.6640625" bestFit="1" customWidth="1" style="1" min="78" max="78"/>
    <col width="10.5" bestFit="1" customWidth="1" style="1" min="79" max="79"/>
    <col width="8.6640625" customWidth="1" style="1" min="80" max="96"/>
    <col width="10.33203125" bestFit="1" customWidth="1" style="1" min="97" max="97"/>
    <col width="8.6640625" customWidth="1" style="1" min="98" max="98"/>
    <col width="8.6640625" customWidth="1" style="1" min="99" max="16384"/>
  </cols>
  <sheetData>
    <row r="1" ht="47" customFormat="1" customHeight="1" s="24">
      <c r="B1" s="1">
        <f>'Master List'!$F$2</f>
        <v/>
      </c>
      <c r="D1" s="1" t="n"/>
      <c r="E1" s="23" t="n"/>
    </row>
    <row r="2" ht="20" customHeight="1" s="516">
      <c r="D2" s="22" t="n"/>
      <c r="E2" s="22" t="n"/>
      <c r="F2" s="22" t="n"/>
      <c r="G2" s="22" t="n"/>
      <c r="H2" s="22" t="n"/>
      <c r="I2" s="22" t="n"/>
      <c r="J2" s="22" t="n"/>
      <c r="K2" s="22" t="n"/>
      <c r="L2" s="22" t="n"/>
      <c r="M2" s="22" t="n"/>
      <c r="N2" s="22" t="n"/>
      <c r="O2" s="22" t="n"/>
      <c r="P2" s="22" t="n"/>
      <c r="Q2" s="22" t="n"/>
      <c r="R2" s="22" t="n"/>
      <c r="S2" s="22" t="n"/>
      <c r="T2" s="22" t="n"/>
      <c r="W2" s="1" t="n"/>
      <c r="X2" s="1" t="n"/>
      <c r="AB2" s="1" t="n"/>
      <c r="AK2" s="1" t="n"/>
      <c r="AO2" s="1" t="n"/>
      <c r="AP2" s="1" t="n"/>
      <c r="AT2" s="1" t="n"/>
      <c r="BC2" s="1" t="n"/>
      <c r="BG2" s="1" t="n"/>
      <c r="BH2" s="1" t="n"/>
      <c r="BL2" s="1" t="n"/>
      <c r="BU2" s="1" t="n"/>
    </row>
    <row r="3" ht="20" customHeight="1" s="516">
      <c r="A3" s="34" t="inlineStr">
        <is>
          <t>Equipment</t>
        </is>
      </c>
      <c r="B3" s="33" t="inlineStr">
        <is>
          <t>GTP Station</t>
        </is>
      </c>
      <c r="D3" s="22" t="n"/>
      <c r="E3" s="22" t="n"/>
      <c r="F3" s="22" t="n"/>
      <c r="G3" s="22" t="n"/>
      <c r="H3" s="22" t="n"/>
      <c r="I3" s="22" t="n"/>
      <c r="J3" s="22" t="n"/>
      <c r="K3" s="22" t="n"/>
      <c r="L3" s="22" t="n"/>
      <c r="M3" s="22" t="n"/>
      <c r="N3" s="22" t="n"/>
      <c r="O3" s="22" t="n"/>
      <c r="P3" s="22" t="n"/>
      <c r="Q3" s="22" t="n"/>
      <c r="R3" s="22" t="n"/>
      <c r="S3" s="22" t="n"/>
      <c r="T3" s="22" t="n"/>
      <c r="W3" s="1" t="n"/>
      <c r="X3" s="1" t="n"/>
      <c r="AB3" s="1" t="n"/>
      <c r="AK3" s="1" t="n"/>
      <c r="AO3" s="1" t="n"/>
      <c r="AP3" s="1" t="n"/>
      <c r="AT3" s="1" t="n"/>
      <c r="BC3" s="1" t="n"/>
      <c r="BG3" s="1" t="n"/>
      <c r="BH3" s="1" t="n"/>
      <c r="BL3" s="1" t="n"/>
      <c r="BU3" s="1" t="n"/>
    </row>
    <row r="4" ht="20" customHeight="1" s="516">
      <c r="A4" s="34" t="inlineStr">
        <is>
          <t>Utilization</t>
        </is>
      </c>
      <c r="B4" s="402">
        <f>T8</f>
        <v/>
      </c>
      <c r="D4" s="22" t="n"/>
      <c r="E4" s="22" t="n"/>
      <c r="F4" s="22" t="n"/>
      <c r="G4" s="22" t="n"/>
      <c r="H4" s="22" t="n"/>
      <c r="I4" s="22" t="n"/>
      <c r="J4" s="22" t="n"/>
      <c r="K4" s="22" t="n"/>
      <c r="L4" s="22" t="n"/>
      <c r="M4" s="22" t="n"/>
      <c r="N4" s="22" t="n"/>
      <c r="O4" s="22" t="n"/>
      <c r="P4" s="22" t="n"/>
      <c r="Q4" s="22" t="n"/>
      <c r="R4" s="22" t="n"/>
      <c r="S4" s="22" t="n"/>
      <c r="T4" s="22" t="n"/>
      <c r="W4" s="1" t="n"/>
      <c r="X4" s="1" t="n"/>
      <c r="AB4" s="1" t="n"/>
      <c r="AK4" s="1" t="n"/>
      <c r="AO4" s="1" t="n"/>
      <c r="AP4" s="1" t="n"/>
      <c r="AT4" s="1" t="n"/>
      <c r="BC4" s="1" t="n"/>
      <c r="BG4" s="1" t="n"/>
      <c r="BH4" s="1" t="n"/>
      <c r="BL4" s="1" t="n"/>
      <c r="BU4" s="1" t="n"/>
    </row>
    <row r="5" ht="22.5" customHeight="1" s="516">
      <c r="A5" s="180" t="inlineStr">
        <is>
          <t>Project name</t>
        </is>
      </c>
      <c r="B5" s="181" t="n"/>
      <c r="D5" s="551" t="inlineStr">
        <is>
          <t>GTP</t>
        </is>
      </c>
      <c r="E5" s="552" t="n"/>
      <c r="F5" s="552" t="n"/>
      <c r="G5" s="552" t="n"/>
      <c r="H5" s="552" t="n"/>
      <c r="I5" s="552" t="n"/>
      <c r="J5" s="552" t="n"/>
      <c r="K5" s="552" t="n"/>
      <c r="L5" s="552" t="n"/>
      <c r="M5" s="552" t="n"/>
      <c r="N5" s="552" t="n"/>
      <c r="O5" s="552" t="n"/>
      <c r="P5" s="552" t="n"/>
      <c r="Q5" s="552" t="n"/>
      <c r="R5" s="552" t="n"/>
      <c r="S5" s="552" t="n"/>
      <c r="T5" s="553" t="n"/>
      <c r="V5" s="551" t="inlineStr">
        <is>
          <t>Process Name</t>
        </is>
      </c>
      <c r="W5" s="552" t="n"/>
      <c r="X5" s="552" t="n"/>
      <c r="Y5" s="552" t="n"/>
      <c r="Z5" s="552" t="n"/>
      <c r="AA5" s="552" t="n"/>
      <c r="AB5" s="552" t="n"/>
      <c r="AC5" s="552" t="n"/>
      <c r="AD5" s="552" t="n"/>
      <c r="AE5" s="552" t="n"/>
      <c r="AF5" s="552" t="n"/>
      <c r="AG5" s="552" t="n"/>
      <c r="AH5" s="552" t="n"/>
      <c r="AI5" s="552" t="n"/>
      <c r="AJ5" s="552" t="n"/>
      <c r="AK5" s="552" t="n"/>
      <c r="AL5" s="553" t="n"/>
      <c r="AN5" s="551" t="inlineStr">
        <is>
          <t>Process Name</t>
        </is>
      </c>
      <c r="AO5" s="552" t="n"/>
      <c r="AP5" s="552" t="n"/>
      <c r="AQ5" s="552" t="n"/>
      <c r="AR5" s="552" t="n"/>
      <c r="AS5" s="552" t="n"/>
      <c r="AT5" s="552" t="n"/>
      <c r="AU5" s="552" t="n"/>
      <c r="AV5" s="552" t="n"/>
      <c r="AW5" s="552" t="n"/>
      <c r="AX5" s="552" t="n"/>
      <c r="AY5" s="552" t="n"/>
      <c r="AZ5" s="552" t="n"/>
      <c r="BA5" s="552" t="n"/>
      <c r="BB5" s="552" t="n"/>
      <c r="BC5" s="552" t="n"/>
      <c r="BD5" s="553" t="n"/>
      <c r="BF5" s="551" t="inlineStr">
        <is>
          <t>Process Name</t>
        </is>
      </c>
      <c r="BG5" s="552" t="n"/>
      <c r="BH5" s="552" t="n"/>
      <c r="BI5" s="552" t="n"/>
      <c r="BJ5" s="552" t="n"/>
      <c r="BK5" s="552" t="n"/>
      <c r="BL5" s="552" t="n"/>
      <c r="BM5" s="552" t="n"/>
      <c r="BN5" s="552" t="n"/>
      <c r="BO5" s="552" t="n"/>
      <c r="BP5" s="552" t="n"/>
      <c r="BQ5" s="552" t="n"/>
      <c r="BR5" s="552" t="n"/>
      <c r="BS5" s="552" t="n"/>
      <c r="BT5" s="552" t="n"/>
      <c r="BU5" s="552" t="n"/>
      <c r="BV5" s="553" t="n"/>
    </row>
    <row r="6" ht="22.5" customHeight="1" s="516">
      <c r="A6" s="180" t="inlineStr">
        <is>
          <t>Revision</t>
        </is>
      </c>
      <c r="B6" s="181" t="n"/>
      <c r="D6" s="554" t="inlineStr">
        <is>
          <t>S.No</t>
        </is>
      </c>
      <c r="E6" s="533" t="inlineStr">
        <is>
          <t>Cycles / Hour</t>
        </is>
      </c>
      <c r="F6" s="546" t="n"/>
      <c r="G6" s="546" t="n"/>
      <c r="H6" s="546" t="n"/>
      <c r="I6" s="546" t="n"/>
      <c r="J6" s="546" t="n"/>
      <c r="K6" s="546" t="n"/>
      <c r="L6" s="546" t="n"/>
      <c r="M6" s="546" t="n"/>
      <c r="N6" s="546" t="n"/>
      <c r="O6" s="546" t="n"/>
      <c r="P6" s="546" t="n"/>
      <c r="Q6" s="546" t="n"/>
      <c r="R6" s="546" t="n"/>
      <c r="S6" s="534" t="n"/>
      <c r="T6" s="27">
        <f>3600/T7</f>
        <v/>
      </c>
      <c r="V6" s="554" t="inlineStr">
        <is>
          <t>S.No</t>
        </is>
      </c>
      <c r="W6" s="533" t="inlineStr">
        <is>
          <t>Cycles / Hour</t>
        </is>
      </c>
      <c r="X6" s="546" t="n"/>
      <c r="Y6" s="546" t="n"/>
      <c r="Z6" s="546" t="n"/>
      <c r="AA6" s="546" t="n"/>
      <c r="AB6" s="546" t="n"/>
      <c r="AC6" s="546" t="n"/>
      <c r="AD6" s="546" t="n"/>
      <c r="AE6" s="546" t="n"/>
      <c r="AF6" s="546" t="n"/>
      <c r="AG6" s="546" t="n"/>
      <c r="AH6" s="546" t="n"/>
      <c r="AI6" s="546" t="n"/>
      <c r="AJ6" s="546" t="n"/>
      <c r="AK6" s="534" t="n"/>
      <c r="AL6" s="17">
        <f>3600/AL7</f>
        <v/>
      </c>
      <c r="AN6" s="554" t="inlineStr">
        <is>
          <t>S.No</t>
        </is>
      </c>
      <c r="AO6" s="533" t="inlineStr">
        <is>
          <t>Cycles / Hour</t>
        </is>
      </c>
      <c r="AP6" s="546" t="n"/>
      <c r="AQ6" s="546" t="n"/>
      <c r="AR6" s="546" t="n"/>
      <c r="AS6" s="546" t="n"/>
      <c r="AT6" s="546" t="n"/>
      <c r="AU6" s="546" t="n"/>
      <c r="AV6" s="546" t="n"/>
      <c r="AW6" s="546" t="n"/>
      <c r="AX6" s="546" t="n"/>
      <c r="AY6" s="546" t="n"/>
      <c r="AZ6" s="546" t="n"/>
      <c r="BA6" s="546" t="n"/>
      <c r="BB6" s="546" t="n"/>
      <c r="BC6" s="534" t="n"/>
      <c r="BD6" s="17">
        <f>3600/BD7</f>
        <v/>
      </c>
      <c r="BF6" s="554" t="inlineStr">
        <is>
          <t>S.No</t>
        </is>
      </c>
      <c r="BG6" s="533" t="inlineStr">
        <is>
          <t>Cycles / Hour</t>
        </is>
      </c>
      <c r="BH6" s="546" t="n"/>
      <c r="BI6" s="546" t="n"/>
      <c r="BJ6" s="546" t="n"/>
      <c r="BK6" s="546" t="n"/>
      <c r="BL6" s="546" t="n"/>
      <c r="BM6" s="546" t="n"/>
      <c r="BN6" s="546" t="n"/>
      <c r="BO6" s="546" t="n"/>
      <c r="BP6" s="546" t="n"/>
      <c r="BQ6" s="546" t="n"/>
      <c r="BR6" s="546" t="n"/>
      <c r="BS6" s="546" t="n"/>
      <c r="BT6" s="546" t="n"/>
      <c r="BU6" s="534" t="n"/>
      <c r="BV6" s="17">
        <f>3600/BV7</f>
        <v/>
      </c>
    </row>
    <row r="7" ht="18" customHeight="1" s="516">
      <c r="D7" s="555" t="n"/>
      <c r="E7" s="533" t="inlineStr">
        <is>
          <t>Effective Cycle Time</t>
        </is>
      </c>
      <c r="F7" s="546" t="n"/>
      <c r="G7" s="546" t="n"/>
      <c r="H7" s="546" t="n"/>
      <c r="I7" s="546" t="n"/>
      <c r="J7" s="546" t="n"/>
      <c r="K7" s="546" t="n"/>
      <c r="L7" s="546" t="n"/>
      <c r="M7" s="546" t="n"/>
      <c r="N7" s="546" t="n"/>
      <c r="O7" s="546" t="n"/>
      <c r="P7" s="546" t="n"/>
      <c r="Q7" s="546" t="n"/>
      <c r="R7" s="546" t="n"/>
      <c r="S7" s="534" t="n"/>
      <c r="T7" s="11">
        <f>T9/T8</f>
        <v/>
      </c>
      <c r="V7" s="555" t="n"/>
      <c r="W7" s="533" t="inlineStr">
        <is>
          <t>Effective Cycle Time</t>
        </is>
      </c>
      <c r="X7" s="546" t="n"/>
      <c r="Y7" s="546" t="n"/>
      <c r="Z7" s="546" t="n"/>
      <c r="AA7" s="546" t="n"/>
      <c r="AB7" s="546" t="n"/>
      <c r="AC7" s="546" t="n"/>
      <c r="AD7" s="546" t="n"/>
      <c r="AE7" s="546" t="n"/>
      <c r="AF7" s="546" t="n"/>
      <c r="AG7" s="546" t="n"/>
      <c r="AH7" s="546" t="n"/>
      <c r="AI7" s="546" t="n"/>
      <c r="AJ7" s="546" t="n"/>
      <c r="AK7" s="534" t="n"/>
      <c r="AL7" s="11">
        <f>AL9/AL8</f>
        <v/>
      </c>
      <c r="AN7" s="555" t="n"/>
      <c r="AO7" s="533" t="inlineStr">
        <is>
          <t>Effective Cycle Time</t>
        </is>
      </c>
      <c r="AP7" s="546" t="n"/>
      <c r="AQ7" s="546" t="n"/>
      <c r="AR7" s="546" t="n"/>
      <c r="AS7" s="546" t="n"/>
      <c r="AT7" s="546" t="n"/>
      <c r="AU7" s="546" t="n"/>
      <c r="AV7" s="546" t="n"/>
      <c r="AW7" s="546" t="n"/>
      <c r="AX7" s="546" t="n"/>
      <c r="AY7" s="546" t="n"/>
      <c r="AZ7" s="546" t="n"/>
      <c r="BA7" s="546" t="n"/>
      <c r="BB7" s="546" t="n"/>
      <c r="BC7" s="534" t="n"/>
      <c r="BD7" s="11">
        <f>BD9/BD8</f>
        <v/>
      </c>
      <c r="BF7" s="555" t="n"/>
      <c r="BG7" s="533" t="inlineStr">
        <is>
          <t>Effective Cycle Time</t>
        </is>
      </c>
      <c r="BH7" s="546" t="n"/>
      <c r="BI7" s="546" t="n"/>
      <c r="BJ7" s="546" t="n"/>
      <c r="BK7" s="546" t="n"/>
      <c r="BL7" s="546" t="n"/>
      <c r="BM7" s="546" t="n"/>
      <c r="BN7" s="546" t="n"/>
      <c r="BO7" s="546" t="n"/>
      <c r="BP7" s="546" t="n"/>
      <c r="BQ7" s="546" t="n"/>
      <c r="BR7" s="546" t="n"/>
      <c r="BS7" s="546" t="n"/>
      <c r="BT7" s="546" t="n"/>
      <c r="BU7" s="534" t="n"/>
      <c r="BV7" s="11">
        <f>BV9/BV8</f>
        <v/>
      </c>
      <c r="CS7" s="1" t="inlineStr">
        <is>
          <t>Automatic</t>
        </is>
      </c>
      <c r="CU7" s="1" t="inlineStr">
        <is>
          <t>Yes</t>
        </is>
      </c>
      <c r="CV7" s="1" t="inlineStr">
        <is>
          <t>Cases</t>
        </is>
      </c>
    </row>
    <row r="8" ht="18" customHeight="1" s="516">
      <c r="D8" s="555" t="n"/>
      <c r="E8" s="533" t="inlineStr">
        <is>
          <t>Equipment Utilization</t>
        </is>
      </c>
      <c r="F8" s="546" t="n"/>
      <c r="G8" s="546" t="n"/>
      <c r="H8" s="546" t="n"/>
      <c r="I8" s="546" t="n"/>
      <c r="J8" s="546" t="n"/>
      <c r="K8" s="546" t="n"/>
      <c r="L8" s="546" t="n"/>
      <c r="M8" s="546" t="n"/>
      <c r="N8" s="546" t="n"/>
      <c r="O8" s="546" t="n"/>
      <c r="P8" s="546" t="n"/>
      <c r="Q8" s="546" t="n"/>
      <c r="R8" s="546" t="n"/>
      <c r="S8" s="534" t="n"/>
      <c r="T8" s="12">
        <f>'Master List'!$G$1</f>
        <v/>
      </c>
      <c r="V8" s="555" t="n"/>
      <c r="W8" s="533" t="inlineStr">
        <is>
          <t>Equipment Utilization</t>
        </is>
      </c>
      <c r="X8" s="546" t="n"/>
      <c r="Y8" s="546" t="n"/>
      <c r="Z8" s="546" t="n"/>
      <c r="AA8" s="546" t="n"/>
      <c r="AB8" s="546" t="n"/>
      <c r="AC8" s="546" t="n"/>
      <c r="AD8" s="546" t="n"/>
      <c r="AE8" s="546" t="n"/>
      <c r="AF8" s="546" t="n"/>
      <c r="AG8" s="546" t="n"/>
      <c r="AH8" s="546" t="n"/>
      <c r="AI8" s="546" t="n"/>
      <c r="AJ8" s="546" t="n"/>
      <c r="AK8" s="534" t="n"/>
      <c r="AL8" s="12" t="n">
        <v>0.85</v>
      </c>
      <c r="AN8" s="555" t="n"/>
      <c r="AO8" s="533" t="inlineStr">
        <is>
          <t>Equipment Utilization</t>
        </is>
      </c>
      <c r="AP8" s="546" t="n"/>
      <c r="AQ8" s="546" t="n"/>
      <c r="AR8" s="546" t="n"/>
      <c r="AS8" s="546" t="n"/>
      <c r="AT8" s="546" t="n"/>
      <c r="AU8" s="546" t="n"/>
      <c r="AV8" s="546" t="n"/>
      <c r="AW8" s="546" t="n"/>
      <c r="AX8" s="546" t="n"/>
      <c r="AY8" s="546" t="n"/>
      <c r="AZ8" s="546" t="n"/>
      <c r="BA8" s="546" t="n"/>
      <c r="BB8" s="546" t="n"/>
      <c r="BC8" s="534" t="n"/>
      <c r="BD8" s="12" t="n">
        <v>0.85</v>
      </c>
      <c r="BF8" s="555" t="n"/>
      <c r="BG8" s="533" t="inlineStr">
        <is>
          <t>Equipment Utilization</t>
        </is>
      </c>
      <c r="BH8" s="546" t="n"/>
      <c r="BI8" s="546" t="n"/>
      <c r="BJ8" s="546" t="n"/>
      <c r="BK8" s="546" t="n"/>
      <c r="BL8" s="546" t="n"/>
      <c r="BM8" s="546" t="n"/>
      <c r="BN8" s="546" t="n"/>
      <c r="BO8" s="546" t="n"/>
      <c r="BP8" s="546" t="n"/>
      <c r="BQ8" s="546" t="n"/>
      <c r="BR8" s="546" t="n"/>
      <c r="BS8" s="546" t="n"/>
      <c r="BT8" s="546" t="n"/>
      <c r="BU8" s="534" t="n"/>
      <c r="BV8" s="12" t="n">
        <v>0.85</v>
      </c>
      <c r="CA8" s="66" t="n"/>
      <c r="CS8" s="1" t="inlineStr">
        <is>
          <t>Manual</t>
        </is>
      </c>
      <c r="CU8" s="1" t="inlineStr">
        <is>
          <t>No</t>
        </is>
      </c>
      <c r="CV8" s="1" t="inlineStr">
        <is>
          <t>Units</t>
        </is>
      </c>
    </row>
    <row r="9" ht="31.25" customHeight="1" s="516">
      <c r="A9" s="399" t="inlineStr">
        <is>
          <t>Lines/ Hr per GTP</t>
        </is>
      </c>
      <c r="B9" s="399">
        <f>T6*B18</f>
        <v/>
      </c>
      <c r="C9" s="6" t="n"/>
      <c r="D9" s="555" t="n"/>
      <c r="E9" s="533" t="inlineStr">
        <is>
          <t>Cycle Time</t>
        </is>
      </c>
      <c r="F9" s="546" t="n"/>
      <c r="G9" s="546" t="n"/>
      <c r="H9" s="546" t="n"/>
      <c r="I9" s="546" t="n"/>
      <c r="J9" s="546" t="n"/>
      <c r="K9" s="546" t="n"/>
      <c r="L9" s="546" t="n"/>
      <c r="M9" s="546" t="n"/>
      <c r="N9" s="546" t="n"/>
      <c r="O9" s="546" t="n"/>
      <c r="P9" s="546" t="n"/>
      <c r="Q9" s="546" t="n"/>
      <c r="R9" s="546" t="n"/>
      <c r="S9" s="534" t="n"/>
      <c r="T9" s="13">
        <f>SUM(T11:T97)</f>
        <v/>
      </c>
      <c r="V9" s="555" t="n"/>
      <c r="W9" s="533" t="inlineStr">
        <is>
          <t>Cycle Time</t>
        </is>
      </c>
      <c r="X9" s="546" t="n"/>
      <c r="Y9" s="546" t="n"/>
      <c r="Z9" s="546" t="n"/>
      <c r="AA9" s="546" t="n"/>
      <c r="AB9" s="546" t="n"/>
      <c r="AC9" s="546" t="n"/>
      <c r="AD9" s="546" t="n"/>
      <c r="AE9" s="546" t="n"/>
      <c r="AF9" s="546" t="n"/>
      <c r="AG9" s="546" t="n"/>
      <c r="AH9" s="546" t="n"/>
      <c r="AI9" s="546" t="n"/>
      <c r="AJ9" s="546" t="n"/>
      <c r="AK9" s="534" t="n"/>
      <c r="AL9" s="13">
        <f>SUM(AL11:AL97)</f>
        <v/>
      </c>
      <c r="AN9" s="555" t="n"/>
      <c r="AO9" s="533" t="inlineStr">
        <is>
          <t>Cycle Time</t>
        </is>
      </c>
      <c r="AP9" s="546" t="n"/>
      <c r="AQ9" s="546" t="n"/>
      <c r="AR9" s="546" t="n"/>
      <c r="AS9" s="546" t="n"/>
      <c r="AT9" s="546" t="n"/>
      <c r="AU9" s="546" t="n"/>
      <c r="AV9" s="546" t="n"/>
      <c r="AW9" s="546" t="n"/>
      <c r="AX9" s="546" t="n"/>
      <c r="AY9" s="546" t="n"/>
      <c r="AZ9" s="546" t="n"/>
      <c r="BA9" s="546" t="n"/>
      <c r="BB9" s="546" t="n"/>
      <c r="BC9" s="534" t="n"/>
      <c r="BD9" s="13">
        <f>SUM(BD11:BD97)</f>
        <v/>
      </c>
      <c r="BF9" s="555" t="n"/>
      <c r="BG9" s="533" t="inlineStr">
        <is>
          <t>Cycle Time</t>
        </is>
      </c>
      <c r="BH9" s="546" t="n"/>
      <c r="BI9" s="546" t="n"/>
      <c r="BJ9" s="546" t="n"/>
      <c r="BK9" s="546" t="n"/>
      <c r="BL9" s="546" t="n"/>
      <c r="BM9" s="546" t="n"/>
      <c r="BN9" s="546" t="n"/>
      <c r="BO9" s="546" t="n"/>
      <c r="BP9" s="546" t="n"/>
      <c r="BQ9" s="546" t="n"/>
      <c r="BR9" s="546" t="n"/>
      <c r="BS9" s="546" t="n"/>
      <c r="BT9" s="546" t="n"/>
      <c r="BU9" s="534" t="n"/>
      <c r="BV9" s="13">
        <f>SUM(BV11:BV97)</f>
        <v/>
      </c>
    </row>
    <row r="10" ht="84" customFormat="1" customHeight="1" s="6">
      <c r="A10" s="399" t="inlineStr">
        <is>
          <t>Qty/ Hr per GTP</t>
        </is>
      </c>
      <c r="B10" s="399">
        <f>B9*B19</f>
        <v/>
      </c>
      <c r="D10" s="556" t="n"/>
      <c r="E10" s="16" t="inlineStr">
        <is>
          <t>Activity Type</t>
        </is>
      </c>
      <c r="F10" s="2" t="inlineStr">
        <is>
          <t>Steps</t>
        </is>
      </c>
      <c r="G10" s="21" t="inlineStr">
        <is>
          <t>Time to consider in absence of data (sec)</t>
        </is>
      </c>
      <c r="H10" s="21" t="inlineStr">
        <is>
          <t>Speed (m / sec)</t>
        </is>
      </c>
      <c r="I10" s="21" t="inlineStr">
        <is>
          <t>Acceleration (m / sec^2)</t>
        </is>
      </c>
      <c r="J10" s="18" t="inlineStr">
        <is>
          <t>Total Distance (m)</t>
        </is>
      </c>
      <c r="K10" s="3" t="inlineStr">
        <is>
          <t>Time to Reach Max Speed (sec)</t>
        </is>
      </c>
      <c r="L10" s="4" t="inlineStr">
        <is>
          <t>Distance in accerlaration (m)</t>
        </is>
      </c>
      <c r="M10" s="2" t="inlineStr">
        <is>
          <t>Distance in Max speed (m)</t>
        </is>
      </c>
      <c r="N10" s="5" t="inlineStr">
        <is>
          <t>Distance in de-acceleration (m)</t>
        </is>
      </c>
      <c r="O10" s="4" t="inlineStr">
        <is>
          <t>Time in acceleration (sec)</t>
        </is>
      </c>
      <c r="P10" s="2" t="inlineStr">
        <is>
          <t>Time in full speed (sec)</t>
        </is>
      </c>
      <c r="Q10" s="5" t="inlineStr">
        <is>
          <t>Time in de-acceleration (sec)</t>
        </is>
      </c>
      <c r="R10" s="19" t="inlineStr">
        <is>
          <t>Time (sec)</t>
        </is>
      </c>
      <c r="S10" s="18" t="inlineStr">
        <is>
          <t>Units</t>
        </is>
      </c>
      <c r="T10" s="20" t="inlineStr">
        <is>
          <t>Total Time</t>
        </is>
      </c>
      <c r="V10" s="556" t="n"/>
      <c r="W10" s="16" t="inlineStr">
        <is>
          <t>Activity Type</t>
        </is>
      </c>
      <c r="X10" s="2" t="inlineStr">
        <is>
          <t>Steps</t>
        </is>
      </c>
      <c r="Y10" s="21" t="inlineStr">
        <is>
          <t>Time to consider in absence of data (sec)</t>
        </is>
      </c>
      <c r="Z10" s="21" t="inlineStr">
        <is>
          <t>Speed (m / sec)</t>
        </is>
      </c>
      <c r="AA10" s="21" t="inlineStr">
        <is>
          <t>Acceleration (m / sec^2)</t>
        </is>
      </c>
      <c r="AB10" s="18" t="inlineStr">
        <is>
          <t>Total Distance (m)</t>
        </is>
      </c>
      <c r="AC10" s="3" t="inlineStr">
        <is>
          <t>Time to Reach Max Speed (sec)</t>
        </is>
      </c>
      <c r="AD10" s="4" t="inlineStr">
        <is>
          <t>Distance in accerlaration (m)</t>
        </is>
      </c>
      <c r="AE10" s="2" t="inlineStr">
        <is>
          <t>Distance in Max speed (m)</t>
        </is>
      </c>
      <c r="AF10" s="5" t="inlineStr">
        <is>
          <t>Distance in de-acceleration (m)</t>
        </is>
      </c>
      <c r="AG10" s="4" t="inlineStr">
        <is>
          <t>Time in acceleration (sec)</t>
        </is>
      </c>
      <c r="AH10" s="2" t="inlineStr">
        <is>
          <t>Time in full speed (sec)</t>
        </is>
      </c>
      <c r="AI10" s="5" t="inlineStr">
        <is>
          <t>Time in de-acceleration (sec)</t>
        </is>
      </c>
      <c r="AJ10" s="19" t="inlineStr">
        <is>
          <t>Time (sec)</t>
        </is>
      </c>
      <c r="AK10" s="18" t="inlineStr">
        <is>
          <t>Units</t>
        </is>
      </c>
      <c r="AL10" s="20" t="inlineStr">
        <is>
          <t>Total Time</t>
        </is>
      </c>
      <c r="AN10" s="556" t="n"/>
      <c r="AO10" s="16" t="inlineStr">
        <is>
          <t>Activity Type</t>
        </is>
      </c>
      <c r="AP10" s="2" t="inlineStr">
        <is>
          <t>Steps</t>
        </is>
      </c>
      <c r="AQ10" s="21" t="inlineStr">
        <is>
          <t>Time to consider in absence of data (sec)</t>
        </is>
      </c>
      <c r="AR10" s="21" t="inlineStr">
        <is>
          <t>Speed (m / sec)</t>
        </is>
      </c>
      <c r="AS10" s="21" t="inlineStr">
        <is>
          <t>Acceleration (m / sec^2)</t>
        </is>
      </c>
      <c r="AT10" s="18" t="inlineStr">
        <is>
          <t>Total Distance (m)</t>
        </is>
      </c>
      <c r="AU10" s="3" t="inlineStr">
        <is>
          <t>Time to Reach Max Speed (sec)</t>
        </is>
      </c>
      <c r="AV10" s="4" t="inlineStr">
        <is>
          <t>Distance in accerlaration (m)</t>
        </is>
      </c>
      <c r="AW10" s="2" t="inlineStr">
        <is>
          <t>Distance in Max speed (m)</t>
        </is>
      </c>
      <c r="AX10" s="5" t="inlineStr">
        <is>
          <t>Distance in de-acceleration (m)</t>
        </is>
      </c>
      <c r="AY10" s="4" t="inlineStr">
        <is>
          <t>Time in acceleration (sec)</t>
        </is>
      </c>
      <c r="AZ10" s="2" t="inlineStr">
        <is>
          <t>Time in full speed (sec)</t>
        </is>
      </c>
      <c r="BA10" s="5" t="inlineStr">
        <is>
          <t>Time in de-acceleration (sec)</t>
        </is>
      </c>
      <c r="BB10" s="19" t="inlineStr">
        <is>
          <t>Time (sec)</t>
        </is>
      </c>
      <c r="BC10" s="18" t="inlineStr">
        <is>
          <t>Units</t>
        </is>
      </c>
      <c r="BD10" s="20" t="inlineStr">
        <is>
          <t>Total Time</t>
        </is>
      </c>
      <c r="BF10" s="556" t="n"/>
      <c r="BG10" s="16" t="inlineStr">
        <is>
          <t>Activity Type</t>
        </is>
      </c>
      <c r="BH10" s="2" t="inlineStr">
        <is>
          <t>Steps</t>
        </is>
      </c>
      <c r="BI10" s="21" t="inlineStr">
        <is>
          <t>Time to consider in absence of data (sec)</t>
        </is>
      </c>
      <c r="BJ10" s="21" t="inlineStr">
        <is>
          <t>Speed (m / sec)</t>
        </is>
      </c>
      <c r="BK10" s="21" t="inlineStr">
        <is>
          <t>Acceleration (m / sec^2)</t>
        </is>
      </c>
      <c r="BL10" s="18" t="inlineStr">
        <is>
          <t>Total Distance (m)</t>
        </is>
      </c>
      <c r="BM10" s="3" t="inlineStr">
        <is>
          <t>Time to Reach Max Speed (sec)</t>
        </is>
      </c>
      <c r="BN10" s="4" t="inlineStr">
        <is>
          <t>Distance in accerlaration (m)</t>
        </is>
      </c>
      <c r="BO10" s="2" t="inlineStr">
        <is>
          <t>Distance in Max speed (m)</t>
        </is>
      </c>
      <c r="BP10" s="5" t="inlineStr">
        <is>
          <t>Distance in de-acceleration (m)</t>
        </is>
      </c>
      <c r="BQ10" s="4" t="inlineStr">
        <is>
          <t>Time in acceleration (sec)</t>
        </is>
      </c>
      <c r="BR10" s="2" t="inlineStr">
        <is>
          <t>Time in full speed (sec)</t>
        </is>
      </c>
      <c r="BS10" s="5" t="inlineStr">
        <is>
          <t>Time in de-acceleration (sec)</t>
        </is>
      </c>
      <c r="BT10" s="19" t="inlineStr">
        <is>
          <t>Time (sec)</t>
        </is>
      </c>
      <c r="BU10" s="18" t="inlineStr">
        <is>
          <t>Units</t>
        </is>
      </c>
      <c r="BV10" s="20" t="inlineStr">
        <is>
          <t>Total Time</t>
        </is>
      </c>
    </row>
    <row r="11">
      <c r="A11" s="1" t="n"/>
      <c r="B11" s="1" t="n"/>
      <c r="D11" s="14" t="n">
        <v>1</v>
      </c>
      <c r="E11" s="28" t="inlineStr">
        <is>
          <t>Scanning</t>
        </is>
      </c>
      <c r="F11" s="28" t="inlineStr">
        <is>
          <t>Scan SKU tote</t>
        </is>
      </c>
      <c r="G11" s="9">
        <f>IFERROR(VLOOKUP(E11,'Master List'!$A:$D,2,0),0)</f>
        <v/>
      </c>
      <c r="H11" s="9">
        <f>IFERROR(VLOOKUP(E11,'Master List'!$A:$D,3,0),0)</f>
        <v/>
      </c>
      <c r="I11" s="9">
        <f>IFERROR(VLOOKUP(E11,'Master List'!$A:$D,4,0),0)</f>
        <v/>
      </c>
      <c r="J11" s="32" t="n"/>
      <c r="K11" s="7">
        <f>IFERROR(H11/I11,0)</f>
        <v/>
      </c>
      <c r="L11" s="8">
        <f>IFERROR(IF(J11&lt;((1/2*I11*K11^2)*2),1/2*I11*SQRT((J11/2)*2/I11)^2,1/2*I11*K11^2),0)</f>
        <v/>
      </c>
      <c r="M11" s="9">
        <f>IFERROR(IF(J11-L11-N11&lt;=0,0,J11-L11-N11),0)</f>
        <v/>
      </c>
      <c r="N11" s="10">
        <f>L11</f>
        <v/>
      </c>
      <c r="O11" s="8">
        <f>IFERROR(IF(J11&lt;((1/2*I11*K11^2)*2),SQRT((J11/2)*2/I11),K11),0)</f>
        <v/>
      </c>
      <c r="P11" s="9">
        <f>IFERROR(M11/H11,0)</f>
        <v/>
      </c>
      <c r="Q11" s="10">
        <f>O11</f>
        <v/>
      </c>
      <c r="R11" s="8">
        <f>IF(G11&gt;0,G11,SUM(O11:Q11))</f>
        <v/>
      </c>
      <c r="S11" s="32">
        <f>IF(B14="Manual",1,0)</f>
        <v/>
      </c>
      <c r="T11" s="10">
        <f>R11*S11</f>
        <v/>
      </c>
      <c r="V11" s="14" t="n">
        <v>1</v>
      </c>
      <c r="W11" s="28" t="n"/>
      <c r="X11" s="30" t="n"/>
      <c r="Y11" s="9">
        <f>IFERROR(VLOOKUP(W11,'Master List'!$A:$D,2,0),0)</f>
        <v/>
      </c>
      <c r="Z11" s="9">
        <f>IFERROR(VLOOKUP(W11,'Master List'!$A:$D,3,0),0)</f>
        <v/>
      </c>
      <c r="AA11" s="9">
        <f>IFERROR(VLOOKUP(W11,'Master List'!$A:$D,4,0),0)</f>
        <v/>
      </c>
      <c r="AB11" s="32" t="n"/>
      <c r="AC11" s="7">
        <f>IFERROR(Z11/AA11,0)</f>
        <v/>
      </c>
      <c r="AD11" s="8">
        <f>IFERROR(IF(AB11&lt;((1/2*AA11*AC11^2)*2),1/2*AA11*SQRT((AB11/2)*2/AA11)^2,1/2*AA11*AC11^2),0)</f>
        <v/>
      </c>
      <c r="AE11" s="9">
        <f>IFERROR(IF(AB11-AD11-AF11&lt;=0,0,AB11-AD11-AF11),0)</f>
        <v/>
      </c>
      <c r="AF11" s="10">
        <f>AD11</f>
        <v/>
      </c>
      <c r="AG11" s="8">
        <f>IFERROR(IF(AB11&lt;((1/2*AA11*AC11^2)*2),SQRT((AB11/2)*2/AA11),AC11),0)</f>
        <v/>
      </c>
      <c r="AH11" s="9">
        <f>IFERROR(AE11/Z11,0)</f>
        <v/>
      </c>
      <c r="AI11" s="10">
        <f>AG11</f>
        <v/>
      </c>
      <c r="AJ11" s="8">
        <f>IF(Y11&gt;0,Y11,SUM(AG11:AI11))</f>
        <v/>
      </c>
      <c r="AK11" s="32" t="n"/>
      <c r="AL11" s="10">
        <f>AJ11*AK11</f>
        <v/>
      </c>
      <c r="AN11" s="14" t="n">
        <v>1</v>
      </c>
      <c r="AO11" s="28" t="n"/>
      <c r="AP11" s="30" t="n"/>
      <c r="AQ11" s="9">
        <f>IFERROR(VLOOKUP(AO11,'Master List'!$A:$D,2,0),0)</f>
        <v/>
      </c>
      <c r="AR11" s="9">
        <f>IFERROR(VLOOKUP(AO11,'Master List'!$A:$D,3,0),0)</f>
        <v/>
      </c>
      <c r="AS11" s="9">
        <f>IFERROR(VLOOKUP(AO11,'Master List'!$A:$D,4,0),0)</f>
        <v/>
      </c>
      <c r="AT11" s="32" t="n"/>
      <c r="AU11" s="7">
        <f>IFERROR(AR11/AS11,0)</f>
        <v/>
      </c>
      <c r="AV11" s="8">
        <f>IFERROR(IF(AT11&lt;((1/2*AS11*AU11^2)*2),1/2*AS11*SQRT((AT11/2)*2/AS11)^2,1/2*AS11*AU11^2),0)</f>
        <v/>
      </c>
      <c r="AW11" s="9">
        <f>IFERROR(IF(AT11-AV11-AX11&lt;=0,0,AT11-AV11-AX11),0)</f>
        <v/>
      </c>
      <c r="AX11" s="10">
        <f>AV11</f>
        <v/>
      </c>
      <c r="AY11" s="8">
        <f>IFERROR(IF(AT11&lt;((1/2*AS11*AU11^2)*2),SQRT((AT11/2)*2/AS11),AU11),0)</f>
        <v/>
      </c>
      <c r="AZ11" s="9">
        <f>IFERROR(AW11/AR11,0)</f>
        <v/>
      </c>
      <c r="BA11" s="10">
        <f>AY11</f>
        <v/>
      </c>
      <c r="BB11" s="8">
        <f>IF(AQ11&gt;0,AQ11,SUM(AY11:BA11))</f>
        <v/>
      </c>
      <c r="BC11" s="32" t="n"/>
      <c r="BD11" s="10">
        <f>BB11*BC11</f>
        <v/>
      </c>
      <c r="BF11" s="14" t="n">
        <v>1</v>
      </c>
      <c r="BG11" s="28" t="n"/>
      <c r="BH11" s="30" t="n"/>
      <c r="BI11" s="9">
        <f>IFERROR(VLOOKUP(BG11,'Master List'!$A:$D,2,0),0)</f>
        <v/>
      </c>
      <c r="BJ11" s="9">
        <f>IFERROR(VLOOKUP(BG11,'Master List'!$A:$D,3,0),0)</f>
        <v/>
      </c>
      <c r="BK11" s="9">
        <f>IFERROR(VLOOKUP(BG11,'Master List'!$A:$D,4,0),0)</f>
        <v/>
      </c>
      <c r="BL11" s="32" t="n"/>
      <c r="BM11" s="7">
        <f>IFERROR(BJ11/BK11,0)</f>
        <v/>
      </c>
      <c r="BN11" s="8">
        <f>IFERROR(IF(BL11&lt;((1/2*BK11*BM11^2)*2),1/2*BK11*SQRT((BL11/2)*2/BK11)^2,1/2*BK11*BM11^2),0)</f>
        <v/>
      </c>
      <c r="BO11" s="9">
        <f>IFERROR(IF(BL11-BN11-BP11&lt;=0,0,BL11-BN11-BP11),0)</f>
        <v/>
      </c>
      <c r="BP11" s="10">
        <f>BN11</f>
        <v/>
      </c>
      <c r="BQ11" s="8">
        <f>IFERROR(IF(BL11&lt;((1/2*BK11*BM11^2)*2),SQRT((BL11/2)*2/BK11),BM11),0)</f>
        <v/>
      </c>
      <c r="BR11" s="9">
        <f>IFERROR(BO11/BJ11,0)</f>
        <v/>
      </c>
      <c r="BS11" s="10">
        <f>BQ11</f>
        <v/>
      </c>
      <c r="BT11" s="8">
        <f>IF(BI11&gt;0,BI11,SUM(BQ11:BS11))</f>
        <v/>
      </c>
      <c r="BU11" s="32" t="n"/>
      <c r="BV11" s="10">
        <f>BT11*BU11</f>
        <v/>
      </c>
    </row>
    <row r="12">
      <c r="A12" s="85" t="inlineStr">
        <is>
          <t>Inputs</t>
        </is>
      </c>
      <c r="B12" s="85" t="inlineStr">
        <is>
          <t>Value</t>
        </is>
      </c>
      <c r="D12" s="14">
        <f>D11+1</f>
        <v/>
      </c>
      <c r="E12" s="87" t="inlineStr">
        <is>
          <t>Unit pick: Pick and place Unit - 2 to 3 steps - Waist level</t>
        </is>
      </c>
      <c r="F12" s="87">
        <f>E12</f>
        <v/>
      </c>
      <c r="G12" s="9">
        <f>IFERROR(VLOOKUP(E12,'Master List'!$A:$D,2,0),0)</f>
        <v/>
      </c>
      <c r="H12" s="9">
        <f>IFERROR(VLOOKUP(E12,'Master List'!$A:$D,3,0),0)</f>
        <v/>
      </c>
      <c r="I12" s="9">
        <f>IFERROR(VLOOKUP(E12,'Master List'!$A:$D,4,0),0)</f>
        <v/>
      </c>
      <c r="J12" s="32" t="n"/>
      <c r="K12" s="7">
        <f>IFERROR(H12/I12,0)</f>
        <v/>
      </c>
      <c r="L12" s="8">
        <f>IFERROR(IF(J12&lt;((1/2*I12*K12^2)*2),1/2*I12*SQRT((J12/2)*2/I12)^2,1/2*I12*K12^2),0)</f>
        <v/>
      </c>
      <c r="M12" s="9">
        <f>IFERROR(IF(J12-L12-N12&lt;=0,0,J12-L12-N12),0)</f>
        <v/>
      </c>
      <c r="N12" s="10">
        <f>L12</f>
        <v/>
      </c>
      <c r="O12" s="8">
        <f>IFERROR(IF(J12&lt;((1/2*I12*K12^2)*2),SQRT((J12/2)*2/I12),K12),0)</f>
        <v/>
      </c>
      <c r="P12" s="9">
        <f>IFERROR(M12/H12,0)</f>
        <v/>
      </c>
      <c r="Q12" s="10">
        <f>O12</f>
        <v/>
      </c>
      <c r="R12" s="8">
        <f>IF(G12&gt;0,G12,SUM(O12:Q12))</f>
        <v/>
      </c>
      <c r="S12" s="32">
        <f>IF(B17="No",(IF(B13="Units",B24)),0)*B22</f>
        <v/>
      </c>
      <c r="T12" s="10">
        <f>R12*S12</f>
        <v/>
      </c>
      <c r="V12" s="14">
        <f>V11+1</f>
        <v/>
      </c>
      <c r="W12" s="28" t="n"/>
      <c r="X12" s="30" t="n"/>
      <c r="Y12" s="9">
        <f>IFERROR(VLOOKUP(W12,'Master List'!$A:$D,2,0),0)</f>
        <v/>
      </c>
      <c r="Z12" s="9">
        <f>IFERROR(VLOOKUP(W12,'Master List'!$A:$D,3,0),0)</f>
        <v/>
      </c>
      <c r="AA12" s="9">
        <f>IFERROR(VLOOKUP(W12,'Master List'!$A:$D,4,0),0)</f>
        <v/>
      </c>
      <c r="AB12" s="32" t="n"/>
      <c r="AC12" s="7">
        <f>IFERROR(Z12/AA12,0)</f>
        <v/>
      </c>
      <c r="AD12" s="8">
        <f>IFERROR(IF(AB12&lt;((1/2*AA12*AC12^2)*2),1/2*AA12*SQRT((AB12/2)*2/AA12)^2,1/2*AA12*AC12^2),0)</f>
        <v/>
      </c>
      <c r="AE12" s="9">
        <f>IFERROR(IF(AB12-AD12-AF12&lt;=0,0,AB12-AD12-AF12),0)</f>
        <v/>
      </c>
      <c r="AF12" s="10">
        <f>AD12</f>
        <v/>
      </c>
      <c r="AG12" s="8">
        <f>IFERROR(IF(AB12&lt;((1/2*AA12*AC12^2)*2),SQRT((AB12/2)*2/AA12),AC12),0)</f>
        <v/>
      </c>
      <c r="AH12" s="9">
        <f>IFERROR(AE12/Z12,0)</f>
        <v/>
      </c>
      <c r="AI12" s="10">
        <f>AG12</f>
        <v/>
      </c>
      <c r="AJ12" s="8">
        <f>IF(Y12&gt;0,Y12,SUM(AG12:AI12))</f>
        <v/>
      </c>
      <c r="AK12" s="32" t="n"/>
      <c r="AL12" s="10">
        <f>AJ12*AK12</f>
        <v/>
      </c>
      <c r="AN12" s="14">
        <f>AN11+1</f>
        <v/>
      </c>
      <c r="AO12" s="28" t="n"/>
      <c r="AP12" s="30" t="n"/>
      <c r="AQ12" s="9">
        <f>IFERROR(VLOOKUP(AO12,'Master List'!$A:$D,2,0),0)</f>
        <v/>
      </c>
      <c r="AR12" s="9">
        <f>IFERROR(VLOOKUP(AO12,'Master List'!$A:$D,3,0),0)</f>
        <v/>
      </c>
      <c r="AS12" s="9">
        <f>IFERROR(VLOOKUP(AO12,'Master List'!$A:$D,4,0),0)</f>
        <v/>
      </c>
      <c r="AT12" s="32" t="n"/>
      <c r="AU12" s="7">
        <f>IFERROR(AR12/AS12,0)</f>
        <v/>
      </c>
      <c r="AV12" s="8">
        <f>IFERROR(IF(AT12&lt;((1/2*AS12*AU12^2)*2),1/2*AS12*SQRT((AT12/2)*2/AS12)^2,1/2*AS12*AU12^2),0)</f>
        <v/>
      </c>
      <c r="AW12" s="9">
        <f>IFERROR(IF(AT12-AV12-AX12&lt;=0,0,AT12-AV12-AX12),0)</f>
        <v/>
      </c>
      <c r="AX12" s="10">
        <f>AV12</f>
        <v/>
      </c>
      <c r="AY12" s="8">
        <f>IFERROR(IF(AT12&lt;((1/2*AS12*AU12^2)*2),SQRT((AT12/2)*2/AS12),AU12),0)</f>
        <v/>
      </c>
      <c r="AZ12" s="9">
        <f>IFERROR(AW12/AR12,0)</f>
        <v/>
      </c>
      <c r="BA12" s="10">
        <f>AY12</f>
        <v/>
      </c>
      <c r="BB12" s="8">
        <f>IF(AQ12&gt;0,AQ12,SUM(AY12:BA12))</f>
        <v/>
      </c>
      <c r="BC12" s="32" t="n"/>
      <c r="BD12" s="10">
        <f>BB12*BC12</f>
        <v/>
      </c>
      <c r="BF12" s="14">
        <f>BF11+1</f>
        <v/>
      </c>
      <c r="BG12" s="28" t="n"/>
      <c r="BH12" s="30" t="n"/>
      <c r="BI12" s="9">
        <f>IFERROR(VLOOKUP(BG12,'Master List'!$A:$D,2,0),0)</f>
        <v/>
      </c>
      <c r="BJ12" s="9">
        <f>IFERROR(VLOOKUP(BG12,'Master List'!$A:$D,3,0),0)</f>
        <v/>
      </c>
      <c r="BK12" s="9">
        <f>IFERROR(VLOOKUP(BG12,'Master List'!$A:$D,4,0),0)</f>
        <v/>
      </c>
      <c r="BL12" s="32" t="n"/>
      <c r="BM12" s="7">
        <f>IFERROR(BJ12/BK12,0)</f>
        <v/>
      </c>
      <c r="BN12" s="8">
        <f>IFERROR(IF(BL12&lt;((1/2*BK12*BM12^2)*2),1/2*BK12*SQRT((BL12/2)*2/BK12)^2,1/2*BK12*BM12^2),0)</f>
        <v/>
      </c>
      <c r="BO12" s="9">
        <f>IFERROR(IF(BL12-BN12-BP12&lt;=0,0,BL12-BN12-BP12),0)</f>
        <v/>
      </c>
      <c r="BP12" s="10">
        <f>BN12</f>
        <v/>
      </c>
      <c r="BQ12" s="8">
        <f>IFERROR(IF(BL12&lt;((1/2*BK12*BM12^2)*2),SQRT((BL12/2)*2/BK12),BM12),0)</f>
        <v/>
      </c>
      <c r="BR12" s="9">
        <f>IFERROR(BO12/BJ12,0)</f>
        <v/>
      </c>
      <c r="BS12" s="10">
        <f>BQ12</f>
        <v/>
      </c>
      <c r="BT12" s="8">
        <f>IF(BI12&gt;0,BI12,SUM(BQ12:BS12))</f>
        <v/>
      </c>
      <c r="BU12" s="32" t="n"/>
      <c r="BV12" s="10">
        <f>BT12*BU12</f>
        <v/>
      </c>
    </row>
    <row r="13">
      <c r="A13" s="42" t="inlineStr">
        <is>
          <t>Unit of measure (UOM)</t>
        </is>
      </c>
      <c r="B13" s="86" t="inlineStr">
        <is>
          <t>Units</t>
        </is>
      </c>
      <c r="D13" s="14">
        <f>D12+1</f>
        <v/>
      </c>
      <c r="E13" s="87" t="inlineStr">
        <is>
          <t>Unit pick: Pick and place Unit - 2 to 3 steps - Shoulder or knee level</t>
        </is>
      </c>
      <c r="F13" s="87">
        <f>E13</f>
        <v/>
      </c>
      <c r="G13" s="9">
        <f>IFERROR(VLOOKUP(E13,'Master List'!$A:$D,2,0),0)</f>
        <v/>
      </c>
      <c r="H13" s="9">
        <f>IFERROR(VLOOKUP(E13,'Master List'!$A:$D,3,0),0)</f>
        <v/>
      </c>
      <c r="I13" s="9">
        <f>IFERROR(VLOOKUP(E13,'Master List'!$A:$D,4,0),0)</f>
        <v/>
      </c>
      <c r="J13" s="32" t="n"/>
      <c r="K13" s="7">
        <f>IFERROR(H13/I13,0)</f>
        <v/>
      </c>
      <c r="L13" s="8">
        <f>IFERROR(IF(J13&lt;((1/2*I13*K13^2)*2),1/2*I13*SQRT((J13/2)*2/I13)^2,1/2*I13*K13^2),0)</f>
        <v/>
      </c>
      <c r="M13" s="9">
        <f>IFERROR(IF(J13-L13-N13&lt;=0,0,J13-L13-N13),0)</f>
        <v/>
      </c>
      <c r="N13" s="10">
        <f>L13</f>
        <v/>
      </c>
      <c r="O13" s="8">
        <f>IFERROR(IF(J13&lt;((1/2*I13*K13^2)*2),SQRT((J13/2)*2/I13),K13),0)</f>
        <v/>
      </c>
      <c r="P13" s="9">
        <f>IFERROR(M13/H13,0)</f>
        <v/>
      </c>
      <c r="Q13" s="10">
        <f>O13</f>
        <v/>
      </c>
      <c r="R13" s="8">
        <f>IF(G13&gt;0,G13,SUM(O13:Q13))</f>
        <v/>
      </c>
      <c r="S13" s="32">
        <f>IF(B17="No",(IF(B13="Units",B24)),0)*B23</f>
        <v/>
      </c>
      <c r="T13" s="10">
        <f>R13*S13</f>
        <v/>
      </c>
      <c r="V13" s="14">
        <f>V12+1</f>
        <v/>
      </c>
      <c r="W13" s="28" t="n"/>
      <c r="X13" s="30" t="n"/>
      <c r="Y13" s="9">
        <f>IFERROR(VLOOKUP(W13,'Master List'!$A:$D,2,0),0)</f>
        <v/>
      </c>
      <c r="Z13" s="9">
        <f>IFERROR(VLOOKUP(W13,'Master List'!$A:$D,3,0),0)</f>
        <v/>
      </c>
      <c r="AA13" s="9">
        <f>IFERROR(VLOOKUP(W13,'Master List'!$A:$D,4,0),0)</f>
        <v/>
      </c>
      <c r="AB13" s="32" t="n"/>
      <c r="AC13" s="7">
        <f>IFERROR(Z13/AA13,0)</f>
        <v/>
      </c>
      <c r="AD13" s="8">
        <f>IFERROR(IF(AB13&lt;((1/2*AA13*AC13^2)*2),1/2*AA13*SQRT((AB13/2)*2/AA13)^2,1/2*AA13*AC13^2),0)</f>
        <v/>
      </c>
      <c r="AE13" s="9">
        <f>IFERROR(IF(AB13-AD13-AF13&lt;=0,0,AB13-AD13-AF13),0)</f>
        <v/>
      </c>
      <c r="AF13" s="10">
        <f>AD13</f>
        <v/>
      </c>
      <c r="AG13" s="8">
        <f>IFERROR(IF(AB13&lt;((1/2*AA13*AC13^2)*2),SQRT((AB13/2)*2/AA13),AC13),0)</f>
        <v/>
      </c>
      <c r="AH13" s="9">
        <f>IFERROR(AE13/Z13,0)</f>
        <v/>
      </c>
      <c r="AI13" s="10">
        <f>AG13</f>
        <v/>
      </c>
      <c r="AJ13" s="8">
        <f>IF(Y13&gt;0,Y13,SUM(AG13:AI13))</f>
        <v/>
      </c>
      <c r="AK13" s="32" t="n"/>
      <c r="AL13" s="10">
        <f>AJ13*AK13</f>
        <v/>
      </c>
      <c r="AN13" s="14">
        <f>AN12+1</f>
        <v/>
      </c>
      <c r="AO13" s="28" t="n"/>
      <c r="AP13" s="30" t="n"/>
      <c r="AQ13" s="9">
        <f>IFERROR(VLOOKUP(AO13,'Master List'!$A:$D,2,0),0)</f>
        <v/>
      </c>
      <c r="AR13" s="9">
        <f>IFERROR(VLOOKUP(AO13,'Master List'!$A:$D,3,0),0)</f>
        <v/>
      </c>
      <c r="AS13" s="9">
        <f>IFERROR(VLOOKUP(AO13,'Master List'!$A:$D,4,0),0)</f>
        <v/>
      </c>
      <c r="AT13" s="32" t="n"/>
      <c r="AU13" s="7">
        <f>IFERROR(AR13/AS13,0)</f>
        <v/>
      </c>
      <c r="AV13" s="8">
        <f>IFERROR(IF(AT13&lt;((1/2*AS13*AU13^2)*2),1/2*AS13*SQRT((AT13/2)*2/AS13)^2,1/2*AS13*AU13^2),0)</f>
        <v/>
      </c>
      <c r="AW13" s="9">
        <f>IFERROR(IF(AT13-AV13-AX13&lt;=0,0,AT13-AV13-AX13),0)</f>
        <v/>
      </c>
      <c r="AX13" s="10">
        <f>AV13</f>
        <v/>
      </c>
      <c r="AY13" s="8">
        <f>IFERROR(IF(AT13&lt;((1/2*AS13*AU13^2)*2),SQRT((AT13/2)*2/AS13),AU13),0)</f>
        <v/>
      </c>
      <c r="AZ13" s="9">
        <f>IFERROR(AW13/AR13,0)</f>
        <v/>
      </c>
      <c r="BA13" s="10">
        <f>AY13</f>
        <v/>
      </c>
      <c r="BB13" s="8">
        <f>IF(AQ13&gt;0,AQ13,SUM(AY13:BA13))</f>
        <v/>
      </c>
      <c r="BC13" s="32" t="n"/>
      <c r="BD13" s="10">
        <f>BB13*BC13</f>
        <v/>
      </c>
      <c r="BF13" s="14">
        <f>BF12+1</f>
        <v/>
      </c>
      <c r="BG13" s="28" t="n"/>
      <c r="BH13" s="30" t="n"/>
      <c r="BI13" s="9">
        <f>IFERROR(VLOOKUP(BG13,'Master List'!$A:$D,2,0),0)</f>
        <v/>
      </c>
      <c r="BJ13" s="9">
        <f>IFERROR(VLOOKUP(BG13,'Master List'!$A:$D,3,0),0)</f>
        <v/>
      </c>
      <c r="BK13" s="9">
        <f>IFERROR(VLOOKUP(BG13,'Master List'!$A:$D,4,0),0)</f>
        <v/>
      </c>
      <c r="BL13" s="32" t="n"/>
      <c r="BM13" s="7">
        <f>IFERROR(BJ13/BK13,0)</f>
        <v/>
      </c>
      <c r="BN13" s="8">
        <f>IFERROR(IF(BL13&lt;((1/2*BK13*BM13^2)*2),1/2*BK13*SQRT((BL13/2)*2/BK13)^2,1/2*BK13*BM13^2),0)</f>
        <v/>
      </c>
      <c r="BO13" s="9">
        <f>IFERROR(IF(BL13-BN13-BP13&lt;=0,0,BL13-BN13-BP13),0)</f>
        <v/>
      </c>
      <c r="BP13" s="10">
        <f>BN13</f>
        <v/>
      </c>
      <c r="BQ13" s="8">
        <f>IFERROR(IF(BL13&lt;((1/2*BK13*BM13^2)*2),SQRT((BL13/2)*2/BK13),BM13),0)</f>
        <v/>
      </c>
      <c r="BR13" s="9">
        <f>IFERROR(BO13/BJ13,0)</f>
        <v/>
      </c>
      <c r="BS13" s="10">
        <f>BQ13</f>
        <v/>
      </c>
      <c r="BT13" s="8">
        <f>IF(BI13&gt;0,BI13,SUM(BQ13:BS13))</f>
        <v/>
      </c>
      <c r="BU13" s="32" t="n"/>
      <c r="BV13" s="10">
        <f>BT13*BU13</f>
        <v/>
      </c>
    </row>
    <row r="14">
      <c r="A14" s="39" t="inlineStr">
        <is>
          <t>SKU tote scanning</t>
        </is>
      </c>
      <c r="B14" s="86" t="inlineStr">
        <is>
          <t>Automatic</t>
        </is>
      </c>
      <c r="D14" s="14">
        <f>D13+1</f>
        <v/>
      </c>
      <c r="E14" s="87" t="inlineStr">
        <is>
          <t>Unit pick: Pick and place Unit within reach - Waist level</t>
        </is>
      </c>
      <c r="F14" s="87">
        <f>E14</f>
        <v/>
      </c>
      <c r="G14" s="9">
        <f>IFERROR(VLOOKUP(E14,'Master List'!$A:$D,2,0),0)</f>
        <v/>
      </c>
      <c r="H14" s="9">
        <f>IFERROR(VLOOKUP(E14,'Master List'!$A:$D,3,0),0)</f>
        <v/>
      </c>
      <c r="I14" s="9">
        <f>IFERROR(VLOOKUP(E14,'Master List'!$A:$D,4,0),0)</f>
        <v/>
      </c>
      <c r="J14" s="32" t="n"/>
      <c r="K14" s="7">
        <f>IFERROR(H14/I14,0)</f>
        <v/>
      </c>
      <c r="L14" s="8">
        <f>IFERROR(IF(J14&lt;((1/2*I14*K14^2)*2),1/2*I14*SQRT((J14/2)*2/I14)^2,1/2*I14*K14^2),0)</f>
        <v/>
      </c>
      <c r="M14" s="9">
        <f>IFERROR(IF(J14-L14-N14&lt;=0,0,J14-L14-N14),0)</f>
        <v/>
      </c>
      <c r="N14" s="10">
        <f>L14</f>
        <v/>
      </c>
      <c r="O14" s="8">
        <f>IFERROR(IF(J14&lt;((1/2*I14*K14^2)*2),SQRT((J14/2)*2/I14),K14),0)</f>
        <v/>
      </c>
      <c r="P14" s="9">
        <f>IFERROR(M14/H14,0)</f>
        <v/>
      </c>
      <c r="Q14" s="10">
        <f>O14</f>
        <v/>
      </c>
      <c r="R14" s="8">
        <f>IF(G14&gt;0,G14,SUM(O14:Q14))</f>
        <v/>
      </c>
      <c r="S14" s="32">
        <f>IF(B17="Yes",(IF(B13="Units",B24)),0)*B22</f>
        <v/>
      </c>
      <c r="T14" s="10">
        <f>R14*S14</f>
        <v/>
      </c>
      <c r="V14" s="14">
        <f>V13+1</f>
        <v/>
      </c>
      <c r="W14" s="28" t="n"/>
      <c r="X14" s="30" t="n"/>
      <c r="Y14" s="9">
        <f>IFERROR(VLOOKUP(W14,'Master List'!$A:$D,2,0),0)</f>
        <v/>
      </c>
      <c r="Z14" s="9">
        <f>IFERROR(VLOOKUP(W14,'Master List'!$A:$D,3,0),0)</f>
        <v/>
      </c>
      <c r="AA14" s="9">
        <f>IFERROR(VLOOKUP(W14,'Master List'!$A:$D,4,0),0)</f>
        <v/>
      </c>
      <c r="AB14" s="32" t="n"/>
      <c r="AC14" s="7">
        <f>IFERROR(Z14/AA14,0)</f>
        <v/>
      </c>
      <c r="AD14" s="8">
        <f>IFERROR(IF(AB14&lt;((1/2*AA14*AC14^2)*2),1/2*AA14*SQRT((AB14/2)*2/AA14)^2,1/2*AA14*AC14^2),0)</f>
        <v/>
      </c>
      <c r="AE14" s="9">
        <f>IFERROR(IF(AB14-AD14-AF14&lt;=0,0,AB14-AD14-AF14),0)</f>
        <v/>
      </c>
      <c r="AF14" s="10">
        <f>AD14</f>
        <v/>
      </c>
      <c r="AG14" s="8">
        <f>IFERROR(IF(AB14&lt;((1/2*AA14*AC14^2)*2),SQRT((AB14/2)*2/AA14),AC14),0)</f>
        <v/>
      </c>
      <c r="AH14" s="9">
        <f>IFERROR(AE14/Z14,0)</f>
        <v/>
      </c>
      <c r="AI14" s="10">
        <f>AG14</f>
        <v/>
      </c>
      <c r="AJ14" s="8">
        <f>IF(Y14&gt;0,Y14,SUM(AG14:AI14))</f>
        <v/>
      </c>
      <c r="AK14" s="32" t="n"/>
      <c r="AL14" s="10">
        <f>AJ14*AK14</f>
        <v/>
      </c>
      <c r="AN14" s="14">
        <f>AN13+1</f>
        <v/>
      </c>
      <c r="AO14" s="28" t="n"/>
      <c r="AP14" s="30" t="n"/>
      <c r="AQ14" s="9">
        <f>IFERROR(VLOOKUP(AO14,'Master List'!$A:$D,2,0),0)</f>
        <v/>
      </c>
      <c r="AR14" s="9">
        <f>IFERROR(VLOOKUP(AO14,'Master List'!$A:$D,3,0),0)</f>
        <v/>
      </c>
      <c r="AS14" s="9">
        <f>IFERROR(VLOOKUP(AO14,'Master List'!$A:$D,4,0),0)</f>
        <v/>
      </c>
      <c r="AT14" s="32" t="n"/>
      <c r="AU14" s="7">
        <f>IFERROR(AR14/AS14,0)</f>
        <v/>
      </c>
      <c r="AV14" s="8">
        <f>IFERROR(IF(AT14&lt;((1/2*AS14*AU14^2)*2),1/2*AS14*SQRT((AT14/2)*2/AS14)^2,1/2*AS14*AU14^2),0)</f>
        <v/>
      </c>
      <c r="AW14" s="9">
        <f>IFERROR(IF(AT14-AV14-AX14&lt;=0,0,AT14-AV14-AX14),0)</f>
        <v/>
      </c>
      <c r="AX14" s="10">
        <f>AV14</f>
        <v/>
      </c>
      <c r="AY14" s="8">
        <f>IFERROR(IF(AT14&lt;((1/2*AS14*AU14^2)*2),SQRT((AT14/2)*2/AS14),AU14),0)</f>
        <v/>
      </c>
      <c r="AZ14" s="9">
        <f>IFERROR(AW14/AR14,0)</f>
        <v/>
      </c>
      <c r="BA14" s="10">
        <f>AY14</f>
        <v/>
      </c>
      <c r="BB14" s="8">
        <f>IF(AQ14&gt;0,AQ14,SUM(AY14:BA14))</f>
        <v/>
      </c>
      <c r="BC14" s="32" t="n"/>
      <c r="BD14" s="10">
        <f>BB14*BC14</f>
        <v/>
      </c>
      <c r="BF14" s="14">
        <f>BF13+1</f>
        <v/>
      </c>
      <c r="BG14" s="28" t="n"/>
      <c r="BH14" s="30" t="n"/>
      <c r="BI14" s="9">
        <f>IFERROR(VLOOKUP(BG14,'Master List'!$A:$D,2,0),0)</f>
        <v/>
      </c>
      <c r="BJ14" s="9">
        <f>IFERROR(VLOOKUP(BG14,'Master List'!$A:$D,3,0),0)</f>
        <v/>
      </c>
      <c r="BK14" s="9">
        <f>IFERROR(VLOOKUP(BG14,'Master List'!$A:$D,4,0),0)</f>
        <v/>
      </c>
      <c r="BL14" s="32" t="n"/>
      <c r="BM14" s="7">
        <f>IFERROR(BJ14/BK14,0)</f>
        <v/>
      </c>
      <c r="BN14" s="8">
        <f>IFERROR(IF(BL14&lt;((1/2*BK14*BM14^2)*2),1/2*BK14*SQRT((BL14/2)*2/BK14)^2,1/2*BK14*BM14^2),0)</f>
        <v/>
      </c>
      <c r="BO14" s="9">
        <f>IFERROR(IF(BL14-BN14-BP14&lt;=0,0,BL14-BN14-BP14),0)</f>
        <v/>
      </c>
      <c r="BP14" s="10">
        <f>BN14</f>
        <v/>
      </c>
      <c r="BQ14" s="8">
        <f>IFERROR(IF(BL14&lt;((1/2*BK14*BM14^2)*2),SQRT((BL14/2)*2/BK14),BM14),0)</f>
        <v/>
      </c>
      <c r="BR14" s="9">
        <f>IFERROR(BO14/BJ14,0)</f>
        <v/>
      </c>
      <c r="BS14" s="10">
        <f>BQ14</f>
        <v/>
      </c>
      <c r="BT14" s="8">
        <f>IF(BI14&gt;0,BI14,SUM(BQ14:BS14))</f>
        <v/>
      </c>
      <c r="BU14" s="32" t="n"/>
      <c r="BV14" s="10">
        <f>BT14*BU14</f>
        <v/>
      </c>
    </row>
    <row r="15">
      <c r="A15" s="39" t="inlineStr">
        <is>
          <t>90 degree turn to put?</t>
        </is>
      </c>
      <c r="B15" s="86" t="inlineStr">
        <is>
          <t>No</t>
        </is>
      </c>
      <c r="D15" s="14">
        <f>D14+1</f>
        <v/>
      </c>
      <c r="E15" s="87" t="inlineStr">
        <is>
          <t>Unit pick: Pick and place Unit within reach - Shoulder or knee level</t>
        </is>
      </c>
      <c r="F15" s="87">
        <f>E15</f>
        <v/>
      </c>
      <c r="G15" s="9">
        <f>IFERROR(VLOOKUP(E15,'Master List'!$A:$D,2,0),0)</f>
        <v/>
      </c>
      <c r="H15" s="9">
        <f>IFERROR(VLOOKUP(E15,'Master List'!$A:$D,3,0),0)</f>
        <v/>
      </c>
      <c r="I15" s="9">
        <f>IFERROR(VLOOKUP(E15,'Master List'!$A:$D,4,0),0)</f>
        <v/>
      </c>
      <c r="J15" s="32" t="n"/>
      <c r="K15" s="7">
        <f>IFERROR(H15/I15,0)</f>
        <v/>
      </c>
      <c r="L15" s="8">
        <f>IFERROR(IF(J15&lt;((1/2*I15*K15^2)*2),1/2*I15*SQRT((J15/2)*2/I15)^2,1/2*I15*K15^2),0)</f>
        <v/>
      </c>
      <c r="M15" s="9">
        <f>IFERROR(IF(J15-L15-N15&lt;=0,0,J15-L15-N15),0)</f>
        <v/>
      </c>
      <c r="N15" s="10">
        <f>L15</f>
        <v/>
      </c>
      <c r="O15" s="8">
        <f>IFERROR(IF(J15&lt;((1/2*I15*K15^2)*2),SQRT((J15/2)*2/I15),K15),0)</f>
        <v/>
      </c>
      <c r="P15" s="9">
        <f>IFERROR(M15/H15,0)</f>
        <v/>
      </c>
      <c r="Q15" s="10">
        <f>O15</f>
        <v/>
      </c>
      <c r="R15" s="8">
        <f>IF(G15&gt;0,G15,SUM(O15:Q15))</f>
        <v/>
      </c>
      <c r="S15" s="32">
        <f>IF(B17="Yes",(IF(B13="Units",B24)),0)*B23</f>
        <v/>
      </c>
      <c r="T15" s="10">
        <f>R15*S15</f>
        <v/>
      </c>
      <c r="V15" s="14">
        <f>V14+1</f>
        <v/>
      </c>
      <c r="W15" s="28" t="n"/>
      <c r="X15" s="30" t="n"/>
      <c r="Y15" s="9">
        <f>IFERROR(VLOOKUP(W15,'Master List'!$A:$D,2,0),0)</f>
        <v/>
      </c>
      <c r="Z15" s="9">
        <f>IFERROR(VLOOKUP(W15,'Master List'!$A:$D,3,0),0)</f>
        <v/>
      </c>
      <c r="AA15" s="9">
        <f>IFERROR(VLOOKUP(W15,'Master List'!$A:$D,4,0),0)</f>
        <v/>
      </c>
      <c r="AB15" s="32" t="n"/>
      <c r="AC15" s="7">
        <f>IFERROR(Z15/AA15,0)</f>
        <v/>
      </c>
      <c r="AD15" s="8">
        <f>IFERROR(IF(AB15&lt;((1/2*AA15*AC15^2)*2),1/2*AA15*SQRT((AB15/2)*2/AA15)^2,1/2*AA15*AC15^2),0)</f>
        <v/>
      </c>
      <c r="AE15" s="9">
        <f>IFERROR(IF(AB15-AD15-AF15&lt;=0,0,AB15-AD15-AF15),0)</f>
        <v/>
      </c>
      <c r="AF15" s="10">
        <f>AD15</f>
        <v/>
      </c>
      <c r="AG15" s="8">
        <f>IFERROR(IF(AB15&lt;((1/2*AA15*AC15^2)*2),SQRT((AB15/2)*2/AA15),AC15),0)</f>
        <v/>
      </c>
      <c r="AH15" s="9">
        <f>IFERROR(AE15/Z15,0)</f>
        <v/>
      </c>
      <c r="AI15" s="10">
        <f>AG15</f>
        <v/>
      </c>
      <c r="AJ15" s="8">
        <f>IF(Y15&gt;0,Y15,SUM(AG15:AI15))</f>
        <v/>
      </c>
      <c r="AK15" s="32" t="n"/>
      <c r="AL15" s="10">
        <f>AJ15*AK15</f>
        <v/>
      </c>
      <c r="AN15" s="14">
        <f>AN14+1</f>
        <v/>
      </c>
      <c r="AO15" s="28" t="n"/>
      <c r="AP15" s="30" t="n"/>
      <c r="AQ15" s="9">
        <f>IFERROR(VLOOKUP(AO15,'Master List'!$A:$D,2,0),0)</f>
        <v/>
      </c>
      <c r="AR15" s="9">
        <f>IFERROR(VLOOKUP(AO15,'Master List'!$A:$D,3,0),0)</f>
        <v/>
      </c>
      <c r="AS15" s="9">
        <f>IFERROR(VLOOKUP(AO15,'Master List'!$A:$D,4,0),0)</f>
        <v/>
      </c>
      <c r="AT15" s="32" t="n"/>
      <c r="AU15" s="7">
        <f>IFERROR(AR15/AS15,0)</f>
        <v/>
      </c>
      <c r="AV15" s="8">
        <f>IFERROR(IF(AT15&lt;((1/2*AS15*AU15^2)*2),1/2*AS15*SQRT((AT15/2)*2/AS15)^2,1/2*AS15*AU15^2),0)</f>
        <v/>
      </c>
      <c r="AW15" s="9">
        <f>IFERROR(IF(AT15-AV15-AX15&lt;=0,0,AT15-AV15-AX15),0)</f>
        <v/>
      </c>
      <c r="AX15" s="10">
        <f>AV15</f>
        <v/>
      </c>
      <c r="AY15" s="8">
        <f>IFERROR(IF(AT15&lt;((1/2*AS15*AU15^2)*2),SQRT((AT15/2)*2/AS15),AU15),0)</f>
        <v/>
      </c>
      <c r="AZ15" s="9">
        <f>IFERROR(AW15/AR15,0)</f>
        <v/>
      </c>
      <c r="BA15" s="10">
        <f>AY15</f>
        <v/>
      </c>
      <c r="BB15" s="8">
        <f>IF(AQ15&gt;0,AQ15,SUM(AY15:BA15))</f>
        <v/>
      </c>
      <c r="BC15" s="32" t="n"/>
      <c r="BD15" s="10">
        <f>BB15*BC15</f>
        <v/>
      </c>
      <c r="BF15" s="14">
        <f>BF14+1</f>
        <v/>
      </c>
      <c r="BG15" s="28" t="n"/>
      <c r="BH15" s="30" t="n"/>
      <c r="BI15" s="9">
        <f>IFERROR(VLOOKUP(BG15,'Master List'!$A:$D,2,0),0)</f>
        <v/>
      </c>
      <c r="BJ15" s="9">
        <f>IFERROR(VLOOKUP(BG15,'Master List'!$A:$D,3,0),0)</f>
        <v/>
      </c>
      <c r="BK15" s="9">
        <f>IFERROR(VLOOKUP(BG15,'Master List'!$A:$D,4,0),0)</f>
        <v/>
      </c>
      <c r="BL15" s="32" t="n"/>
      <c r="BM15" s="7">
        <f>IFERROR(BJ15/BK15,0)</f>
        <v/>
      </c>
      <c r="BN15" s="8">
        <f>IFERROR(IF(BL15&lt;((1/2*BK15*BM15^2)*2),1/2*BK15*SQRT((BL15/2)*2/BK15)^2,1/2*BK15*BM15^2),0)</f>
        <v/>
      </c>
      <c r="BO15" s="9">
        <f>IFERROR(IF(BL15-BN15-BP15&lt;=0,0,BL15-BN15-BP15),0)</f>
        <v/>
      </c>
      <c r="BP15" s="10">
        <f>BN15</f>
        <v/>
      </c>
      <c r="BQ15" s="8">
        <f>IFERROR(IF(BL15&lt;((1/2*BK15*BM15^2)*2),SQRT((BL15/2)*2/BK15),BM15),0)</f>
        <v/>
      </c>
      <c r="BR15" s="9">
        <f>IFERROR(BO15/BJ15,0)</f>
        <v/>
      </c>
      <c r="BS15" s="10">
        <f>BQ15</f>
        <v/>
      </c>
      <c r="BT15" s="8">
        <f>IF(BI15&gt;0,BI15,SUM(BQ15:BS15))</f>
        <v/>
      </c>
      <c r="BU15" s="32" t="n"/>
      <c r="BV15" s="10">
        <f>BT15*BU15</f>
        <v/>
      </c>
    </row>
    <row r="16">
      <c r="A16" s="39" t="inlineStr">
        <is>
          <t>Order tote or carton auto replacement</t>
        </is>
      </c>
      <c r="B16" s="86" t="inlineStr">
        <is>
          <t>Manual</t>
        </is>
      </c>
      <c r="D16" s="14">
        <f>D15+1</f>
        <v/>
      </c>
      <c r="E16" s="87" t="inlineStr">
        <is>
          <t>Pick and place Cases - 2 to 3 steps - Waist level</t>
        </is>
      </c>
      <c r="F16" s="87">
        <f>E16</f>
        <v/>
      </c>
      <c r="G16" s="9">
        <f>IFERROR(VLOOKUP(E16,'Master List'!$A:$D,2,0),0)</f>
        <v/>
      </c>
      <c r="H16" s="9">
        <f>IFERROR(VLOOKUP(E16,'Master List'!$A:$D,3,0),0)</f>
        <v/>
      </c>
      <c r="I16" s="9">
        <f>IFERROR(VLOOKUP(E16,'Master List'!$A:$D,4,0),0)</f>
        <v/>
      </c>
      <c r="J16" s="32" t="n"/>
      <c r="K16" s="7">
        <f>IFERROR(H16/I16,0)</f>
        <v/>
      </c>
      <c r="L16" s="8">
        <f>IFERROR(IF(J16&lt;((1/2*I16*K16^2)*2),1/2*I16*SQRT((J16/2)*2/I16)^2,1/2*I16*K16^2),0)</f>
        <v/>
      </c>
      <c r="M16" s="9">
        <f>IFERROR(IF(J16-L16-N16&lt;=0,0,J16-L16-N16),0)</f>
        <v/>
      </c>
      <c r="N16" s="10">
        <f>L16</f>
        <v/>
      </c>
      <c r="O16" s="8">
        <f>IFERROR(IF(J16&lt;((1/2*I16*K16^2)*2),SQRT((J16/2)*2/I16),K16),0)</f>
        <v/>
      </c>
      <c r="P16" s="9">
        <f>IFERROR(M16/H16,0)</f>
        <v/>
      </c>
      <c r="Q16" s="10">
        <f>O16</f>
        <v/>
      </c>
      <c r="R16" s="8">
        <f>IF(G16&gt;0,G16,SUM(O16:Q16))</f>
        <v/>
      </c>
      <c r="S16" s="32">
        <f>IF(B17="No",(IF(B13="Cases",B25)),0)*B22</f>
        <v/>
      </c>
      <c r="T16" s="10">
        <f>R16*S16</f>
        <v/>
      </c>
      <c r="V16" s="14">
        <f>V15+1</f>
        <v/>
      </c>
      <c r="W16" s="28" t="n"/>
      <c r="X16" s="30" t="n"/>
      <c r="Y16" s="9">
        <f>IFERROR(VLOOKUP(W16,'Master List'!$A:$D,2,0),0)</f>
        <v/>
      </c>
      <c r="Z16" s="9">
        <f>IFERROR(VLOOKUP(W16,'Master List'!$A:$D,3,0),0)</f>
        <v/>
      </c>
      <c r="AA16" s="9">
        <f>IFERROR(VLOOKUP(W16,'Master List'!$A:$D,4,0),0)</f>
        <v/>
      </c>
      <c r="AB16" s="32" t="n"/>
      <c r="AC16" s="7">
        <f>IFERROR(Z16/AA16,0)</f>
        <v/>
      </c>
      <c r="AD16" s="8">
        <f>IFERROR(IF(AB16&lt;((1/2*AA16*AC16^2)*2),1/2*AA16*SQRT((AB16/2)*2/AA16)^2,1/2*AA16*AC16^2),0)</f>
        <v/>
      </c>
      <c r="AE16" s="9">
        <f>IFERROR(IF(AB16-AD16-AF16&lt;=0,0,AB16-AD16-AF16),0)</f>
        <v/>
      </c>
      <c r="AF16" s="10">
        <f>AD16</f>
        <v/>
      </c>
      <c r="AG16" s="8">
        <f>IFERROR(IF(AB16&lt;((1/2*AA16*AC16^2)*2),SQRT((AB16/2)*2/AA16),AC16),0)</f>
        <v/>
      </c>
      <c r="AH16" s="9">
        <f>IFERROR(AE16/Z16,0)</f>
        <v/>
      </c>
      <c r="AI16" s="10">
        <f>AG16</f>
        <v/>
      </c>
      <c r="AJ16" s="8">
        <f>IF(Y16&gt;0,Y16,SUM(AG16:AI16))</f>
        <v/>
      </c>
      <c r="AK16" s="32" t="n"/>
      <c r="AL16" s="10">
        <f>AJ16*AK16</f>
        <v/>
      </c>
      <c r="AN16" s="14">
        <f>AN15+1</f>
        <v/>
      </c>
      <c r="AO16" s="28" t="n"/>
      <c r="AP16" s="30" t="n"/>
      <c r="AQ16" s="9">
        <f>IFERROR(VLOOKUP(AO16,'Master List'!$A:$D,2,0),0)</f>
        <v/>
      </c>
      <c r="AR16" s="9">
        <f>IFERROR(VLOOKUP(AO16,'Master List'!$A:$D,3,0),0)</f>
        <v/>
      </c>
      <c r="AS16" s="9">
        <f>IFERROR(VLOOKUP(AO16,'Master List'!$A:$D,4,0),0)</f>
        <v/>
      </c>
      <c r="AT16" s="32" t="n"/>
      <c r="AU16" s="7">
        <f>IFERROR(AR16/AS16,0)</f>
        <v/>
      </c>
      <c r="AV16" s="8">
        <f>IFERROR(IF(AT16&lt;((1/2*AS16*AU16^2)*2),1/2*AS16*SQRT((AT16/2)*2/AS16)^2,1/2*AS16*AU16^2),0)</f>
        <v/>
      </c>
      <c r="AW16" s="9">
        <f>IFERROR(IF(AT16-AV16-AX16&lt;=0,0,AT16-AV16-AX16),0)</f>
        <v/>
      </c>
      <c r="AX16" s="10">
        <f>AV16</f>
        <v/>
      </c>
      <c r="AY16" s="8">
        <f>IFERROR(IF(AT16&lt;((1/2*AS16*AU16^2)*2),SQRT((AT16/2)*2/AS16),AU16),0)</f>
        <v/>
      </c>
      <c r="AZ16" s="9">
        <f>IFERROR(AW16/AR16,0)</f>
        <v/>
      </c>
      <c r="BA16" s="10">
        <f>AY16</f>
        <v/>
      </c>
      <c r="BB16" s="8">
        <f>IF(AQ16&gt;0,AQ16,SUM(AY16:BA16))</f>
        <v/>
      </c>
      <c r="BC16" s="32" t="n"/>
      <c r="BD16" s="10">
        <f>BB16*BC16</f>
        <v/>
      </c>
      <c r="BF16" s="14">
        <f>BF15+1</f>
        <v/>
      </c>
      <c r="BG16" s="28" t="n"/>
      <c r="BH16" s="30" t="n"/>
      <c r="BI16" s="9">
        <f>IFERROR(VLOOKUP(BG16,'Master List'!$A:$D,2,0),0)</f>
        <v/>
      </c>
      <c r="BJ16" s="9">
        <f>IFERROR(VLOOKUP(BG16,'Master List'!$A:$D,3,0),0)</f>
        <v/>
      </c>
      <c r="BK16" s="9">
        <f>IFERROR(VLOOKUP(BG16,'Master List'!$A:$D,4,0),0)</f>
        <v/>
      </c>
      <c r="BL16" s="32" t="n"/>
      <c r="BM16" s="7">
        <f>IFERROR(BJ16/BK16,0)</f>
        <v/>
      </c>
      <c r="BN16" s="8">
        <f>IFERROR(IF(BL16&lt;((1/2*BK16*BM16^2)*2),1/2*BK16*SQRT((BL16/2)*2/BK16)^2,1/2*BK16*BM16^2),0)</f>
        <v/>
      </c>
      <c r="BO16" s="9">
        <f>IFERROR(IF(BL16-BN16-BP16&lt;=0,0,BL16-BN16-BP16),0)</f>
        <v/>
      </c>
      <c r="BP16" s="10">
        <f>BN16</f>
        <v/>
      </c>
      <c r="BQ16" s="8">
        <f>IFERROR(IF(BL16&lt;((1/2*BK16*BM16^2)*2),SQRT((BL16/2)*2/BK16),BM16),0)</f>
        <v/>
      </c>
      <c r="BR16" s="9">
        <f>IFERROR(BO16/BJ16,0)</f>
        <v/>
      </c>
      <c r="BS16" s="10">
        <f>BQ16</f>
        <v/>
      </c>
      <c r="BT16" s="8">
        <f>IF(BI16&gt;0,BI16,SUM(BQ16:BS16))</f>
        <v/>
      </c>
      <c r="BU16" s="32" t="n"/>
      <c r="BV16" s="10">
        <f>BT16*BU16</f>
        <v/>
      </c>
    </row>
    <row r="17">
      <c r="A17" s="39" t="inlineStr">
        <is>
          <t>Pick and place within reach?</t>
        </is>
      </c>
      <c r="B17" s="86" t="inlineStr">
        <is>
          <t>No</t>
        </is>
      </c>
      <c r="D17" s="14">
        <f>D16+1</f>
        <v/>
      </c>
      <c r="E17" s="87" t="inlineStr">
        <is>
          <t>Pick and place Cases - 2 to 3 steps - Shoulder or knee level</t>
        </is>
      </c>
      <c r="F17" s="87">
        <f>E17</f>
        <v/>
      </c>
      <c r="G17" s="9">
        <f>IFERROR(VLOOKUP(E17,'Master List'!$A:$D,2,0),0)</f>
        <v/>
      </c>
      <c r="H17" s="9">
        <f>IFERROR(VLOOKUP(E17,'Master List'!$A:$D,3,0),0)</f>
        <v/>
      </c>
      <c r="I17" s="9">
        <f>IFERROR(VLOOKUP(E17,'Master List'!$A:$D,4,0),0)</f>
        <v/>
      </c>
      <c r="J17" s="32" t="n"/>
      <c r="K17" s="7">
        <f>IFERROR(H17/I17,0)</f>
        <v/>
      </c>
      <c r="L17" s="8">
        <f>IFERROR(IF(J17&lt;((1/2*I17*K17^2)*2),1/2*I17*SQRT((J17/2)*2/I17)^2,1/2*I17*K17^2),0)</f>
        <v/>
      </c>
      <c r="M17" s="9">
        <f>IFERROR(IF(J17-L17-N17&lt;=0,0,J17-L17-N17),0)</f>
        <v/>
      </c>
      <c r="N17" s="10">
        <f>L17</f>
        <v/>
      </c>
      <c r="O17" s="8">
        <f>IFERROR(IF(J17&lt;((1/2*I17*K17^2)*2),SQRT((J17/2)*2/I17),K17),0)</f>
        <v/>
      </c>
      <c r="P17" s="9">
        <f>IFERROR(M17/H17,0)</f>
        <v/>
      </c>
      <c r="Q17" s="10">
        <f>O17</f>
        <v/>
      </c>
      <c r="R17" s="8">
        <f>IF(G17&gt;0,G17,SUM(O17:Q17))</f>
        <v/>
      </c>
      <c r="S17" s="32">
        <f>IF(B17="No",(IF(B13="Cases",B25)),0)*B23</f>
        <v/>
      </c>
      <c r="T17" s="10">
        <f>R17*S17</f>
        <v/>
      </c>
      <c r="V17" s="14">
        <f>V16+1</f>
        <v/>
      </c>
      <c r="W17" s="28" t="n"/>
      <c r="X17" s="30" t="n"/>
      <c r="Y17" s="9">
        <f>IFERROR(VLOOKUP(W17,'Master List'!$A:$D,2,0),0)</f>
        <v/>
      </c>
      <c r="Z17" s="9">
        <f>IFERROR(VLOOKUP(W17,'Master List'!$A:$D,3,0),0)</f>
        <v/>
      </c>
      <c r="AA17" s="9">
        <f>IFERROR(VLOOKUP(W17,'Master List'!$A:$D,4,0),0)</f>
        <v/>
      </c>
      <c r="AB17" s="32" t="n"/>
      <c r="AC17" s="7">
        <f>IFERROR(Z17/AA17,0)</f>
        <v/>
      </c>
      <c r="AD17" s="8">
        <f>IFERROR(IF(AB17&lt;((1/2*AA17*AC17^2)*2),1/2*AA17*SQRT((AB17/2)*2/AA17)^2,1/2*AA17*AC17^2),0)</f>
        <v/>
      </c>
      <c r="AE17" s="9">
        <f>IFERROR(IF(AB17-AD17-AF17&lt;=0,0,AB17-AD17-AF17),0)</f>
        <v/>
      </c>
      <c r="AF17" s="10">
        <f>AD17</f>
        <v/>
      </c>
      <c r="AG17" s="8">
        <f>IFERROR(IF(AB17&lt;((1/2*AA17*AC17^2)*2),SQRT((AB17/2)*2/AA17),AC17),0)</f>
        <v/>
      </c>
      <c r="AH17" s="9">
        <f>IFERROR(AE17/Z17,0)</f>
        <v/>
      </c>
      <c r="AI17" s="10">
        <f>AG17</f>
        <v/>
      </c>
      <c r="AJ17" s="8">
        <f>IF(Y17&gt;0,Y17,SUM(AG17:AI17))</f>
        <v/>
      </c>
      <c r="AK17" s="32" t="n"/>
      <c r="AL17" s="10">
        <f>AJ17*AK17</f>
        <v/>
      </c>
      <c r="AN17" s="14">
        <f>AN16+1</f>
        <v/>
      </c>
      <c r="AO17" s="28" t="n"/>
      <c r="AP17" s="30" t="n"/>
      <c r="AQ17" s="9">
        <f>IFERROR(VLOOKUP(AO17,'Master List'!$A:$D,2,0),0)</f>
        <v/>
      </c>
      <c r="AR17" s="9">
        <f>IFERROR(VLOOKUP(AO17,'Master List'!$A:$D,3,0),0)</f>
        <v/>
      </c>
      <c r="AS17" s="9">
        <f>IFERROR(VLOOKUP(AO17,'Master List'!$A:$D,4,0),0)</f>
        <v/>
      </c>
      <c r="AT17" s="32" t="n"/>
      <c r="AU17" s="7">
        <f>IFERROR(AR17/AS17,0)</f>
        <v/>
      </c>
      <c r="AV17" s="8">
        <f>IFERROR(IF(AT17&lt;((1/2*AS17*AU17^2)*2),1/2*AS17*SQRT((AT17/2)*2/AS17)^2,1/2*AS17*AU17^2),0)</f>
        <v/>
      </c>
      <c r="AW17" s="9">
        <f>IFERROR(IF(AT17-AV17-AX17&lt;=0,0,AT17-AV17-AX17),0)</f>
        <v/>
      </c>
      <c r="AX17" s="10">
        <f>AV17</f>
        <v/>
      </c>
      <c r="AY17" s="8">
        <f>IFERROR(IF(AT17&lt;((1/2*AS17*AU17^2)*2),SQRT((AT17/2)*2/AS17),AU17),0)</f>
        <v/>
      </c>
      <c r="AZ17" s="9">
        <f>IFERROR(AW17/AR17,0)</f>
        <v/>
      </c>
      <c r="BA17" s="10">
        <f>AY17</f>
        <v/>
      </c>
      <c r="BB17" s="8">
        <f>IF(AQ17&gt;0,AQ17,SUM(AY17:BA17))</f>
        <v/>
      </c>
      <c r="BC17" s="32" t="n"/>
      <c r="BD17" s="10">
        <f>BB17*BC17</f>
        <v/>
      </c>
      <c r="BF17" s="14">
        <f>BF16+1</f>
        <v/>
      </c>
      <c r="BG17" s="28" t="n"/>
      <c r="BH17" s="30" t="n"/>
      <c r="BI17" s="9">
        <f>IFERROR(VLOOKUP(BG17,'Master List'!$A:$D,2,0),0)</f>
        <v/>
      </c>
      <c r="BJ17" s="9">
        <f>IFERROR(VLOOKUP(BG17,'Master List'!$A:$D,3,0),0)</f>
        <v/>
      </c>
      <c r="BK17" s="9">
        <f>IFERROR(VLOOKUP(BG17,'Master List'!$A:$D,4,0),0)</f>
        <v/>
      </c>
      <c r="BL17" s="32" t="n"/>
      <c r="BM17" s="7">
        <f>IFERROR(BJ17/BK17,0)</f>
        <v/>
      </c>
      <c r="BN17" s="8">
        <f>IFERROR(IF(BL17&lt;((1/2*BK17*BM17^2)*2),1/2*BK17*SQRT((BL17/2)*2/BK17)^2,1/2*BK17*BM17^2),0)</f>
        <v/>
      </c>
      <c r="BO17" s="9">
        <f>IFERROR(IF(BL17-BN17-BP17&lt;=0,0,BL17-BN17-BP17),0)</f>
        <v/>
      </c>
      <c r="BP17" s="10">
        <f>BN17</f>
        <v/>
      </c>
      <c r="BQ17" s="8">
        <f>IFERROR(IF(BL17&lt;((1/2*BK17*BM17^2)*2),SQRT((BL17/2)*2/BK17),BM17),0)</f>
        <v/>
      </c>
      <c r="BR17" s="9">
        <f>IFERROR(BO17/BJ17,0)</f>
        <v/>
      </c>
      <c r="BS17" s="10">
        <f>BQ17</f>
        <v/>
      </c>
      <c r="BT17" s="8">
        <f>IF(BI17&gt;0,BI17,SUM(BQ17:BS17))</f>
        <v/>
      </c>
      <c r="BU17" s="32" t="n"/>
      <c r="BV17" s="10">
        <f>BT17*BU17</f>
        <v/>
      </c>
    </row>
    <row r="18">
      <c r="A18" s="39" t="inlineStr">
        <is>
          <t>Batch factor (Number of lines picked per SKU totes presented)</t>
        </is>
      </c>
      <c r="B18" s="86" t="n">
        <v>2</v>
      </c>
      <c r="D18" s="14">
        <f>D17+1</f>
        <v/>
      </c>
      <c r="E18" s="87" t="inlineStr">
        <is>
          <t>Pick and place Cases within reach - Waist level</t>
        </is>
      </c>
      <c r="F18" s="87">
        <f>E18</f>
        <v/>
      </c>
      <c r="G18" s="9">
        <f>IFERROR(VLOOKUP(E18,'Master List'!$A:$D,2,0),0)</f>
        <v/>
      </c>
      <c r="H18" s="9">
        <f>IFERROR(VLOOKUP(E18,'Master List'!$A:$D,3,0),0)</f>
        <v/>
      </c>
      <c r="I18" s="9">
        <f>IFERROR(VLOOKUP(E18,'Master List'!$A:$D,4,0),0)</f>
        <v/>
      </c>
      <c r="J18" s="32" t="n"/>
      <c r="K18" s="7">
        <f>IFERROR(H18/I18,0)</f>
        <v/>
      </c>
      <c r="L18" s="8">
        <f>IFERROR(IF(J18&lt;((1/2*I18*K18^2)*2),1/2*I18*SQRT((J18/2)*2/I18)^2,1/2*I18*K18^2),0)</f>
        <v/>
      </c>
      <c r="M18" s="9">
        <f>IFERROR(IF(J18-L18-N18&lt;=0,0,J18-L18-N18),0)</f>
        <v/>
      </c>
      <c r="N18" s="10">
        <f>L18</f>
        <v/>
      </c>
      <c r="O18" s="8">
        <f>IFERROR(IF(J18&lt;((1/2*I18*K18^2)*2),SQRT((J18/2)*2/I18),K18),0)</f>
        <v/>
      </c>
      <c r="P18" s="9">
        <f>IFERROR(M18/H18,0)</f>
        <v/>
      </c>
      <c r="Q18" s="10">
        <f>O18</f>
        <v/>
      </c>
      <c r="R18" s="8">
        <f>IF(G18&gt;0,G18,SUM(O18:Q18))</f>
        <v/>
      </c>
      <c r="S18" s="32">
        <f>IF(B17="Yes",(IF(B13="Cases",B25)),0)*B22</f>
        <v/>
      </c>
      <c r="T18" s="10">
        <f>R18*S18</f>
        <v/>
      </c>
      <c r="V18" s="14">
        <f>V17+1</f>
        <v/>
      </c>
      <c r="W18" s="28" t="n"/>
      <c r="X18" s="30" t="n"/>
      <c r="Y18" s="9">
        <f>IFERROR(VLOOKUP(W18,'Master List'!$A:$D,2,0),0)</f>
        <v/>
      </c>
      <c r="Z18" s="9">
        <f>IFERROR(VLOOKUP(W18,'Master List'!$A:$D,3,0),0)</f>
        <v/>
      </c>
      <c r="AA18" s="9">
        <f>IFERROR(VLOOKUP(W18,'Master List'!$A:$D,4,0),0)</f>
        <v/>
      </c>
      <c r="AB18" s="32" t="n"/>
      <c r="AC18" s="7">
        <f>IFERROR(Z18/AA18,0)</f>
        <v/>
      </c>
      <c r="AD18" s="8">
        <f>IFERROR(IF(AB18&lt;((1/2*AA18*AC18^2)*2),1/2*AA18*SQRT((AB18/2)*2/AA18)^2,1/2*AA18*AC18^2),0)</f>
        <v/>
      </c>
      <c r="AE18" s="9">
        <f>IFERROR(IF(AB18-AD18-AF18&lt;=0,0,AB18-AD18-AF18),0)</f>
        <v/>
      </c>
      <c r="AF18" s="10">
        <f>AD18</f>
        <v/>
      </c>
      <c r="AG18" s="8">
        <f>IFERROR(IF(AB18&lt;((1/2*AA18*AC18^2)*2),SQRT((AB18/2)*2/AA18),AC18),0)</f>
        <v/>
      </c>
      <c r="AH18" s="9">
        <f>IFERROR(AE18/Z18,0)</f>
        <v/>
      </c>
      <c r="AI18" s="10">
        <f>AG18</f>
        <v/>
      </c>
      <c r="AJ18" s="8">
        <f>IF(Y18&gt;0,Y18,SUM(AG18:AI18))</f>
        <v/>
      </c>
      <c r="AK18" s="32" t="n"/>
      <c r="AL18" s="10">
        <f>AJ18*AK18</f>
        <v/>
      </c>
      <c r="AN18" s="14">
        <f>AN17+1</f>
        <v/>
      </c>
      <c r="AO18" s="28" t="n"/>
      <c r="AP18" s="30" t="n"/>
      <c r="AQ18" s="9">
        <f>IFERROR(VLOOKUP(AO18,'Master List'!$A:$D,2,0),0)</f>
        <v/>
      </c>
      <c r="AR18" s="9">
        <f>IFERROR(VLOOKUP(AO18,'Master List'!$A:$D,3,0),0)</f>
        <v/>
      </c>
      <c r="AS18" s="9">
        <f>IFERROR(VLOOKUP(AO18,'Master List'!$A:$D,4,0),0)</f>
        <v/>
      </c>
      <c r="AT18" s="32" t="n"/>
      <c r="AU18" s="7">
        <f>IFERROR(AR18/AS18,0)</f>
        <v/>
      </c>
      <c r="AV18" s="8">
        <f>IFERROR(IF(AT18&lt;((1/2*AS18*AU18^2)*2),1/2*AS18*SQRT((AT18/2)*2/AS18)^2,1/2*AS18*AU18^2),0)</f>
        <v/>
      </c>
      <c r="AW18" s="9">
        <f>IFERROR(IF(AT18-AV18-AX18&lt;=0,0,AT18-AV18-AX18),0)</f>
        <v/>
      </c>
      <c r="AX18" s="10">
        <f>AV18</f>
        <v/>
      </c>
      <c r="AY18" s="8">
        <f>IFERROR(IF(AT18&lt;((1/2*AS18*AU18^2)*2),SQRT((AT18/2)*2/AS18),AU18),0)</f>
        <v/>
      </c>
      <c r="AZ18" s="9">
        <f>IFERROR(AW18/AR18,0)</f>
        <v/>
      </c>
      <c r="BA18" s="10">
        <f>AY18</f>
        <v/>
      </c>
      <c r="BB18" s="8">
        <f>IF(AQ18&gt;0,AQ18,SUM(AY18:BA18))</f>
        <v/>
      </c>
      <c r="BC18" s="32" t="n"/>
      <c r="BD18" s="10">
        <f>BB18*BC18</f>
        <v/>
      </c>
      <c r="BF18" s="14">
        <f>BF17+1</f>
        <v/>
      </c>
      <c r="BG18" s="28" t="n"/>
      <c r="BH18" s="30" t="n"/>
      <c r="BI18" s="9">
        <f>IFERROR(VLOOKUP(BG18,'Master List'!$A:$D,2,0),0)</f>
        <v/>
      </c>
      <c r="BJ18" s="9">
        <f>IFERROR(VLOOKUP(BG18,'Master List'!$A:$D,3,0),0)</f>
        <v/>
      </c>
      <c r="BK18" s="9">
        <f>IFERROR(VLOOKUP(BG18,'Master List'!$A:$D,4,0),0)</f>
        <v/>
      </c>
      <c r="BL18" s="32" t="n"/>
      <c r="BM18" s="7">
        <f>IFERROR(BJ18/BK18,0)</f>
        <v/>
      </c>
      <c r="BN18" s="8">
        <f>IFERROR(IF(BL18&lt;((1/2*BK18*BM18^2)*2),1/2*BK18*SQRT((BL18/2)*2/BK18)^2,1/2*BK18*BM18^2),0)</f>
        <v/>
      </c>
      <c r="BO18" s="9">
        <f>IFERROR(IF(BL18-BN18-BP18&lt;=0,0,BL18-BN18-BP18),0)</f>
        <v/>
      </c>
      <c r="BP18" s="10">
        <f>BN18</f>
        <v/>
      </c>
      <c r="BQ18" s="8">
        <f>IFERROR(IF(BL18&lt;((1/2*BK18*BM18^2)*2),SQRT((BL18/2)*2/BK18),BM18),0)</f>
        <v/>
      </c>
      <c r="BR18" s="9">
        <f>IFERROR(BO18/BJ18,0)</f>
        <v/>
      </c>
      <c r="BS18" s="10">
        <f>BQ18</f>
        <v/>
      </c>
      <c r="BT18" s="8">
        <f>IF(BI18&gt;0,BI18,SUM(BQ18:BS18))</f>
        <v/>
      </c>
      <c r="BU18" s="32" t="n"/>
      <c r="BV18" s="10">
        <f>BT18*BU18</f>
        <v/>
      </c>
    </row>
    <row r="19">
      <c r="A19" s="39" t="inlineStr">
        <is>
          <t>Units or cases per line</t>
        </is>
      </c>
      <c r="B19" s="86" t="n">
        <v>5</v>
      </c>
      <c r="D19" s="14">
        <f>D18+1</f>
        <v/>
      </c>
      <c r="E19" s="87" t="inlineStr">
        <is>
          <t>Pick and place Cases within reach - Shoulder or knee level</t>
        </is>
      </c>
      <c r="F19" s="87">
        <f>E19</f>
        <v/>
      </c>
      <c r="G19" s="9">
        <f>IFERROR(VLOOKUP(E19,'Master List'!$A:$D,2,0),0)</f>
        <v/>
      </c>
      <c r="H19" s="9">
        <f>IFERROR(VLOOKUP(E19,'Master List'!$A:$D,3,0),0)</f>
        <v/>
      </c>
      <c r="I19" s="9">
        <f>IFERROR(VLOOKUP(E19,'Master List'!$A:$D,4,0),0)</f>
        <v/>
      </c>
      <c r="J19" s="32" t="n"/>
      <c r="K19" s="7">
        <f>IFERROR(H19/I19,0)</f>
        <v/>
      </c>
      <c r="L19" s="8">
        <f>IFERROR(IF(J19&lt;((1/2*I19*K19^2)*2),1/2*I19*SQRT((J19/2)*2/I19)^2,1/2*I19*K19^2),0)</f>
        <v/>
      </c>
      <c r="M19" s="9">
        <f>IFERROR(IF(J19-L19-N19&lt;=0,0,J19-L19-N19),0)</f>
        <v/>
      </c>
      <c r="N19" s="10">
        <f>L19</f>
        <v/>
      </c>
      <c r="O19" s="8">
        <f>IFERROR(IF(J19&lt;((1/2*I19*K19^2)*2),SQRT((J19/2)*2/I19),K19),0)</f>
        <v/>
      </c>
      <c r="P19" s="9">
        <f>IFERROR(M19/H19,0)</f>
        <v/>
      </c>
      <c r="Q19" s="10">
        <f>O19</f>
        <v/>
      </c>
      <c r="R19" s="8">
        <f>IF(G19&gt;0,G19,SUM(O19:Q19))</f>
        <v/>
      </c>
      <c r="S19" s="32">
        <f>IF(B17="Yes",(IF(B13="Cases",B25)),0)*B23</f>
        <v/>
      </c>
      <c r="T19" s="10">
        <f>R19*S19</f>
        <v/>
      </c>
      <c r="V19" s="14">
        <f>V18+1</f>
        <v/>
      </c>
      <c r="W19" s="28" t="n"/>
      <c r="X19" s="30" t="n"/>
      <c r="Y19" s="9">
        <f>IFERROR(VLOOKUP(W19,'Master List'!$A:$D,2,0),0)</f>
        <v/>
      </c>
      <c r="Z19" s="9">
        <f>IFERROR(VLOOKUP(W19,'Master List'!$A:$D,3,0),0)</f>
        <v/>
      </c>
      <c r="AA19" s="9">
        <f>IFERROR(VLOOKUP(W19,'Master List'!$A:$D,4,0),0)</f>
        <v/>
      </c>
      <c r="AB19" s="32" t="n"/>
      <c r="AC19" s="7">
        <f>IFERROR(Z19/AA19,0)</f>
        <v/>
      </c>
      <c r="AD19" s="8">
        <f>IFERROR(IF(AB19&lt;((1/2*AA19*AC19^2)*2),1/2*AA19*SQRT((AB19/2)*2/AA19)^2,1/2*AA19*AC19^2),0)</f>
        <v/>
      </c>
      <c r="AE19" s="9">
        <f>IFERROR(IF(AB19-AD19-AF19&lt;=0,0,AB19-AD19-AF19),0)</f>
        <v/>
      </c>
      <c r="AF19" s="10">
        <f>AD19</f>
        <v/>
      </c>
      <c r="AG19" s="8">
        <f>IFERROR(IF(AB19&lt;((1/2*AA19*AC19^2)*2),SQRT((AB19/2)*2/AA19),AC19),0)</f>
        <v/>
      </c>
      <c r="AH19" s="9">
        <f>IFERROR(AE19/Z19,0)</f>
        <v/>
      </c>
      <c r="AI19" s="10">
        <f>AG19</f>
        <v/>
      </c>
      <c r="AJ19" s="8">
        <f>IF(Y19&gt;0,Y19,SUM(AG19:AI19))</f>
        <v/>
      </c>
      <c r="AK19" s="32" t="n"/>
      <c r="AL19" s="10">
        <f>AJ19*AK19</f>
        <v/>
      </c>
      <c r="AN19" s="14">
        <f>AN18+1</f>
        <v/>
      </c>
      <c r="AO19" s="28" t="n"/>
      <c r="AP19" s="30" t="n"/>
      <c r="AQ19" s="9">
        <f>IFERROR(VLOOKUP(AO19,'Master List'!$A:$D,2,0),0)</f>
        <v/>
      </c>
      <c r="AR19" s="9">
        <f>IFERROR(VLOOKUP(AO19,'Master List'!$A:$D,3,0),0)</f>
        <v/>
      </c>
      <c r="AS19" s="9">
        <f>IFERROR(VLOOKUP(AO19,'Master List'!$A:$D,4,0),0)</f>
        <v/>
      </c>
      <c r="AT19" s="32" t="n"/>
      <c r="AU19" s="7">
        <f>IFERROR(AR19/AS19,0)</f>
        <v/>
      </c>
      <c r="AV19" s="8">
        <f>IFERROR(IF(AT19&lt;((1/2*AS19*AU19^2)*2),1/2*AS19*SQRT((AT19/2)*2/AS19)^2,1/2*AS19*AU19^2),0)</f>
        <v/>
      </c>
      <c r="AW19" s="9">
        <f>IFERROR(IF(AT19-AV19-AX19&lt;=0,0,AT19-AV19-AX19),0)</f>
        <v/>
      </c>
      <c r="AX19" s="10">
        <f>AV19</f>
        <v/>
      </c>
      <c r="AY19" s="8">
        <f>IFERROR(IF(AT19&lt;((1/2*AS19*AU19^2)*2),SQRT((AT19/2)*2/AS19),AU19),0)</f>
        <v/>
      </c>
      <c r="AZ19" s="9">
        <f>IFERROR(AW19/AR19,0)</f>
        <v/>
      </c>
      <c r="BA19" s="10">
        <f>AY19</f>
        <v/>
      </c>
      <c r="BB19" s="8">
        <f>IF(AQ19&gt;0,AQ19,SUM(AY19:BA19))</f>
        <v/>
      </c>
      <c r="BC19" s="32" t="n"/>
      <c r="BD19" s="10">
        <f>BB19*BC19</f>
        <v/>
      </c>
      <c r="BF19" s="14">
        <f>BF18+1</f>
        <v/>
      </c>
      <c r="BG19" s="28" t="n"/>
      <c r="BH19" s="30" t="n"/>
      <c r="BI19" s="9">
        <f>IFERROR(VLOOKUP(BG19,'Master List'!$A:$D,2,0),0)</f>
        <v/>
      </c>
      <c r="BJ19" s="9">
        <f>IFERROR(VLOOKUP(BG19,'Master List'!$A:$D,3,0),0)</f>
        <v/>
      </c>
      <c r="BK19" s="9">
        <f>IFERROR(VLOOKUP(BG19,'Master List'!$A:$D,4,0),0)</f>
        <v/>
      </c>
      <c r="BL19" s="32" t="n"/>
      <c r="BM19" s="7">
        <f>IFERROR(BJ19/BK19,0)</f>
        <v/>
      </c>
      <c r="BN19" s="8">
        <f>IFERROR(IF(BL19&lt;((1/2*BK19*BM19^2)*2),1/2*BK19*SQRT((BL19/2)*2/BK19)^2,1/2*BK19*BM19^2),0)</f>
        <v/>
      </c>
      <c r="BO19" s="9">
        <f>IFERROR(IF(BL19-BN19-BP19&lt;=0,0,BL19-BN19-BP19),0)</f>
        <v/>
      </c>
      <c r="BP19" s="10">
        <f>BN19</f>
        <v/>
      </c>
      <c r="BQ19" s="8">
        <f>IFERROR(IF(BL19&lt;((1/2*BK19*BM19^2)*2),SQRT((BL19/2)*2/BK19),BM19),0)</f>
        <v/>
      </c>
      <c r="BR19" s="9">
        <f>IFERROR(BO19/BJ19,0)</f>
        <v/>
      </c>
      <c r="BS19" s="10">
        <f>BQ19</f>
        <v/>
      </c>
      <c r="BT19" s="8">
        <f>IF(BI19&gt;0,BI19,SUM(BQ19:BS19))</f>
        <v/>
      </c>
      <c r="BU19" s="32" t="n"/>
      <c r="BV19" s="10">
        <f>BT19*BU19</f>
        <v/>
      </c>
    </row>
    <row r="20">
      <c r="A20" s="39" t="inlineStr">
        <is>
          <t>Units per grab</t>
        </is>
      </c>
      <c r="B20" s="86" t="n">
        <v>2</v>
      </c>
      <c r="D20" s="14">
        <f>D19+1</f>
        <v/>
      </c>
      <c r="E20" s="28" t="inlineStr">
        <is>
          <t>Drag or push tote/ carton on conveyor</t>
        </is>
      </c>
      <c r="F20" s="28" t="inlineStr">
        <is>
          <t>Push order carton or tote after it is filled</t>
        </is>
      </c>
      <c r="G20" s="9">
        <f>IFERROR(VLOOKUP(E20,'Master List'!$A:$D,2,0),0)</f>
        <v/>
      </c>
      <c r="H20" s="9">
        <f>IFERROR(VLOOKUP(E20,'Master List'!$A:$D,3,0),0)</f>
        <v/>
      </c>
      <c r="I20" s="9">
        <f>IFERROR(VLOOKUP(E20,'Master List'!$A:$D,4,0),0)</f>
        <v/>
      </c>
      <c r="J20" s="32" t="n"/>
      <c r="K20" s="7">
        <f>IFERROR(H20/I20,0)</f>
        <v/>
      </c>
      <c r="L20" s="8">
        <f>IFERROR(IF(J20&lt;((1/2*I20*K20^2)*2),1/2*I20*SQRT((J20/2)*2/I20)^2,1/2*I20*K20^2),0)</f>
        <v/>
      </c>
      <c r="M20" s="9">
        <f>IFERROR(IF(J20-L20-N20&lt;=0,0,J20-L20-N20),0)</f>
        <v/>
      </c>
      <c r="N20" s="10">
        <f>L20</f>
        <v/>
      </c>
      <c r="O20" s="8">
        <f>IFERROR(IF(J20&lt;((1/2*I20*K20^2)*2),SQRT((J20/2)*2/I20),K20),0)</f>
        <v/>
      </c>
      <c r="P20" s="9">
        <f>IFERROR(M20/H20,0)</f>
        <v/>
      </c>
      <c r="Q20" s="10">
        <f>O20</f>
        <v/>
      </c>
      <c r="R20" s="8">
        <f>IF(G20&gt;0,G20,SUM(O20:Q20))</f>
        <v/>
      </c>
      <c r="S20" s="32">
        <f>IF(B16="Manual",(1/B21),0)</f>
        <v/>
      </c>
      <c r="T20" s="10">
        <f>R20*S20</f>
        <v/>
      </c>
      <c r="V20" s="14">
        <f>V19+1</f>
        <v/>
      </c>
      <c r="W20" s="28" t="n"/>
      <c r="X20" s="30" t="n"/>
      <c r="Y20" s="9">
        <f>IFERROR(VLOOKUP(W20,'Master List'!$A:$D,2,0),0)</f>
        <v/>
      </c>
      <c r="Z20" s="9">
        <f>IFERROR(VLOOKUP(W20,'Master List'!$A:$D,3,0),0)</f>
        <v/>
      </c>
      <c r="AA20" s="9">
        <f>IFERROR(VLOOKUP(W20,'Master List'!$A:$D,4,0),0)</f>
        <v/>
      </c>
      <c r="AB20" s="32" t="n"/>
      <c r="AC20" s="7">
        <f>IFERROR(Z20/AA20,0)</f>
        <v/>
      </c>
      <c r="AD20" s="8">
        <f>IFERROR(IF(AB20&lt;((1/2*AA20*AC20^2)*2),1/2*AA20*SQRT((AB20/2)*2/AA20)^2,1/2*AA20*AC20^2),0)</f>
        <v/>
      </c>
      <c r="AE20" s="9">
        <f>IFERROR(IF(AB20-AD20-AF20&lt;=0,0,AB20-AD20-AF20),0)</f>
        <v/>
      </c>
      <c r="AF20" s="10">
        <f>AD20</f>
        <v/>
      </c>
      <c r="AG20" s="8">
        <f>IFERROR(IF(AB20&lt;((1/2*AA20*AC20^2)*2),SQRT((AB20/2)*2/AA20),AC20),0)</f>
        <v/>
      </c>
      <c r="AH20" s="9">
        <f>IFERROR(AE20/Z20,0)</f>
        <v/>
      </c>
      <c r="AI20" s="10">
        <f>AG20</f>
        <v/>
      </c>
      <c r="AJ20" s="8">
        <f>IF(Y20&gt;0,Y20,SUM(AG20:AI20))</f>
        <v/>
      </c>
      <c r="AK20" s="32" t="n"/>
      <c r="AL20" s="10">
        <f>AJ20*AK20</f>
        <v/>
      </c>
      <c r="AN20" s="14">
        <f>AN19+1</f>
        <v/>
      </c>
      <c r="AO20" s="28" t="n"/>
      <c r="AP20" s="30" t="n"/>
      <c r="AQ20" s="9">
        <f>IFERROR(VLOOKUP(AO20,'Master List'!$A:$D,2,0),0)</f>
        <v/>
      </c>
      <c r="AR20" s="9">
        <f>IFERROR(VLOOKUP(AO20,'Master List'!$A:$D,3,0),0)</f>
        <v/>
      </c>
      <c r="AS20" s="9">
        <f>IFERROR(VLOOKUP(AO20,'Master List'!$A:$D,4,0),0)</f>
        <v/>
      </c>
      <c r="AT20" s="32" t="n"/>
      <c r="AU20" s="7">
        <f>IFERROR(AR20/AS20,0)</f>
        <v/>
      </c>
      <c r="AV20" s="8">
        <f>IFERROR(IF(AT20&lt;((1/2*AS20*AU20^2)*2),1/2*AS20*SQRT((AT20/2)*2/AS20)^2,1/2*AS20*AU20^2),0)</f>
        <v/>
      </c>
      <c r="AW20" s="9">
        <f>IFERROR(IF(AT20-AV20-AX20&lt;=0,0,AT20-AV20-AX20),0)</f>
        <v/>
      </c>
      <c r="AX20" s="10">
        <f>AV20</f>
        <v/>
      </c>
      <c r="AY20" s="8">
        <f>IFERROR(IF(AT20&lt;((1/2*AS20*AU20^2)*2),SQRT((AT20/2)*2/AS20),AU20),0)</f>
        <v/>
      </c>
      <c r="AZ20" s="9">
        <f>IFERROR(AW20/AR20,0)</f>
        <v/>
      </c>
      <c r="BA20" s="10">
        <f>AY20</f>
        <v/>
      </c>
      <c r="BB20" s="8">
        <f>IF(AQ20&gt;0,AQ20,SUM(AY20:BA20))</f>
        <v/>
      </c>
      <c r="BC20" s="32" t="n"/>
      <c r="BD20" s="10">
        <f>BB20*BC20</f>
        <v/>
      </c>
      <c r="BF20" s="14">
        <f>BF19+1</f>
        <v/>
      </c>
      <c r="BG20" s="28" t="n"/>
      <c r="BH20" s="30" t="n"/>
      <c r="BI20" s="9">
        <f>IFERROR(VLOOKUP(BG20,'Master List'!$A:$D,2,0),0)</f>
        <v/>
      </c>
      <c r="BJ20" s="9">
        <f>IFERROR(VLOOKUP(BG20,'Master List'!$A:$D,3,0),0)</f>
        <v/>
      </c>
      <c r="BK20" s="9">
        <f>IFERROR(VLOOKUP(BG20,'Master List'!$A:$D,4,0),0)</f>
        <v/>
      </c>
      <c r="BL20" s="32" t="n"/>
      <c r="BM20" s="7">
        <f>IFERROR(BJ20/BK20,0)</f>
        <v/>
      </c>
      <c r="BN20" s="8">
        <f>IFERROR(IF(BL20&lt;((1/2*BK20*BM20^2)*2),1/2*BK20*SQRT((BL20/2)*2/BK20)^2,1/2*BK20*BM20^2),0)</f>
        <v/>
      </c>
      <c r="BO20" s="9">
        <f>IFERROR(IF(BL20-BN20-BP20&lt;=0,0,BL20-BN20-BP20),0)</f>
        <v/>
      </c>
      <c r="BP20" s="10">
        <f>BN20</f>
        <v/>
      </c>
      <c r="BQ20" s="8">
        <f>IFERROR(IF(BL20&lt;((1/2*BK20*BM20^2)*2),SQRT((BL20/2)*2/BK20),BM20),0)</f>
        <v/>
      </c>
      <c r="BR20" s="9">
        <f>IFERROR(BO20/BJ20,0)</f>
        <v/>
      </c>
      <c r="BS20" s="10">
        <f>BQ20</f>
        <v/>
      </c>
      <c r="BT20" s="8">
        <f>IF(BI20&gt;0,BI20,SUM(BQ20:BS20))</f>
        <v/>
      </c>
      <c r="BU20" s="32" t="n"/>
      <c r="BV20" s="10">
        <f>BT20*BU20</f>
        <v/>
      </c>
    </row>
    <row r="21">
      <c r="A21" s="39" t="inlineStr">
        <is>
          <t>Lines per order case or tote</t>
        </is>
      </c>
      <c r="B21" s="86" t="n">
        <v>10</v>
      </c>
      <c r="D21" s="14">
        <f>D20+1</f>
        <v/>
      </c>
      <c r="E21" s="28" t="inlineStr">
        <is>
          <t>Pick and place Cases - 2 to 3 steps - Shoulder or knee level</t>
        </is>
      </c>
      <c r="F21" s="28" t="inlineStr">
        <is>
          <t>Pick and place empty order carton or tote in PTL location</t>
        </is>
      </c>
      <c r="G21" s="9">
        <f>IFERROR(VLOOKUP(E21,'Master List'!$A:$D,2,0),0)</f>
        <v/>
      </c>
      <c r="H21" s="9">
        <f>IFERROR(VLOOKUP(E21,'Master List'!$A:$D,3,0),0)</f>
        <v/>
      </c>
      <c r="I21" s="9">
        <f>IFERROR(VLOOKUP(E21,'Master List'!$A:$D,4,0),0)</f>
        <v/>
      </c>
      <c r="J21" s="32" t="n"/>
      <c r="K21" s="7">
        <f>IFERROR(H21/I21,0)</f>
        <v/>
      </c>
      <c r="L21" s="8">
        <f>IFERROR(IF(J21&lt;((1/2*I21*K21^2)*2),1/2*I21*SQRT((J21/2)*2/I21)^2,1/2*I21*K21^2),0)</f>
        <v/>
      </c>
      <c r="M21" s="9">
        <f>IFERROR(IF(J21-L21-N21&lt;=0,0,J21-L21-N21),0)</f>
        <v/>
      </c>
      <c r="N21" s="10">
        <f>L21</f>
        <v/>
      </c>
      <c r="O21" s="8">
        <f>IFERROR(IF(J21&lt;((1/2*I21*K21^2)*2),SQRT((J21/2)*2/I21),K21),0)</f>
        <v/>
      </c>
      <c r="P21" s="9">
        <f>IFERROR(M21/H21,0)</f>
        <v/>
      </c>
      <c r="Q21" s="10">
        <f>O21</f>
        <v/>
      </c>
      <c r="R21" s="8">
        <f>IF(G21&gt;0,G21,SUM(O21:Q21))</f>
        <v/>
      </c>
      <c r="S21" s="32">
        <f>S20</f>
        <v/>
      </c>
      <c r="T21" s="10">
        <f>R21*S21</f>
        <v/>
      </c>
      <c r="V21" s="14">
        <f>V20+1</f>
        <v/>
      </c>
      <c r="W21" s="28" t="n"/>
      <c r="X21" s="30" t="n"/>
      <c r="Y21" s="9">
        <f>IFERROR(VLOOKUP(W21,'Master List'!$A:$D,2,0),0)</f>
        <v/>
      </c>
      <c r="Z21" s="9">
        <f>IFERROR(VLOOKUP(W21,'Master List'!$A:$D,3,0),0)</f>
        <v/>
      </c>
      <c r="AA21" s="9">
        <f>IFERROR(VLOOKUP(W21,'Master List'!$A:$D,4,0),0)</f>
        <v/>
      </c>
      <c r="AB21" s="32" t="n"/>
      <c r="AC21" s="7">
        <f>IFERROR(Z21/AA21,0)</f>
        <v/>
      </c>
      <c r="AD21" s="8">
        <f>IFERROR(IF(AB21&lt;((1/2*AA21*AC21^2)*2),1/2*AA21*SQRT((AB21/2)*2/AA21)^2,1/2*AA21*AC21^2),0)</f>
        <v/>
      </c>
      <c r="AE21" s="9">
        <f>IFERROR(IF(AB21-AD21-AF21&lt;=0,0,AB21-AD21-AF21),0)</f>
        <v/>
      </c>
      <c r="AF21" s="10">
        <f>AD21</f>
        <v/>
      </c>
      <c r="AG21" s="8">
        <f>IFERROR(IF(AB21&lt;((1/2*AA21*AC21^2)*2),SQRT((AB21/2)*2/AA21),AC21),0)</f>
        <v/>
      </c>
      <c r="AH21" s="9">
        <f>IFERROR(AE21/Z21,0)</f>
        <v/>
      </c>
      <c r="AI21" s="10">
        <f>AG21</f>
        <v/>
      </c>
      <c r="AJ21" s="8">
        <f>IF(Y21&gt;0,Y21,SUM(AG21:AI21))</f>
        <v/>
      </c>
      <c r="AK21" s="32" t="n"/>
      <c r="AL21" s="10">
        <f>AJ21*AK21</f>
        <v/>
      </c>
      <c r="AN21" s="14">
        <f>AN20+1</f>
        <v/>
      </c>
      <c r="AO21" s="28" t="n"/>
      <c r="AP21" s="30" t="n"/>
      <c r="AQ21" s="9">
        <f>IFERROR(VLOOKUP(AO21,'Master List'!$A:$D,2,0),0)</f>
        <v/>
      </c>
      <c r="AR21" s="9">
        <f>IFERROR(VLOOKUP(AO21,'Master List'!$A:$D,3,0),0)</f>
        <v/>
      </c>
      <c r="AS21" s="9">
        <f>IFERROR(VLOOKUP(AO21,'Master List'!$A:$D,4,0),0)</f>
        <v/>
      </c>
      <c r="AT21" s="32" t="n"/>
      <c r="AU21" s="7">
        <f>IFERROR(AR21/AS21,0)</f>
        <v/>
      </c>
      <c r="AV21" s="8">
        <f>IFERROR(IF(AT21&lt;((1/2*AS21*AU21^2)*2),1/2*AS21*SQRT((AT21/2)*2/AS21)^2,1/2*AS21*AU21^2),0)</f>
        <v/>
      </c>
      <c r="AW21" s="9">
        <f>IFERROR(IF(AT21-AV21-AX21&lt;=0,0,AT21-AV21-AX21),0)</f>
        <v/>
      </c>
      <c r="AX21" s="10">
        <f>AV21</f>
        <v/>
      </c>
      <c r="AY21" s="8">
        <f>IFERROR(IF(AT21&lt;((1/2*AS21*AU21^2)*2),SQRT((AT21/2)*2/AS21),AU21),0)</f>
        <v/>
      </c>
      <c r="AZ21" s="9">
        <f>IFERROR(AW21/AR21,0)</f>
        <v/>
      </c>
      <c r="BA21" s="10">
        <f>AY21</f>
        <v/>
      </c>
      <c r="BB21" s="8">
        <f>IF(AQ21&gt;0,AQ21,SUM(AY21:BA21))</f>
        <v/>
      </c>
      <c r="BC21" s="32" t="n"/>
      <c r="BD21" s="10">
        <f>BB21*BC21</f>
        <v/>
      </c>
      <c r="BF21" s="14">
        <f>BF20+1</f>
        <v/>
      </c>
      <c r="BG21" s="28" t="n"/>
      <c r="BH21" s="30" t="n"/>
      <c r="BI21" s="9">
        <f>IFERROR(VLOOKUP(BG21,'Master List'!$A:$D,2,0),0)</f>
        <v/>
      </c>
      <c r="BJ21" s="9">
        <f>IFERROR(VLOOKUP(BG21,'Master List'!$A:$D,3,0),0)</f>
        <v/>
      </c>
      <c r="BK21" s="9">
        <f>IFERROR(VLOOKUP(BG21,'Master List'!$A:$D,4,0),0)</f>
        <v/>
      </c>
      <c r="BL21" s="32" t="n"/>
      <c r="BM21" s="7">
        <f>IFERROR(BJ21/BK21,0)</f>
        <v/>
      </c>
      <c r="BN21" s="8">
        <f>IFERROR(IF(BL21&lt;((1/2*BK21*BM21^2)*2),1/2*BK21*SQRT((BL21/2)*2/BK21)^2,1/2*BK21*BM21^2),0)</f>
        <v/>
      </c>
      <c r="BO21" s="9">
        <f>IFERROR(IF(BL21-BN21-BP21&lt;=0,0,BL21-BN21-BP21),0)</f>
        <v/>
      </c>
      <c r="BP21" s="10">
        <f>BN21</f>
        <v/>
      </c>
      <c r="BQ21" s="8">
        <f>IFERROR(IF(BL21&lt;((1/2*BK21*BM21^2)*2),SQRT((BL21/2)*2/BK21),BM21),0)</f>
        <v/>
      </c>
      <c r="BR21" s="9">
        <f>IFERROR(BO21/BJ21,0)</f>
        <v/>
      </c>
      <c r="BS21" s="10">
        <f>BQ21</f>
        <v/>
      </c>
      <c r="BT21" s="8">
        <f>IF(BI21&gt;0,BI21,SUM(BQ21:BS21))</f>
        <v/>
      </c>
      <c r="BU21" s="32" t="n"/>
      <c r="BV21" s="10">
        <f>BT21*BU21</f>
        <v/>
      </c>
    </row>
    <row r="22">
      <c r="A22" s="39" t="inlineStr">
        <is>
          <t>% Pick and put at waist level</t>
        </is>
      </c>
      <c r="B22" s="88" t="n">
        <v>1</v>
      </c>
      <c r="D22" s="14">
        <f>D21+1</f>
        <v/>
      </c>
      <c r="E22" s="28" t="inlineStr">
        <is>
          <t>Scanning</t>
        </is>
      </c>
      <c r="F22" s="28" t="inlineStr">
        <is>
          <t>Scan order tote or caton to PTL location</t>
        </is>
      </c>
      <c r="G22" s="9">
        <f>IFERROR(VLOOKUP(E22,'Master List'!$A:$D,2,0),0)</f>
        <v/>
      </c>
      <c r="H22" s="9">
        <f>IFERROR(VLOOKUP(E22,'Master List'!$A:$D,3,0),0)</f>
        <v/>
      </c>
      <c r="I22" s="9">
        <f>IFERROR(VLOOKUP(E22,'Master List'!$A:$D,4,0),0)</f>
        <v/>
      </c>
      <c r="J22" s="32" t="n"/>
      <c r="K22" s="7">
        <f>IFERROR(H22/I22,0)</f>
        <v/>
      </c>
      <c r="L22" s="8">
        <f>IFERROR(IF(J22&lt;((1/2*I22*K22^2)*2),1/2*I22*SQRT((J22/2)*2/I22)^2,1/2*I22*K22^2),0)</f>
        <v/>
      </c>
      <c r="M22" s="9">
        <f>IFERROR(IF(J22-L22-N22&lt;=0,0,J22-L22-N22),0)</f>
        <v/>
      </c>
      <c r="N22" s="10">
        <f>L22</f>
        <v/>
      </c>
      <c r="O22" s="8">
        <f>IFERROR(IF(J22&lt;((1/2*I22*K22^2)*2),SQRT((J22/2)*2/I22),K22),0)</f>
        <v/>
      </c>
      <c r="P22" s="9">
        <f>IFERROR(M22/H22,0)</f>
        <v/>
      </c>
      <c r="Q22" s="10">
        <f>O22</f>
        <v/>
      </c>
      <c r="R22" s="8">
        <f>IF(G22&gt;0,G22,SUM(O22:Q22))</f>
        <v/>
      </c>
      <c r="S22" s="32">
        <f>S21*0.5</f>
        <v/>
      </c>
      <c r="T22" s="10">
        <f>R22*S22</f>
        <v/>
      </c>
      <c r="V22" s="14">
        <f>V21+1</f>
        <v/>
      </c>
      <c r="W22" s="28" t="n"/>
      <c r="X22" s="30" t="n"/>
      <c r="Y22" s="9">
        <f>IFERROR(VLOOKUP(W22,'Master List'!$A:$D,2,0),0)</f>
        <v/>
      </c>
      <c r="Z22" s="9">
        <f>IFERROR(VLOOKUP(W22,'Master List'!$A:$D,3,0),0)</f>
        <v/>
      </c>
      <c r="AA22" s="9">
        <f>IFERROR(VLOOKUP(W22,'Master List'!$A:$D,4,0),0)</f>
        <v/>
      </c>
      <c r="AB22" s="32" t="n"/>
      <c r="AC22" s="7">
        <f>IFERROR(Z22/AA22,0)</f>
        <v/>
      </c>
      <c r="AD22" s="8">
        <f>IFERROR(IF(AB22&lt;((1/2*AA22*AC22^2)*2),1/2*AA22*SQRT((AB22/2)*2/AA22)^2,1/2*AA22*AC22^2),0)</f>
        <v/>
      </c>
      <c r="AE22" s="9">
        <f>IFERROR(IF(AB22-AD22-AF22&lt;=0,0,AB22-AD22-AF22),0)</f>
        <v/>
      </c>
      <c r="AF22" s="10">
        <f>AD22</f>
        <v/>
      </c>
      <c r="AG22" s="8">
        <f>IFERROR(IF(AB22&lt;((1/2*AA22*AC22^2)*2),SQRT((AB22/2)*2/AA22),AC22),0)</f>
        <v/>
      </c>
      <c r="AH22" s="9">
        <f>IFERROR(AE22/Z22,0)</f>
        <v/>
      </c>
      <c r="AI22" s="10">
        <f>AG22</f>
        <v/>
      </c>
      <c r="AJ22" s="8">
        <f>IF(Y22&gt;0,Y22,SUM(AG22:AI22))</f>
        <v/>
      </c>
      <c r="AK22" s="32" t="n"/>
      <c r="AL22" s="10">
        <f>AJ22*AK22</f>
        <v/>
      </c>
      <c r="AN22" s="14">
        <f>AN21+1</f>
        <v/>
      </c>
      <c r="AO22" s="28" t="n"/>
      <c r="AP22" s="30" t="n"/>
      <c r="AQ22" s="9">
        <f>IFERROR(VLOOKUP(AO22,'Master List'!$A:$D,2,0),0)</f>
        <v/>
      </c>
      <c r="AR22" s="9">
        <f>IFERROR(VLOOKUP(AO22,'Master List'!$A:$D,3,0),0)</f>
        <v/>
      </c>
      <c r="AS22" s="9">
        <f>IFERROR(VLOOKUP(AO22,'Master List'!$A:$D,4,0),0)</f>
        <v/>
      </c>
      <c r="AT22" s="32" t="n"/>
      <c r="AU22" s="7">
        <f>IFERROR(AR22/AS22,0)</f>
        <v/>
      </c>
      <c r="AV22" s="8">
        <f>IFERROR(IF(AT22&lt;((1/2*AS22*AU22^2)*2),1/2*AS22*SQRT((AT22/2)*2/AS22)^2,1/2*AS22*AU22^2),0)</f>
        <v/>
      </c>
      <c r="AW22" s="9">
        <f>IFERROR(IF(AT22-AV22-AX22&lt;=0,0,AT22-AV22-AX22),0)</f>
        <v/>
      </c>
      <c r="AX22" s="10">
        <f>AV22</f>
        <v/>
      </c>
      <c r="AY22" s="8">
        <f>IFERROR(IF(AT22&lt;((1/2*AS22*AU22^2)*2),SQRT((AT22/2)*2/AS22),AU22),0)</f>
        <v/>
      </c>
      <c r="AZ22" s="9">
        <f>IFERROR(AW22/AR22,0)</f>
        <v/>
      </c>
      <c r="BA22" s="10">
        <f>AY22</f>
        <v/>
      </c>
      <c r="BB22" s="8">
        <f>IF(AQ22&gt;0,AQ22,SUM(AY22:BA22))</f>
        <v/>
      </c>
      <c r="BC22" s="32" t="n"/>
      <c r="BD22" s="10">
        <f>BB22*BC22</f>
        <v/>
      </c>
      <c r="BF22" s="14">
        <f>BF21+1</f>
        <v/>
      </c>
      <c r="BG22" s="28" t="n"/>
      <c r="BH22" s="30" t="n"/>
      <c r="BI22" s="9">
        <f>IFERROR(VLOOKUP(BG22,'Master List'!$A:$D,2,0),0)</f>
        <v/>
      </c>
      <c r="BJ22" s="9">
        <f>IFERROR(VLOOKUP(BG22,'Master List'!$A:$D,3,0),0)</f>
        <v/>
      </c>
      <c r="BK22" s="9">
        <f>IFERROR(VLOOKUP(BG22,'Master List'!$A:$D,4,0),0)</f>
        <v/>
      </c>
      <c r="BL22" s="32" t="n"/>
      <c r="BM22" s="7">
        <f>IFERROR(BJ22/BK22,0)</f>
        <v/>
      </c>
      <c r="BN22" s="8">
        <f>IFERROR(IF(BL22&lt;((1/2*BK22*BM22^2)*2),1/2*BK22*SQRT((BL22/2)*2/BK22)^2,1/2*BK22*BM22^2),0)</f>
        <v/>
      </c>
      <c r="BO22" s="9">
        <f>IFERROR(IF(BL22-BN22-BP22&lt;=0,0,BL22-BN22-BP22),0)</f>
        <v/>
      </c>
      <c r="BP22" s="10">
        <f>BN22</f>
        <v/>
      </c>
      <c r="BQ22" s="8">
        <f>IFERROR(IF(BL22&lt;((1/2*BK22*BM22^2)*2),SQRT((BL22/2)*2/BK22),BM22),0)</f>
        <v/>
      </c>
      <c r="BR22" s="9">
        <f>IFERROR(BO22/BJ22,0)</f>
        <v/>
      </c>
      <c r="BS22" s="10">
        <f>BQ22</f>
        <v/>
      </c>
      <c r="BT22" s="8">
        <f>IF(BI22&gt;0,BI22,SUM(BQ22:BS22))</f>
        <v/>
      </c>
      <c r="BU22" s="32" t="n"/>
      <c r="BV22" s="10">
        <f>BT22*BU22</f>
        <v/>
      </c>
    </row>
    <row r="23">
      <c r="A23" s="39" t="inlineStr">
        <is>
          <t>% Pick and put at shoulder or knee level</t>
        </is>
      </c>
      <c r="B23" s="77">
        <f>1-B22</f>
        <v/>
      </c>
      <c r="D23" s="14">
        <f>D22+1</f>
        <v/>
      </c>
      <c r="E23" s="28" t="inlineStr">
        <is>
          <t>Scanning</t>
        </is>
      </c>
      <c r="F23" s="28" t="inlineStr">
        <is>
          <t>Scan PTL location to order carton or tote</t>
        </is>
      </c>
      <c r="G23" s="9">
        <f>IFERROR(VLOOKUP(E23,'Master List'!$A:$D,2,0),0)</f>
        <v/>
      </c>
      <c r="H23" s="9">
        <f>IFERROR(VLOOKUP(E23,'Master List'!$A:$D,3,0),0)</f>
        <v/>
      </c>
      <c r="I23" s="9">
        <f>IFERROR(VLOOKUP(E23,'Master List'!$A:$D,4,0),0)</f>
        <v/>
      </c>
      <c r="J23" s="32" t="n"/>
      <c r="K23" s="7">
        <f>IFERROR(H23/I23,0)</f>
        <v/>
      </c>
      <c r="L23" s="8">
        <f>IFERROR(IF(J23&lt;((1/2*I23*K23^2)*2),1/2*I23*SQRT((J23/2)*2/I23)^2,1/2*I23*K23^2),0)</f>
        <v/>
      </c>
      <c r="M23" s="9">
        <f>IFERROR(IF(J23-L23-N23&lt;=0,0,J23-L23-N23),0)</f>
        <v/>
      </c>
      <c r="N23" s="10">
        <f>L23</f>
        <v/>
      </c>
      <c r="O23" s="8">
        <f>IFERROR(IF(J23&lt;((1/2*I23*K23^2)*2),SQRT((J23/2)*2/I23),K23),0)</f>
        <v/>
      </c>
      <c r="P23" s="9">
        <f>IFERROR(M23/H23,0)</f>
        <v/>
      </c>
      <c r="Q23" s="10">
        <f>O23</f>
        <v/>
      </c>
      <c r="R23" s="8">
        <f>IF(G23&gt;0,G23,SUM(O23:Q23))</f>
        <v/>
      </c>
      <c r="S23" s="32">
        <f>S22</f>
        <v/>
      </c>
      <c r="T23" s="10">
        <f>R23*S23</f>
        <v/>
      </c>
      <c r="V23" s="14">
        <f>V22+1</f>
        <v/>
      </c>
      <c r="W23" s="28" t="n"/>
      <c r="X23" s="30" t="n"/>
      <c r="Y23" s="9">
        <f>IFERROR(VLOOKUP(W23,'Master List'!$A:$D,2,0),0)</f>
        <v/>
      </c>
      <c r="Z23" s="9">
        <f>IFERROR(VLOOKUP(W23,'Master List'!$A:$D,3,0),0)</f>
        <v/>
      </c>
      <c r="AA23" s="9">
        <f>IFERROR(VLOOKUP(W23,'Master List'!$A:$D,4,0),0)</f>
        <v/>
      </c>
      <c r="AB23" s="32" t="n"/>
      <c r="AC23" s="7">
        <f>IFERROR(Z23/AA23,0)</f>
        <v/>
      </c>
      <c r="AD23" s="8">
        <f>IFERROR(IF(AB23&lt;((1/2*AA23*AC23^2)*2),1/2*AA23*SQRT((AB23/2)*2/AA23)^2,1/2*AA23*AC23^2),0)</f>
        <v/>
      </c>
      <c r="AE23" s="9">
        <f>IFERROR(IF(AB23-AD23-AF23&lt;=0,0,AB23-AD23-AF23),0)</f>
        <v/>
      </c>
      <c r="AF23" s="10">
        <f>AD23</f>
        <v/>
      </c>
      <c r="AG23" s="8">
        <f>IFERROR(IF(AB23&lt;((1/2*AA23*AC23^2)*2),SQRT((AB23/2)*2/AA23),AC23),0)</f>
        <v/>
      </c>
      <c r="AH23" s="9">
        <f>IFERROR(AE23/Z23,0)</f>
        <v/>
      </c>
      <c r="AI23" s="10">
        <f>AG23</f>
        <v/>
      </c>
      <c r="AJ23" s="8">
        <f>IF(Y23&gt;0,Y23,SUM(AG23:AI23))</f>
        <v/>
      </c>
      <c r="AK23" s="32" t="n"/>
      <c r="AL23" s="10">
        <f>AJ23*AK23</f>
        <v/>
      </c>
      <c r="AN23" s="14">
        <f>AN22+1</f>
        <v/>
      </c>
      <c r="AO23" s="28" t="n"/>
      <c r="AP23" s="30" t="n"/>
      <c r="AQ23" s="9">
        <f>IFERROR(VLOOKUP(AO23,'Master List'!$A:$D,2,0),0)</f>
        <v/>
      </c>
      <c r="AR23" s="9">
        <f>IFERROR(VLOOKUP(AO23,'Master List'!$A:$D,3,0),0)</f>
        <v/>
      </c>
      <c r="AS23" s="9">
        <f>IFERROR(VLOOKUP(AO23,'Master List'!$A:$D,4,0),0)</f>
        <v/>
      </c>
      <c r="AT23" s="32" t="n"/>
      <c r="AU23" s="7">
        <f>IFERROR(AR23/AS23,0)</f>
        <v/>
      </c>
      <c r="AV23" s="8">
        <f>IFERROR(IF(AT23&lt;((1/2*AS23*AU23^2)*2),1/2*AS23*SQRT((AT23/2)*2/AS23)^2,1/2*AS23*AU23^2),0)</f>
        <v/>
      </c>
      <c r="AW23" s="9">
        <f>IFERROR(IF(AT23-AV23-AX23&lt;=0,0,AT23-AV23-AX23),0)</f>
        <v/>
      </c>
      <c r="AX23" s="10">
        <f>AV23</f>
        <v/>
      </c>
      <c r="AY23" s="8">
        <f>IFERROR(IF(AT23&lt;((1/2*AS23*AU23^2)*2),SQRT((AT23/2)*2/AS23),AU23),0)</f>
        <v/>
      </c>
      <c r="AZ23" s="9">
        <f>IFERROR(AW23/AR23,0)</f>
        <v/>
      </c>
      <c r="BA23" s="10">
        <f>AY23</f>
        <v/>
      </c>
      <c r="BB23" s="8">
        <f>IF(AQ23&gt;0,AQ23,SUM(AY23:BA23))</f>
        <v/>
      </c>
      <c r="BC23" s="32" t="n"/>
      <c r="BD23" s="10">
        <f>BB23*BC23</f>
        <v/>
      </c>
      <c r="BF23" s="14">
        <f>BF22+1</f>
        <v/>
      </c>
      <c r="BG23" s="28" t="n"/>
      <c r="BH23" s="30" t="n"/>
      <c r="BI23" s="9">
        <f>IFERROR(VLOOKUP(BG23,'Master List'!$A:$D,2,0),0)</f>
        <v/>
      </c>
      <c r="BJ23" s="9">
        <f>IFERROR(VLOOKUP(BG23,'Master List'!$A:$D,3,0),0)</f>
        <v/>
      </c>
      <c r="BK23" s="9">
        <f>IFERROR(VLOOKUP(BG23,'Master List'!$A:$D,4,0),0)</f>
        <v/>
      </c>
      <c r="BL23" s="32" t="n"/>
      <c r="BM23" s="7">
        <f>IFERROR(BJ23/BK23,0)</f>
        <v/>
      </c>
      <c r="BN23" s="8">
        <f>IFERROR(IF(BL23&lt;((1/2*BK23*BM23^2)*2),1/2*BK23*SQRT((BL23/2)*2/BK23)^2,1/2*BK23*BM23^2),0)</f>
        <v/>
      </c>
      <c r="BO23" s="9">
        <f>IFERROR(IF(BL23-BN23-BP23&lt;=0,0,BL23-BN23-BP23),0)</f>
        <v/>
      </c>
      <c r="BP23" s="10">
        <f>BN23</f>
        <v/>
      </c>
      <c r="BQ23" s="8">
        <f>IFERROR(IF(BL23&lt;((1/2*BK23*BM23^2)*2),SQRT((BL23/2)*2/BK23),BM23),0)</f>
        <v/>
      </c>
      <c r="BR23" s="9">
        <f>IFERROR(BO23/BJ23,0)</f>
        <v/>
      </c>
      <c r="BS23" s="10">
        <f>BQ23</f>
        <v/>
      </c>
      <c r="BT23" s="8">
        <f>IF(BI23&gt;0,BI23,SUM(BQ23:BS23))</f>
        <v/>
      </c>
      <c r="BU23" s="32" t="n"/>
      <c r="BV23" s="10">
        <f>BT23*BU23</f>
        <v/>
      </c>
    </row>
    <row r="24">
      <c r="A24" s="39" t="inlineStr">
        <is>
          <t>Pick and put cycles per SKU tote if UOM is units</t>
        </is>
      </c>
      <c r="B24" s="42">
        <f>(B19*B18)/B20</f>
        <v/>
      </c>
      <c r="D24" s="14">
        <f>D23+1</f>
        <v/>
      </c>
      <c r="E24" s="28" t="inlineStr">
        <is>
          <t>On Spot - 90 Deg Turn</t>
        </is>
      </c>
      <c r="F24" s="28" t="inlineStr">
        <is>
          <t>90 degree turn to put the units or cases</t>
        </is>
      </c>
      <c r="G24" s="9">
        <f>IFERROR(VLOOKUP(E24,'Master List'!$A:$D,2,0),0)</f>
        <v/>
      </c>
      <c r="H24" s="9">
        <f>IFERROR(VLOOKUP(E24,'Master List'!$A:$D,3,0),0)</f>
        <v/>
      </c>
      <c r="I24" s="9">
        <f>IFERROR(VLOOKUP(E24,'Master List'!$A:$D,4,0),0)</f>
        <v/>
      </c>
      <c r="J24" s="32" t="n"/>
      <c r="K24" s="7">
        <f>IFERROR(H24/I24,0)</f>
        <v/>
      </c>
      <c r="L24" s="8">
        <f>IFERROR(IF(J24&lt;((1/2*I24*K24^2)*2),1/2*I24*SQRT((J24/2)*2/I24)^2,1/2*I24*K24^2),0)</f>
        <v/>
      </c>
      <c r="M24" s="9">
        <f>IFERROR(IF(J24-L24-N24&lt;=0,0,J24-L24-N24),0)</f>
        <v/>
      </c>
      <c r="N24" s="10">
        <f>L24</f>
        <v/>
      </c>
      <c r="O24" s="8">
        <f>IFERROR(IF(J24&lt;((1/2*I24*K24^2)*2),SQRT((J24/2)*2/I24),K24),0)</f>
        <v/>
      </c>
      <c r="P24" s="9">
        <f>IFERROR(M24/H24,0)</f>
        <v/>
      </c>
      <c r="Q24" s="10">
        <f>O24</f>
        <v/>
      </c>
      <c r="R24" s="8">
        <f>IF(G24&gt;0,G24,SUM(O24:Q24))</f>
        <v/>
      </c>
      <c r="S24" s="32">
        <f>IF(B15="Yes",1,0)*IF(B13="Units",B24,B25)</f>
        <v/>
      </c>
      <c r="T24" s="10">
        <f>R24*S24</f>
        <v/>
      </c>
      <c r="V24" s="14">
        <f>V23+1</f>
        <v/>
      </c>
      <c r="W24" s="28" t="n"/>
      <c r="X24" s="30" t="n"/>
      <c r="Y24" s="9">
        <f>IFERROR(VLOOKUP(W24,'Master List'!$A:$D,2,0),0)</f>
        <v/>
      </c>
      <c r="Z24" s="9">
        <f>IFERROR(VLOOKUP(W24,'Master List'!$A:$D,3,0),0)</f>
        <v/>
      </c>
      <c r="AA24" s="9">
        <f>IFERROR(VLOOKUP(W24,'Master List'!$A:$D,4,0),0)</f>
        <v/>
      </c>
      <c r="AB24" s="32" t="n"/>
      <c r="AC24" s="7">
        <f>IFERROR(Z24/AA24,0)</f>
        <v/>
      </c>
      <c r="AD24" s="8">
        <f>IFERROR(IF(AB24&lt;((1/2*AA24*AC24^2)*2),1/2*AA24*SQRT((AB24/2)*2/AA24)^2,1/2*AA24*AC24^2),0)</f>
        <v/>
      </c>
      <c r="AE24" s="9">
        <f>IFERROR(IF(AB24-AD24-AF24&lt;=0,0,AB24-AD24-AF24),0)</f>
        <v/>
      </c>
      <c r="AF24" s="10">
        <f>AD24</f>
        <v/>
      </c>
      <c r="AG24" s="8">
        <f>IFERROR(IF(AB24&lt;((1/2*AA24*AC24^2)*2),SQRT((AB24/2)*2/AA24),AC24),0)</f>
        <v/>
      </c>
      <c r="AH24" s="9">
        <f>IFERROR(AE24/Z24,0)</f>
        <v/>
      </c>
      <c r="AI24" s="10">
        <f>AG24</f>
        <v/>
      </c>
      <c r="AJ24" s="8">
        <f>IF(Y24&gt;0,Y24,SUM(AG24:AI24))</f>
        <v/>
      </c>
      <c r="AK24" s="32" t="n"/>
      <c r="AL24" s="10">
        <f>AJ24*AK24</f>
        <v/>
      </c>
      <c r="AN24" s="14">
        <f>AN23+1</f>
        <v/>
      </c>
      <c r="AO24" s="28" t="n"/>
      <c r="AP24" s="30" t="n"/>
      <c r="AQ24" s="9">
        <f>IFERROR(VLOOKUP(AO24,'Master List'!$A:$D,2,0),0)</f>
        <v/>
      </c>
      <c r="AR24" s="9">
        <f>IFERROR(VLOOKUP(AO24,'Master List'!$A:$D,3,0),0)</f>
        <v/>
      </c>
      <c r="AS24" s="9">
        <f>IFERROR(VLOOKUP(AO24,'Master List'!$A:$D,4,0),0)</f>
        <v/>
      </c>
      <c r="AT24" s="32" t="n"/>
      <c r="AU24" s="7">
        <f>IFERROR(AR24/AS24,0)</f>
        <v/>
      </c>
      <c r="AV24" s="8">
        <f>IFERROR(IF(AT24&lt;((1/2*AS24*AU24^2)*2),1/2*AS24*SQRT((AT24/2)*2/AS24)^2,1/2*AS24*AU24^2),0)</f>
        <v/>
      </c>
      <c r="AW24" s="9">
        <f>IFERROR(IF(AT24-AV24-AX24&lt;=0,0,AT24-AV24-AX24),0)</f>
        <v/>
      </c>
      <c r="AX24" s="10">
        <f>AV24</f>
        <v/>
      </c>
      <c r="AY24" s="8">
        <f>IFERROR(IF(AT24&lt;((1/2*AS24*AU24^2)*2),SQRT((AT24/2)*2/AS24),AU24),0)</f>
        <v/>
      </c>
      <c r="AZ24" s="9">
        <f>IFERROR(AW24/AR24,0)</f>
        <v/>
      </c>
      <c r="BA24" s="10">
        <f>AY24</f>
        <v/>
      </c>
      <c r="BB24" s="8">
        <f>IF(AQ24&gt;0,AQ24,SUM(AY24:BA24))</f>
        <v/>
      </c>
      <c r="BC24" s="32" t="n"/>
      <c r="BD24" s="10">
        <f>BB24*BC24</f>
        <v/>
      </c>
      <c r="BF24" s="14">
        <f>BF23+1</f>
        <v/>
      </c>
      <c r="BG24" s="28" t="n"/>
      <c r="BH24" s="30" t="n"/>
      <c r="BI24" s="9">
        <f>IFERROR(VLOOKUP(BG24,'Master List'!$A:$D,2,0),0)</f>
        <v/>
      </c>
      <c r="BJ24" s="9">
        <f>IFERROR(VLOOKUP(BG24,'Master List'!$A:$D,3,0),0)</f>
        <v/>
      </c>
      <c r="BK24" s="9">
        <f>IFERROR(VLOOKUP(BG24,'Master List'!$A:$D,4,0),0)</f>
        <v/>
      </c>
      <c r="BL24" s="32" t="n"/>
      <c r="BM24" s="7">
        <f>IFERROR(BJ24/BK24,0)</f>
        <v/>
      </c>
      <c r="BN24" s="8">
        <f>IFERROR(IF(BL24&lt;((1/2*BK24*BM24^2)*2),1/2*BK24*SQRT((BL24/2)*2/BK24)^2,1/2*BK24*BM24^2),0)</f>
        <v/>
      </c>
      <c r="BO24" s="9">
        <f>IFERROR(IF(BL24-BN24-BP24&lt;=0,0,BL24-BN24-BP24),0)</f>
        <v/>
      </c>
      <c r="BP24" s="10">
        <f>BN24</f>
        <v/>
      </c>
      <c r="BQ24" s="8">
        <f>IFERROR(IF(BL24&lt;((1/2*BK24*BM24^2)*2),SQRT((BL24/2)*2/BK24),BM24),0)</f>
        <v/>
      </c>
      <c r="BR24" s="9">
        <f>IFERROR(BO24/BJ24,0)</f>
        <v/>
      </c>
      <c r="BS24" s="10">
        <f>BQ24</f>
        <v/>
      </c>
      <c r="BT24" s="8">
        <f>IF(BI24&gt;0,BI24,SUM(BQ24:BS24))</f>
        <v/>
      </c>
      <c r="BU24" s="32" t="n"/>
      <c r="BV24" s="10">
        <f>BT24*BU24</f>
        <v/>
      </c>
    </row>
    <row r="25">
      <c r="A25" s="39" t="inlineStr">
        <is>
          <t>Pick and put cycles per SKU tote if UOM is cases</t>
        </is>
      </c>
      <c r="B25" s="42">
        <f>B19*B18</f>
        <v/>
      </c>
      <c r="D25" s="14">
        <f>D24+1</f>
        <v/>
      </c>
      <c r="E25" s="28" t="inlineStr">
        <is>
          <t>PTL Confirmation</t>
        </is>
      </c>
      <c r="F25" s="28" t="inlineStr">
        <is>
          <t>PTL confirmation for put</t>
        </is>
      </c>
      <c r="G25" s="9">
        <f>IFERROR(VLOOKUP(E25,'Master List'!$A:$D,2,0),0)</f>
        <v/>
      </c>
      <c r="H25" s="9">
        <f>IFERROR(VLOOKUP(E25,'Master List'!$A:$D,3,0),0)</f>
        <v/>
      </c>
      <c r="I25" s="9">
        <f>IFERROR(VLOOKUP(E25,'Master List'!$A:$D,4,0),0)</f>
        <v/>
      </c>
      <c r="J25" s="32" t="n"/>
      <c r="K25" s="7">
        <f>IFERROR(H25/I25,0)</f>
        <v/>
      </c>
      <c r="L25" s="8">
        <f>IFERROR(IF(J25&lt;((1/2*I25*K25^2)*2),1/2*I25*SQRT((J25/2)*2/I25)^2,1/2*I25*K25^2),0)</f>
        <v/>
      </c>
      <c r="M25" s="9">
        <f>IFERROR(IF(J25-L25-N25&lt;=0,0,J25-L25-N25),0)</f>
        <v/>
      </c>
      <c r="N25" s="10">
        <f>L25</f>
        <v/>
      </c>
      <c r="O25" s="8">
        <f>IFERROR(IF(J25&lt;((1/2*I25*K25^2)*2),SQRT((J25/2)*2/I25),K25),0)</f>
        <v/>
      </c>
      <c r="P25" s="9">
        <f>IFERROR(M25/H25,0)</f>
        <v/>
      </c>
      <c r="Q25" s="10">
        <f>O25</f>
        <v/>
      </c>
      <c r="R25" s="8">
        <f>IF(G25&gt;0,G25,SUM(O25:Q25))</f>
        <v/>
      </c>
      <c r="S25" s="32">
        <f>B18</f>
        <v/>
      </c>
      <c r="T25" s="10">
        <f>R25*S25</f>
        <v/>
      </c>
      <c r="V25" s="14">
        <f>V24+1</f>
        <v/>
      </c>
      <c r="W25" s="28" t="n"/>
      <c r="X25" s="30" t="n"/>
      <c r="Y25" s="9">
        <f>IFERROR(VLOOKUP(W25,'Master List'!$A:$D,2,0),0)</f>
        <v/>
      </c>
      <c r="Z25" s="9">
        <f>IFERROR(VLOOKUP(W25,'Master List'!$A:$D,3,0),0)</f>
        <v/>
      </c>
      <c r="AA25" s="9">
        <f>IFERROR(VLOOKUP(W25,'Master List'!$A:$D,4,0),0)</f>
        <v/>
      </c>
      <c r="AB25" s="32" t="n"/>
      <c r="AC25" s="7">
        <f>IFERROR(Z25/AA25,0)</f>
        <v/>
      </c>
      <c r="AD25" s="8">
        <f>IFERROR(IF(AB25&lt;((1/2*AA25*AC25^2)*2),1/2*AA25*SQRT((AB25/2)*2/AA25)^2,1/2*AA25*AC25^2),0)</f>
        <v/>
      </c>
      <c r="AE25" s="9">
        <f>IFERROR(IF(AB25-AD25-AF25&lt;=0,0,AB25-AD25-AF25),0)</f>
        <v/>
      </c>
      <c r="AF25" s="10">
        <f>AD25</f>
        <v/>
      </c>
      <c r="AG25" s="8">
        <f>IFERROR(IF(AB25&lt;((1/2*AA25*AC25^2)*2),SQRT((AB25/2)*2/AA25),AC25),0)</f>
        <v/>
      </c>
      <c r="AH25" s="9">
        <f>IFERROR(AE25/Z25,0)</f>
        <v/>
      </c>
      <c r="AI25" s="10">
        <f>AG25</f>
        <v/>
      </c>
      <c r="AJ25" s="8">
        <f>IF(Y25&gt;0,Y25,SUM(AG25:AI25))</f>
        <v/>
      </c>
      <c r="AK25" s="32" t="n"/>
      <c r="AL25" s="10">
        <f>AJ25*AK25</f>
        <v/>
      </c>
      <c r="AN25" s="14">
        <f>AN24+1</f>
        <v/>
      </c>
      <c r="AO25" s="28" t="n"/>
      <c r="AP25" s="30" t="n"/>
      <c r="AQ25" s="9">
        <f>IFERROR(VLOOKUP(AO25,'Master List'!$A:$D,2,0),0)</f>
        <v/>
      </c>
      <c r="AR25" s="9">
        <f>IFERROR(VLOOKUP(AO25,'Master List'!$A:$D,3,0),0)</f>
        <v/>
      </c>
      <c r="AS25" s="9">
        <f>IFERROR(VLOOKUP(AO25,'Master List'!$A:$D,4,0),0)</f>
        <v/>
      </c>
      <c r="AT25" s="32" t="n"/>
      <c r="AU25" s="7">
        <f>IFERROR(AR25/AS25,0)</f>
        <v/>
      </c>
      <c r="AV25" s="8">
        <f>IFERROR(IF(AT25&lt;((1/2*AS25*AU25^2)*2),1/2*AS25*SQRT((AT25/2)*2/AS25)^2,1/2*AS25*AU25^2),0)</f>
        <v/>
      </c>
      <c r="AW25" s="9">
        <f>IFERROR(IF(AT25-AV25-AX25&lt;=0,0,AT25-AV25-AX25),0)</f>
        <v/>
      </c>
      <c r="AX25" s="10">
        <f>AV25</f>
        <v/>
      </c>
      <c r="AY25" s="8">
        <f>IFERROR(IF(AT25&lt;((1/2*AS25*AU25^2)*2),SQRT((AT25/2)*2/AS25),AU25),0)</f>
        <v/>
      </c>
      <c r="AZ25" s="9">
        <f>IFERROR(AW25/AR25,0)</f>
        <v/>
      </c>
      <c r="BA25" s="10">
        <f>AY25</f>
        <v/>
      </c>
      <c r="BB25" s="8">
        <f>IF(AQ25&gt;0,AQ25,SUM(AY25:BA25))</f>
        <v/>
      </c>
      <c r="BC25" s="32" t="n"/>
      <c r="BD25" s="10">
        <f>BB25*BC25</f>
        <v/>
      </c>
      <c r="BF25" s="14">
        <f>BF24+1</f>
        <v/>
      </c>
      <c r="BG25" s="28" t="n"/>
      <c r="BH25" s="30" t="n"/>
      <c r="BI25" s="9">
        <f>IFERROR(VLOOKUP(BG25,'Master List'!$A:$D,2,0),0)</f>
        <v/>
      </c>
      <c r="BJ25" s="9">
        <f>IFERROR(VLOOKUP(BG25,'Master List'!$A:$D,3,0),0)</f>
        <v/>
      </c>
      <c r="BK25" s="9">
        <f>IFERROR(VLOOKUP(BG25,'Master List'!$A:$D,4,0),0)</f>
        <v/>
      </c>
      <c r="BL25" s="32" t="n"/>
      <c r="BM25" s="7">
        <f>IFERROR(BJ25/BK25,0)</f>
        <v/>
      </c>
      <c r="BN25" s="8">
        <f>IFERROR(IF(BL25&lt;((1/2*BK25*BM25^2)*2),1/2*BK25*SQRT((BL25/2)*2/BK25)^2,1/2*BK25*BM25^2),0)</f>
        <v/>
      </c>
      <c r="BO25" s="9">
        <f>IFERROR(IF(BL25-BN25-BP25&lt;=0,0,BL25-BN25-BP25),0)</f>
        <v/>
      </c>
      <c r="BP25" s="10">
        <f>BN25</f>
        <v/>
      </c>
      <c r="BQ25" s="8">
        <f>IFERROR(IF(BL25&lt;((1/2*BK25*BM25^2)*2),SQRT((BL25/2)*2/BK25),BM25),0)</f>
        <v/>
      </c>
      <c r="BR25" s="9">
        <f>IFERROR(BO25/BJ25,0)</f>
        <v/>
      </c>
      <c r="BS25" s="10">
        <f>BQ25</f>
        <v/>
      </c>
      <c r="BT25" s="8">
        <f>IF(BI25&gt;0,BI25,SUM(BQ25:BS25))</f>
        <v/>
      </c>
      <c r="BU25" s="32" t="n"/>
      <c r="BV25" s="10">
        <f>BT25*BU25</f>
        <v/>
      </c>
    </row>
    <row r="26">
      <c r="V26" s="14">
        <f>V25+1</f>
        <v/>
      </c>
      <c r="W26" s="28" t="n"/>
      <c r="X26" s="30" t="n"/>
      <c r="Y26" s="9">
        <f>IFERROR(VLOOKUP(W26,'Master List'!$A:$D,2,0),0)</f>
        <v/>
      </c>
      <c r="Z26" s="9">
        <f>IFERROR(VLOOKUP(W26,'Master List'!$A:$D,3,0),0)</f>
        <v/>
      </c>
      <c r="AA26" s="9">
        <f>IFERROR(VLOOKUP(W26,'Master List'!$A:$D,4,0),0)</f>
        <v/>
      </c>
      <c r="AB26" s="32" t="n"/>
      <c r="AC26" s="7">
        <f>IFERROR(Z26/AA26,0)</f>
        <v/>
      </c>
      <c r="AD26" s="8">
        <f>IFERROR(IF(AB26&lt;((1/2*AA26*AC26^2)*2),1/2*AA26*SQRT((AB26/2)*2/AA26)^2,1/2*AA26*AC26^2),0)</f>
        <v/>
      </c>
      <c r="AE26" s="9">
        <f>IFERROR(IF(AB26-AD26-AF26&lt;=0,0,AB26-AD26-AF26),0)</f>
        <v/>
      </c>
      <c r="AF26" s="10">
        <f>AD26</f>
        <v/>
      </c>
      <c r="AG26" s="8">
        <f>IFERROR(IF(AB26&lt;((1/2*AA26*AC26^2)*2),SQRT((AB26/2)*2/AA26),AC26),0)</f>
        <v/>
      </c>
      <c r="AH26" s="9">
        <f>IFERROR(AE26/Z26,0)</f>
        <v/>
      </c>
      <c r="AI26" s="10">
        <f>AG26</f>
        <v/>
      </c>
      <c r="AJ26" s="8">
        <f>IF(Y26&gt;0,Y26,SUM(AG26:AI26))</f>
        <v/>
      </c>
      <c r="AK26" s="32" t="n"/>
      <c r="AL26" s="10">
        <f>AJ26*AK26</f>
        <v/>
      </c>
      <c r="AN26" s="14">
        <f>AN25+1</f>
        <v/>
      </c>
      <c r="AO26" s="28" t="n"/>
      <c r="AP26" s="30" t="n"/>
      <c r="AQ26" s="9">
        <f>IFERROR(VLOOKUP(AO26,'Master List'!$A:$D,2,0),0)</f>
        <v/>
      </c>
      <c r="AR26" s="9">
        <f>IFERROR(VLOOKUP(AO26,'Master List'!$A:$D,3,0),0)</f>
        <v/>
      </c>
      <c r="AS26" s="9">
        <f>IFERROR(VLOOKUP(AO26,'Master List'!$A:$D,4,0),0)</f>
        <v/>
      </c>
      <c r="AT26" s="32" t="n"/>
      <c r="AU26" s="7">
        <f>IFERROR(AR26/AS26,0)</f>
        <v/>
      </c>
      <c r="AV26" s="8">
        <f>IFERROR(IF(AT26&lt;((1/2*AS26*AU26^2)*2),1/2*AS26*SQRT((AT26/2)*2/AS26)^2,1/2*AS26*AU26^2),0)</f>
        <v/>
      </c>
      <c r="AW26" s="9">
        <f>IFERROR(IF(AT26-AV26-AX26&lt;=0,0,AT26-AV26-AX26),0)</f>
        <v/>
      </c>
      <c r="AX26" s="10">
        <f>AV26</f>
        <v/>
      </c>
      <c r="AY26" s="8">
        <f>IFERROR(IF(AT26&lt;((1/2*AS26*AU26^2)*2),SQRT((AT26/2)*2/AS26),AU26),0)</f>
        <v/>
      </c>
      <c r="AZ26" s="9">
        <f>IFERROR(AW26/AR26,0)</f>
        <v/>
      </c>
      <c r="BA26" s="10">
        <f>AY26</f>
        <v/>
      </c>
      <c r="BB26" s="8">
        <f>IF(AQ26&gt;0,AQ26,SUM(AY26:BA26))</f>
        <v/>
      </c>
      <c r="BC26" s="32" t="n"/>
      <c r="BD26" s="10">
        <f>BB26*BC26</f>
        <v/>
      </c>
      <c r="BF26" s="14">
        <f>BF25+1</f>
        <v/>
      </c>
      <c r="BG26" s="28" t="n"/>
      <c r="BH26" s="30" t="n"/>
      <c r="BI26" s="9">
        <f>IFERROR(VLOOKUP(BG26,'Master List'!$A:$D,2,0),0)</f>
        <v/>
      </c>
      <c r="BJ26" s="9">
        <f>IFERROR(VLOOKUP(BG26,'Master List'!$A:$D,3,0),0)</f>
        <v/>
      </c>
      <c r="BK26" s="9">
        <f>IFERROR(VLOOKUP(BG26,'Master List'!$A:$D,4,0),0)</f>
        <v/>
      </c>
      <c r="BL26" s="32" t="n"/>
      <c r="BM26" s="7">
        <f>IFERROR(BJ26/BK26,0)</f>
        <v/>
      </c>
      <c r="BN26" s="8">
        <f>IFERROR(IF(BL26&lt;((1/2*BK26*BM26^2)*2),1/2*BK26*SQRT((BL26/2)*2/BK26)^2,1/2*BK26*BM26^2),0)</f>
        <v/>
      </c>
      <c r="BO26" s="9">
        <f>IFERROR(IF(BL26-BN26-BP26&lt;=0,0,BL26-BN26-BP26),0)</f>
        <v/>
      </c>
      <c r="BP26" s="10">
        <f>BN26</f>
        <v/>
      </c>
      <c r="BQ26" s="8">
        <f>IFERROR(IF(BL26&lt;((1/2*BK26*BM26^2)*2),SQRT((BL26/2)*2/BK26),BM26),0)</f>
        <v/>
      </c>
      <c r="BR26" s="9">
        <f>IFERROR(BO26/BJ26,0)</f>
        <v/>
      </c>
      <c r="BS26" s="10">
        <f>BQ26</f>
        <v/>
      </c>
      <c r="BT26" s="8">
        <f>IF(BI26&gt;0,BI26,SUM(BQ26:BS26))</f>
        <v/>
      </c>
      <c r="BU26" s="32" t="n"/>
      <c r="BV26" s="10">
        <f>BT26*BU26</f>
        <v/>
      </c>
    </row>
    <row r="27">
      <c r="V27" s="14">
        <f>V26+1</f>
        <v/>
      </c>
      <c r="W27" s="28" t="n"/>
      <c r="X27" s="30" t="n"/>
      <c r="Y27" s="9">
        <f>IFERROR(VLOOKUP(W27,'Master List'!$A:$D,2,0),0)</f>
        <v/>
      </c>
      <c r="Z27" s="9">
        <f>IFERROR(VLOOKUP(W27,'Master List'!$A:$D,3,0),0)</f>
        <v/>
      </c>
      <c r="AA27" s="9">
        <f>IFERROR(VLOOKUP(W27,'Master List'!$A:$D,4,0),0)</f>
        <v/>
      </c>
      <c r="AB27" s="32" t="n"/>
      <c r="AC27" s="7">
        <f>IFERROR(Z27/AA27,0)</f>
        <v/>
      </c>
      <c r="AD27" s="8">
        <f>IFERROR(IF(AB27&lt;((1/2*AA27*AC27^2)*2),1/2*AA27*SQRT((AB27/2)*2/AA27)^2,1/2*AA27*AC27^2),0)</f>
        <v/>
      </c>
      <c r="AE27" s="9">
        <f>IFERROR(IF(AB27-AD27-AF27&lt;=0,0,AB27-AD27-AF27),0)</f>
        <v/>
      </c>
      <c r="AF27" s="10">
        <f>AD27</f>
        <v/>
      </c>
      <c r="AG27" s="8">
        <f>IFERROR(IF(AB27&lt;((1/2*AA27*AC27^2)*2),SQRT((AB27/2)*2/AA27),AC27),0)</f>
        <v/>
      </c>
      <c r="AH27" s="9">
        <f>IFERROR(AE27/Z27,0)</f>
        <v/>
      </c>
      <c r="AI27" s="10">
        <f>AG27</f>
        <v/>
      </c>
      <c r="AJ27" s="8">
        <f>IF(Y27&gt;0,Y27,SUM(AG27:AI27))</f>
        <v/>
      </c>
      <c r="AK27" s="32" t="n"/>
      <c r="AL27" s="10">
        <f>AJ27*AK27</f>
        <v/>
      </c>
      <c r="AN27" s="14">
        <f>AN26+1</f>
        <v/>
      </c>
      <c r="AO27" s="28" t="n"/>
      <c r="AP27" s="30" t="n"/>
      <c r="AQ27" s="9">
        <f>IFERROR(VLOOKUP(AO27,'Master List'!$A:$D,2,0),0)</f>
        <v/>
      </c>
      <c r="AR27" s="9">
        <f>IFERROR(VLOOKUP(AO27,'Master List'!$A:$D,3,0),0)</f>
        <v/>
      </c>
      <c r="AS27" s="9">
        <f>IFERROR(VLOOKUP(AO27,'Master List'!$A:$D,4,0),0)</f>
        <v/>
      </c>
      <c r="AT27" s="32" t="n"/>
      <c r="AU27" s="7">
        <f>IFERROR(AR27/AS27,0)</f>
        <v/>
      </c>
      <c r="AV27" s="8">
        <f>IFERROR(IF(AT27&lt;((1/2*AS27*AU27^2)*2),1/2*AS27*SQRT((AT27/2)*2/AS27)^2,1/2*AS27*AU27^2),0)</f>
        <v/>
      </c>
      <c r="AW27" s="9">
        <f>IFERROR(IF(AT27-AV27-AX27&lt;=0,0,AT27-AV27-AX27),0)</f>
        <v/>
      </c>
      <c r="AX27" s="10">
        <f>AV27</f>
        <v/>
      </c>
      <c r="AY27" s="8">
        <f>IFERROR(IF(AT27&lt;((1/2*AS27*AU27^2)*2),SQRT((AT27/2)*2/AS27),AU27),0)</f>
        <v/>
      </c>
      <c r="AZ27" s="9">
        <f>IFERROR(AW27/AR27,0)</f>
        <v/>
      </c>
      <c r="BA27" s="10">
        <f>AY27</f>
        <v/>
      </c>
      <c r="BB27" s="8">
        <f>IF(AQ27&gt;0,AQ27,SUM(AY27:BA27))</f>
        <v/>
      </c>
      <c r="BC27" s="32" t="n"/>
      <c r="BD27" s="10">
        <f>BB27*BC27</f>
        <v/>
      </c>
      <c r="BF27" s="14">
        <f>BF26+1</f>
        <v/>
      </c>
      <c r="BG27" s="28" t="n"/>
      <c r="BH27" s="30" t="n"/>
      <c r="BI27" s="9">
        <f>IFERROR(VLOOKUP(BG27,'Master List'!$A:$D,2,0),0)</f>
        <v/>
      </c>
      <c r="BJ27" s="9">
        <f>IFERROR(VLOOKUP(BG27,'Master List'!$A:$D,3,0),0)</f>
        <v/>
      </c>
      <c r="BK27" s="9">
        <f>IFERROR(VLOOKUP(BG27,'Master List'!$A:$D,4,0),0)</f>
        <v/>
      </c>
      <c r="BL27" s="32" t="n"/>
      <c r="BM27" s="7">
        <f>IFERROR(BJ27/BK27,0)</f>
        <v/>
      </c>
      <c r="BN27" s="8">
        <f>IFERROR(IF(BL27&lt;((1/2*BK27*BM27^2)*2),1/2*BK27*SQRT((BL27/2)*2/BK27)^2,1/2*BK27*BM27^2),0)</f>
        <v/>
      </c>
      <c r="BO27" s="9">
        <f>IFERROR(IF(BL27-BN27-BP27&lt;=0,0,BL27-BN27-BP27),0)</f>
        <v/>
      </c>
      <c r="BP27" s="10">
        <f>BN27</f>
        <v/>
      </c>
      <c r="BQ27" s="8">
        <f>IFERROR(IF(BL27&lt;((1/2*BK27*BM27^2)*2),SQRT((BL27/2)*2/BK27),BM27),0)</f>
        <v/>
      </c>
      <c r="BR27" s="9">
        <f>IFERROR(BO27/BJ27,0)</f>
        <v/>
      </c>
      <c r="BS27" s="10">
        <f>BQ27</f>
        <v/>
      </c>
      <c r="BT27" s="8">
        <f>IF(BI27&gt;0,BI27,SUM(BQ27:BS27))</f>
        <v/>
      </c>
      <c r="BU27" s="32" t="n"/>
      <c r="BV27" s="10">
        <f>BT27*BU27</f>
        <v/>
      </c>
    </row>
    <row r="28">
      <c r="V28" s="14">
        <f>V27+1</f>
        <v/>
      </c>
      <c r="W28" s="28" t="n"/>
      <c r="X28" s="30" t="n"/>
      <c r="Y28" s="9">
        <f>IFERROR(VLOOKUP(W28,'Master List'!$A:$D,2,0),0)</f>
        <v/>
      </c>
      <c r="Z28" s="9">
        <f>IFERROR(VLOOKUP(W28,'Master List'!$A:$D,3,0),0)</f>
        <v/>
      </c>
      <c r="AA28" s="9">
        <f>IFERROR(VLOOKUP(W28,'Master List'!$A:$D,4,0),0)</f>
        <v/>
      </c>
      <c r="AB28" s="32" t="n"/>
      <c r="AC28" s="7">
        <f>IFERROR(Z28/AA28,0)</f>
        <v/>
      </c>
      <c r="AD28" s="8">
        <f>IFERROR(IF(AB28&lt;((1/2*AA28*AC28^2)*2),1/2*AA28*SQRT((AB28/2)*2/AA28)^2,1/2*AA28*AC28^2),0)</f>
        <v/>
      </c>
      <c r="AE28" s="9">
        <f>IFERROR(IF(AB28-AD28-AF28&lt;=0,0,AB28-AD28-AF28),0)</f>
        <v/>
      </c>
      <c r="AF28" s="10">
        <f>AD28</f>
        <v/>
      </c>
      <c r="AG28" s="8">
        <f>IFERROR(IF(AB28&lt;((1/2*AA28*AC28^2)*2),SQRT((AB28/2)*2/AA28),AC28),0)</f>
        <v/>
      </c>
      <c r="AH28" s="9">
        <f>IFERROR(AE28/Z28,0)</f>
        <v/>
      </c>
      <c r="AI28" s="10">
        <f>AG28</f>
        <v/>
      </c>
      <c r="AJ28" s="8">
        <f>IF(Y28&gt;0,Y28,SUM(AG28:AI28))</f>
        <v/>
      </c>
      <c r="AK28" s="32" t="n"/>
      <c r="AL28" s="10">
        <f>AJ28*AK28</f>
        <v/>
      </c>
      <c r="AN28" s="14">
        <f>AN27+1</f>
        <v/>
      </c>
      <c r="AO28" s="28" t="n"/>
      <c r="AP28" s="30" t="n"/>
      <c r="AQ28" s="9">
        <f>IFERROR(VLOOKUP(AO28,'Master List'!$A:$D,2,0),0)</f>
        <v/>
      </c>
      <c r="AR28" s="9">
        <f>IFERROR(VLOOKUP(AO28,'Master List'!$A:$D,3,0),0)</f>
        <v/>
      </c>
      <c r="AS28" s="9">
        <f>IFERROR(VLOOKUP(AO28,'Master List'!$A:$D,4,0),0)</f>
        <v/>
      </c>
      <c r="AT28" s="32" t="n"/>
      <c r="AU28" s="7">
        <f>IFERROR(AR28/AS28,0)</f>
        <v/>
      </c>
      <c r="AV28" s="8">
        <f>IFERROR(IF(AT28&lt;((1/2*AS28*AU28^2)*2),1/2*AS28*SQRT((AT28/2)*2/AS28)^2,1/2*AS28*AU28^2),0)</f>
        <v/>
      </c>
      <c r="AW28" s="9">
        <f>IFERROR(IF(AT28-AV28-AX28&lt;=0,0,AT28-AV28-AX28),0)</f>
        <v/>
      </c>
      <c r="AX28" s="10">
        <f>AV28</f>
        <v/>
      </c>
      <c r="AY28" s="8">
        <f>IFERROR(IF(AT28&lt;((1/2*AS28*AU28^2)*2),SQRT((AT28/2)*2/AS28),AU28),0)</f>
        <v/>
      </c>
      <c r="AZ28" s="9">
        <f>IFERROR(AW28/AR28,0)</f>
        <v/>
      </c>
      <c r="BA28" s="10">
        <f>AY28</f>
        <v/>
      </c>
      <c r="BB28" s="8">
        <f>IF(AQ28&gt;0,AQ28,SUM(AY28:BA28))</f>
        <v/>
      </c>
      <c r="BC28" s="32" t="n"/>
      <c r="BD28" s="10">
        <f>BB28*BC28</f>
        <v/>
      </c>
      <c r="BF28" s="14">
        <f>BF27+1</f>
        <v/>
      </c>
      <c r="BG28" s="28" t="n"/>
      <c r="BH28" s="30" t="n"/>
      <c r="BI28" s="9">
        <f>IFERROR(VLOOKUP(BG28,'Master List'!$A:$D,2,0),0)</f>
        <v/>
      </c>
      <c r="BJ28" s="9">
        <f>IFERROR(VLOOKUP(BG28,'Master List'!$A:$D,3,0),0)</f>
        <v/>
      </c>
      <c r="BK28" s="9">
        <f>IFERROR(VLOOKUP(BG28,'Master List'!$A:$D,4,0),0)</f>
        <v/>
      </c>
      <c r="BL28" s="32" t="n"/>
      <c r="BM28" s="7">
        <f>IFERROR(BJ28/BK28,0)</f>
        <v/>
      </c>
      <c r="BN28" s="8">
        <f>IFERROR(IF(BL28&lt;((1/2*BK28*BM28^2)*2),1/2*BK28*SQRT((BL28/2)*2/BK28)^2,1/2*BK28*BM28^2),0)</f>
        <v/>
      </c>
      <c r="BO28" s="9">
        <f>IFERROR(IF(BL28-BN28-BP28&lt;=0,0,BL28-BN28-BP28),0)</f>
        <v/>
      </c>
      <c r="BP28" s="10">
        <f>BN28</f>
        <v/>
      </c>
      <c r="BQ28" s="8">
        <f>IFERROR(IF(BL28&lt;((1/2*BK28*BM28^2)*2),SQRT((BL28/2)*2/BK28),BM28),0)</f>
        <v/>
      </c>
      <c r="BR28" s="9">
        <f>IFERROR(BO28/BJ28,0)</f>
        <v/>
      </c>
      <c r="BS28" s="10">
        <f>BQ28</f>
        <v/>
      </c>
      <c r="BT28" s="8">
        <f>IF(BI28&gt;0,BI28,SUM(BQ28:BS28))</f>
        <v/>
      </c>
      <c r="BU28" s="32" t="n"/>
      <c r="BV28" s="10">
        <f>BT28*BU28</f>
        <v/>
      </c>
    </row>
    <row r="29">
      <c r="V29" s="14">
        <f>V28+1</f>
        <v/>
      </c>
      <c r="W29" s="28" t="n"/>
      <c r="X29" s="30" t="n"/>
      <c r="Y29" s="9">
        <f>IFERROR(VLOOKUP(W29,'Master List'!$A:$D,2,0),0)</f>
        <v/>
      </c>
      <c r="Z29" s="9">
        <f>IFERROR(VLOOKUP(W29,'Master List'!$A:$D,3,0),0)</f>
        <v/>
      </c>
      <c r="AA29" s="9">
        <f>IFERROR(VLOOKUP(W29,'Master List'!$A:$D,4,0),0)</f>
        <v/>
      </c>
      <c r="AB29" s="32" t="n"/>
      <c r="AC29" s="7">
        <f>IFERROR(Z29/AA29,0)</f>
        <v/>
      </c>
      <c r="AD29" s="8">
        <f>IFERROR(IF(AB29&lt;((1/2*AA29*AC29^2)*2),1/2*AA29*SQRT((AB29/2)*2/AA29)^2,1/2*AA29*AC29^2),0)</f>
        <v/>
      </c>
      <c r="AE29" s="9">
        <f>IFERROR(IF(AB29-AD29-AF29&lt;=0,0,AB29-AD29-AF29),0)</f>
        <v/>
      </c>
      <c r="AF29" s="10">
        <f>AD29</f>
        <v/>
      </c>
      <c r="AG29" s="8">
        <f>IFERROR(IF(AB29&lt;((1/2*AA29*AC29^2)*2),SQRT((AB29/2)*2/AA29),AC29),0)</f>
        <v/>
      </c>
      <c r="AH29" s="9">
        <f>IFERROR(AE29/Z29,0)</f>
        <v/>
      </c>
      <c r="AI29" s="10">
        <f>AG29</f>
        <v/>
      </c>
      <c r="AJ29" s="8">
        <f>IF(Y29&gt;0,Y29,SUM(AG29:AI29))</f>
        <v/>
      </c>
      <c r="AK29" s="32" t="n"/>
      <c r="AL29" s="10">
        <f>AJ29*AK29</f>
        <v/>
      </c>
      <c r="AN29" s="14">
        <f>AN28+1</f>
        <v/>
      </c>
      <c r="AO29" s="28" t="n"/>
      <c r="AP29" s="30" t="n"/>
      <c r="AQ29" s="9">
        <f>IFERROR(VLOOKUP(AO29,'Master List'!$A:$D,2,0),0)</f>
        <v/>
      </c>
      <c r="AR29" s="9">
        <f>IFERROR(VLOOKUP(AO29,'Master List'!$A:$D,3,0),0)</f>
        <v/>
      </c>
      <c r="AS29" s="9">
        <f>IFERROR(VLOOKUP(AO29,'Master List'!$A:$D,4,0),0)</f>
        <v/>
      </c>
      <c r="AT29" s="32" t="n"/>
      <c r="AU29" s="7">
        <f>IFERROR(AR29/AS29,0)</f>
        <v/>
      </c>
      <c r="AV29" s="8">
        <f>IFERROR(IF(AT29&lt;((1/2*AS29*AU29^2)*2),1/2*AS29*SQRT((AT29/2)*2/AS29)^2,1/2*AS29*AU29^2),0)</f>
        <v/>
      </c>
      <c r="AW29" s="9">
        <f>IFERROR(IF(AT29-AV29-AX29&lt;=0,0,AT29-AV29-AX29),0)</f>
        <v/>
      </c>
      <c r="AX29" s="10">
        <f>AV29</f>
        <v/>
      </c>
      <c r="AY29" s="8">
        <f>IFERROR(IF(AT29&lt;((1/2*AS29*AU29^2)*2),SQRT((AT29/2)*2/AS29),AU29),0)</f>
        <v/>
      </c>
      <c r="AZ29" s="9">
        <f>IFERROR(AW29/AR29,0)</f>
        <v/>
      </c>
      <c r="BA29" s="10">
        <f>AY29</f>
        <v/>
      </c>
      <c r="BB29" s="8">
        <f>IF(AQ29&gt;0,AQ29,SUM(AY29:BA29))</f>
        <v/>
      </c>
      <c r="BC29" s="32" t="n"/>
      <c r="BD29" s="10">
        <f>BB29*BC29</f>
        <v/>
      </c>
      <c r="BF29" s="14">
        <f>BF28+1</f>
        <v/>
      </c>
      <c r="BG29" s="28" t="n"/>
      <c r="BH29" s="30" t="n"/>
      <c r="BI29" s="9">
        <f>IFERROR(VLOOKUP(BG29,'Master List'!$A:$D,2,0),0)</f>
        <v/>
      </c>
      <c r="BJ29" s="9">
        <f>IFERROR(VLOOKUP(BG29,'Master List'!$A:$D,3,0),0)</f>
        <v/>
      </c>
      <c r="BK29" s="9">
        <f>IFERROR(VLOOKUP(BG29,'Master List'!$A:$D,4,0),0)</f>
        <v/>
      </c>
      <c r="BL29" s="32" t="n"/>
      <c r="BM29" s="7">
        <f>IFERROR(BJ29/BK29,0)</f>
        <v/>
      </c>
      <c r="BN29" s="8">
        <f>IFERROR(IF(BL29&lt;((1/2*BK29*BM29^2)*2),1/2*BK29*SQRT((BL29/2)*2/BK29)^2,1/2*BK29*BM29^2),0)</f>
        <v/>
      </c>
      <c r="BO29" s="9">
        <f>IFERROR(IF(BL29-BN29-BP29&lt;=0,0,BL29-BN29-BP29),0)</f>
        <v/>
      </c>
      <c r="BP29" s="10">
        <f>BN29</f>
        <v/>
      </c>
      <c r="BQ29" s="8">
        <f>IFERROR(IF(BL29&lt;((1/2*BK29*BM29^2)*2),SQRT((BL29/2)*2/BK29),BM29),0)</f>
        <v/>
      </c>
      <c r="BR29" s="9">
        <f>IFERROR(BO29/BJ29,0)</f>
        <v/>
      </c>
      <c r="BS29" s="10">
        <f>BQ29</f>
        <v/>
      </c>
      <c r="BT29" s="8">
        <f>IF(BI29&gt;0,BI29,SUM(BQ29:BS29))</f>
        <v/>
      </c>
      <c r="BU29" s="32" t="n"/>
      <c r="BV29" s="10">
        <f>BT29*BU29</f>
        <v/>
      </c>
      <c r="BX29" s="89" t="n"/>
    </row>
    <row r="30">
      <c r="V30" s="14">
        <f>V29+1</f>
        <v/>
      </c>
      <c r="W30" s="28" t="n"/>
      <c r="X30" s="30" t="n"/>
      <c r="Y30" s="9">
        <f>IFERROR(VLOOKUP(W30,'Master List'!$A:$D,2,0),0)</f>
        <v/>
      </c>
      <c r="Z30" s="9">
        <f>IFERROR(VLOOKUP(W30,'Master List'!$A:$D,3,0),0)</f>
        <v/>
      </c>
      <c r="AA30" s="9">
        <f>IFERROR(VLOOKUP(W30,'Master List'!$A:$D,4,0),0)</f>
        <v/>
      </c>
      <c r="AB30" s="32" t="n"/>
      <c r="AC30" s="7">
        <f>IFERROR(Z30/AA30,0)</f>
        <v/>
      </c>
      <c r="AD30" s="8">
        <f>IFERROR(IF(AB30&lt;((1/2*AA30*AC30^2)*2),1/2*AA30*SQRT((AB30/2)*2/AA30)^2,1/2*AA30*AC30^2),0)</f>
        <v/>
      </c>
      <c r="AE30" s="9">
        <f>IFERROR(IF(AB30-AD30-AF30&lt;=0,0,AB30-AD30-AF30),0)</f>
        <v/>
      </c>
      <c r="AF30" s="10">
        <f>AD30</f>
        <v/>
      </c>
      <c r="AG30" s="8">
        <f>IFERROR(IF(AB30&lt;((1/2*AA30*AC30^2)*2),SQRT((AB30/2)*2/AA30),AC30),0)</f>
        <v/>
      </c>
      <c r="AH30" s="9">
        <f>IFERROR(AE30/Z30,0)</f>
        <v/>
      </c>
      <c r="AI30" s="10">
        <f>AG30</f>
        <v/>
      </c>
      <c r="AJ30" s="8">
        <f>IF(Y30&gt;0,Y30,SUM(AG30:AI30))</f>
        <v/>
      </c>
      <c r="AK30" s="32" t="n"/>
      <c r="AL30" s="10">
        <f>AJ30*AK30</f>
        <v/>
      </c>
      <c r="AN30" s="14">
        <f>AN29+1</f>
        <v/>
      </c>
      <c r="AO30" s="28" t="n"/>
      <c r="AP30" s="30" t="n"/>
      <c r="AQ30" s="9">
        <f>IFERROR(VLOOKUP(AO30,'Master List'!$A:$D,2,0),0)</f>
        <v/>
      </c>
      <c r="AR30" s="9">
        <f>IFERROR(VLOOKUP(AO30,'Master List'!$A:$D,3,0),0)</f>
        <v/>
      </c>
      <c r="AS30" s="9">
        <f>IFERROR(VLOOKUP(AO30,'Master List'!$A:$D,4,0),0)</f>
        <v/>
      </c>
      <c r="AT30" s="32" t="n"/>
      <c r="AU30" s="7">
        <f>IFERROR(AR30/AS30,0)</f>
        <v/>
      </c>
      <c r="AV30" s="8">
        <f>IFERROR(IF(AT30&lt;((1/2*AS30*AU30^2)*2),1/2*AS30*SQRT((AT30/2)*2/AS30)^2,1/2*AS30*AU30^2),0)</f>
        <v/>
      </c>
      <c r="AW30" s="9">
        <f>IFERROR(IF(AT30-AV30-AX30&lt;=0,0,AT30-AV30-AX30),0)</f>
        <v/>
      </c>
      <c r="AX30" s="10">
        <f>AV30</f>
        <v/>
      </c>
      <c r="AY30" s="8">
        <f>IFERROR(IF(AT30&lt;((1/2*AS30*AU30^2)*2),SQRT((AT30/2)*2/AS30),AU30),0)</f>
        <v/>
      </c>
      <c r="AZ30" s="9">
        <f>IFERROR(AW30/AR30,0)</f>
        <v/>
      </c>
      <c r="BA30" s="10">
        <f>AY30</f>
        <v/>
      </c>
      <c r="BB30" s="8">
        <f>IF(AQ30&gt;0,AQ30,SUM(AY30:BA30))</f>
        <v/>
      </c>
      <c r="BC30" s="32" t="n"/>
      <c r="BD30" s="10">
        <f>BB30*BC30</f>
        <v/>
      </c>
      <c r="BF30" s="14">
        <f>BF29+1</f>
        <v/>
      </c>
      <c r="BG30" s="28" t="n"/>
      <c r="BH30" s="30" t="n"/>
      <c r="BI30" s="9">
        <f>IFERROR(VLOOKUP(BG30,'Master List'!$A:$D,2,0),0)</f>
        <v/>
      </c>
      <c r="BJ30" s="9">
        <f>IFERROR(VLOOKUP(BG30,'Master List'!$A:$D,3,0),0)</f>
        <v/>
      </c>
      <c r="BK30" s="9">
        <f>IFERROR(VLOOKUP(BG30,'Master List'!$A:$D,4,0),0)</f>
        <v/>
      </c>
      <c r="BL30" s="32" t="n"/>
      <c r="BM30" s="7">
        <f>IFERROR(BJ30/BK30,0)</f>
        <v/>
      </c>
      <c r="BN30" s="8">
        <f>IFERROR(IF(BL30&lt;((1/2*BK30*BM30^2)*2),1/2*BK30*SQRT((BL30/2)*2/BK30)^2,1/2*BK30*BM30^2),0)</f>
        <v/>
      </c>
      <c r="BO30" s="9">
        <f>IFERROR(IF(BL30-BN30-BP30&lt;=0,0,BL30-BN30-BP30),0)</f>
        <v/>
      </c>
      <c r="BP30" s="10">
        <f>BN30</f>
        <v/>
      </c>
      <c r="BQ30" s="8">
        <f>IFERROR(IF(BL30&lt;((1/2*BK30*BM30^2)*2),SQRT((BL30/2)*2/BK30),BM30),0)</f>
        <v/>
      </c>
      <c r="BR30" s="9">
        <f>IFERROR(BO30/BJ30,0)</f>
        <v/>
      </c>
      <c r="BS30" s="10">
        <f>BQ30</f>
        <v/>
      </c>
      <c r="BT30" s="8">
        <f>IF(BI30&gt;0,BI30,SUM(BQ30:BS30))</f>
        <v/>
      </c>
      <c r="BU30" s="32" t="n"/>
      <c r="BV30" s="10">
        <f>BT30*BU30</f>
        <v/>
      </c>
      <c r="BX30" s="89" t="n"/>
    </row>
    <row r="31">
      <c r="V31" s="14">
        <f>V30+1</f>
        <v/>
      </c>
      <c r="W31" s="28" t="n"/>
      <c r="X31" s="30" t="n"/>
      <c r="Y31" s="9">
        <f>IFERROR(VLOOKUP(W31,'Master List'!$A:$D,2,0),0)</f>
        <v/>
      </c>
      <c r="Z31" s="9">
        <f>IFERROR(VLOOKUP(W31,'Master List'!$A:$D,3,0),0)</f>
        <v/>
      </c>
      <c r="AA31" s="9">
        <f>IFERROR(VLOOKUP(W31,'Master List'!$A:$D,4,0),0)</f>
        <v/>
      </c>
      <c r="AB31" s="32" t="n"/>
      <c r="AC31" s="7">
        <f>IFERROR(Z31/AA31,0)</f>
        <v/>
      </c>
      <c r="AD31" s="8">
        <f>IFERROR(IF(AB31&lt;((1/2*AA31*AC31^2)*2),1/2*AA31*SQRT((AB31/2)*2/AA31)^2,1/2*AA31*AC31^2),0)</f>
        <v/>
      </c>
      <c r="AE31" s="9">
        <f>IFERROR(IF(AB31-AD31-AF31&lt;=0,0,AB31-AD31-AF31),0)</f>
        <v/>
      </c>
      <c r="AF31" s="10">
        <f>AD31</f>
        <v/>
      </c>
      <c r="AG31" s="8">
        <f>IFERROR(IF(AB31&lt;((1/2*AA31*AC31^2)*2),SQRT((AB31/2)*2/AA31),AC31),0)</f>
        <v/>
      </c>
      <c r="AH31" s="9">
        <f>IFERROR(AE31/Z31,0)</f>
        <v/>
      </c>
      <c r="AI31" s="10">
        <f>AG31</f>
        <v/>
      </c>
      <c r="AJ31" s="8">
        <f>IF(Y31&gt;0,Y31,SUM(AG31:AI31))</f>
        <v/>
      </c>
      <c r="AK31" s="32" t="n"/>
      <c r="AL31" s="10">
        <f>AJ31*AK31</f>
        <v/>
      </c>
      <c r="AN31" s="14">
        <f>AN30+1</f>
        <v/>
      </c>
      <c r="AO31" s="28" t="n"/>
      <c r="AP31" s="30" t="n"/>
      <c r="AQ31" s="9">
        <f>IFERROR(VLOOKUP(AO31,'Master List'!$A:$D,2,0),0)</f>
        <v/>
      </c>
      <c r="AR31" s="9">
        <f>IFERROR(VLOOKUP(AO31,'Master List'!$A:$D,3,0),0)</f>
        <v/>
      </c>
      <c r="AS31" s="9">
        <f>IFERROR(VLOOKUP(AO31,'Master List'!$A:$D,4,0),0)</f>
        <v/>
      </c>
      <c r="AT31" s="32" t="n"/>
      <c r="AU31" s="7">
        <f>IFERROR(AR31/AS31,0)</f>
        <v/>
      </c>
      <c r="AV31" s="8">
        <f>IFERROR(IF(AT31&lt;((1/2*AS31*AU31^2)*2),1/2*AS31*SQRT((AT31/2)*2/AS31)^2,1/2*AS31*AU31^2),0)</f>
        <v/>
      </c>
      <c r="AW31" s="9">
        <f>IFERROR(IF(AT31-AV31-AX31&lt;=0,0,AT31-AV31-AX31),0)</f>
        <v/>
      </c>
      <c r="AX31" s="10">
        <f>AV31</f>
        <v/>
      </c>
      <c r="AY31" s="8">
        <f>IFERROR(IF(AT31&lt;((1/2*AS31*AU31^2)*2),SQRT((AT31/2)*2/AS31),AU31),0)</f>
        <v/>
      </c>
      <c r="AZ31" s="9">
        <f>IFERROR(AW31/AR31,0)</f>
        <v/>
      </c>
      <c r="BA31" s="10">
        <f>AY31</f>
        <v/>
      </c>
      <c r="BB31" s="8">
        <f>IF(AQ31&gt;0,AQ31,SUM(AY31:BA31))</f>
        <v/>
      </c>
      <c r="BC31" s="32" t="n"/>
      <c r="BD31" s="10">
        <f>BB31*BC31</f>
        <v/>
      </c>
      <c r="BF31" s="14">
        <f>BF30+1</f>
        <v/>
      </c>
      <c r="BG31" s="28" t="n"/>
      <c r="BH31" s="30" t="n"/>
      <c r="BI31" s="9">
        <f>IFERROR(VLOOKUP(BG31,'Master List'!$A:$D,2,0),0)</f>
        <v/>
      </c>
      <c r="BJ31" s="9">
        <f>IFERROR(VLOOKUP(BG31,'Master List'!$A:$D,3,0),0)</f>
        <v/>
      </c>
      <c r="BK31" s="9">
        <f>IFERROR(VLOOKUP(BG31,'Master List'!$A:$D,4,0),0)</f>
        <v/>
      </c>
      <c r="BL31" s="32" t="n"/>
      <c r="BM31" s="7">
        <f>IFERROR(BJ31/BK31,0)</f>
        <v/>
      </c>
      <c r="BN31" s="8">
        <f>IFERROR(IF(BL31&lt;((1/2*BK31*BM31^2)*2),1/2*BK31*SQRT((BL31/2)*2/BK31)^2,1/2*BK31*BM31^2),0)</f>
        <v/>
      </c>
      <c r="BO31" s="9">
        <f>IFERROR(IF(BL31-BN31-BP31&lt;=0,0,BL31-BN31-BP31),0)</f>
        <v/>
      </c>
      <c r="BP31" s="10">
        <f>BN31</f>
        <v/>
      </c>
      <c r="BQ31" s="8">
        <f>IFERROR(IF(BL31&lt;((1/2*BK31*BM31^2)*2),SQRT((BL31/2)*2/BK31),BM31),0)</f>
        <v/>
      </c>
      <c r="BR31" s="9">
        <f>IFERROR(BO31/BJ31,0)</f>
        <v/>
      </c>
      <c r="BS31" s="10">
        <f>BQ31</f>
        <v/>
      </c>
      <c r="BT31" s="8">
        <f>IF(BI31&gt;0,BI31,SUM(BQ31:BS31))</f>
        <v/>
      </c>
      <c r="BU31" s="32" t="n"/>
      <c r="BV31" s="10">
        <f>BT31*BU31</f>
        <v/>
      </c>
      <c r="BX31" s="89" t="n"/>
    </row>
    <row r="47">
      <c r="D47" s="31" t="n"/>
    </row>
  </sheetData>
  <sheetProtection selectLockedCells="0" selectUnlockedCells="0" algorithmName="SHA-512" sheet="1" objects="1" insertRows="1" insertHyperlinks="1" autoFilter="1" scenarios="1" formatColumns="1" deleteColumns="1" insertColumns="1" pivotTables="1" deleteRows="1" formatCells="1" saltValue="imAAL5ZbJ9Y67UlOtoHPKQ==" formatRows="1" sort="1" spinCount="100000" hashValue="CCS6vTNmpITK4oR9m7X5gE2IxP/cMJKWNqe9gt5mjJNX/yt0fhCNnpei755zc7/9HdbyxrDjcUwFL2zHip3pGQ=="/>
  <mergeCells count="24">
    <mergeCell ref="BF5:BV5"/>
    <mergeCell ref="E9:S9"/>
    <mergeCell ref="V5:AL5"/>
    <mergeCell ref="AN5:BD5"/>
    <mergeCell ref="BG9:BU9"/>
    <mergeCell ref="W7:AK7"/>
    <mergeCell ref="E6:S6"/>
    <mergeCell ref="BG6:BU6"/>
    <mergeCell ref="W9:AK9"/>
    <mergeCell ref="AO9:BC9"/>
    <mergeCell ref="AN6:AN10"/>
    <mergeCell ref="E7:S7"/>
    <mergeCell ref="W8:AK8"/>
    <mergeCell ref="BF6:BF10"/>
    <mergeCell ref="BG7:BU7"/>
    <mergeCell ref="AO6:BC6"/>
    <mergeCell ref="D6:D10"/>
    <mergeCell ref="AO8:BC8"/>
    <mergeCell ref="AO7:BC7"/>
    <mergeCell ref="W6:AK6"/>
    <mergeCell ref="V6:V10"/>
    <mergeCell ref="E8:S8"/>
    <mergeCell ref="D5:T5"/>
    <mergeCell ref="BG8:BU8"/>
  </mergeCells>
  <dataValidations count="3">
    <dataValidation sqref="B13" showDropDown="0" showInputMessage="1" showErrorMessage="1" allowBlank="1" type="list">
      <formula1>$CV$7:$CV$8</formula1>
    </dataValidation>
    <dataValidation sqref="B15 B17" showDropDown="0" showInputMessage="1" showErrorMessage="1" allowBlank="1" type="list">
      <formula1>$CU$7:$CU$8</formula1>
    </dataValidation>
    <dataValidation sqref="B14 B16" showDropDown="0" showInputMessage="1" showErrorMessage="1" allowBlank="1" type="list">
      <formula1>$CS$7:$CS$8</formula1>
    </dataValidation>
  </dataValidations>
  <pageMargins left="0.7" right="0.7" top="0.75" bottom="0.75" header="0.3" footer="0.3"/>
  <pageSetup orientation="landscape" paperSize="9" scale="49" verticalDpi="0"/>
  <drawing r:id="rId1"/>
</worksheet>
</file>

<file path=xl/worksheets/sheet13.xml><?xml version="1.0" encoding="utf-8"?>
<worksheet xmlns:r="http://schemas.openxmlformats.org/officeDocument/2006/relationships" xmlns="http://schemas.openxmlformats.org/spreadsheetml/2006/main">
  <sheetPr codeName="Sheet13">
    <tabColor theme="7"/>
    <outlinePr summaryBelow="1" summaryRight="1"/>
    <pageSetUpPr fitToPage="1"/>
  </sheetPr>
  <dimension ref="A1:CV48"/>
  <sheetViews>
    <sheetView showGridLines="0" zoomScale="55" zoomScaleNormal="55" workbookViewId="0">
      <selection activeCell="G14" sqref="G14"/>
    </sheetView>
  </sheetViews>
  <sheetFormatPr baseColWidth="10" defaultColWidth="8.6640625" defaultRowHeight="15"/>
  <cols>
    <col width="58.6640625" bestFit="1" customWidth="1" style="516" min="1" max="1"/>
    <col width="25.83203125" customWidth="1" style="516" min="2" max="2"/>
    <col width="17.33203125" customWidth="1" style="516" min="3" max="3"/>
    <col width="8.5" customWidth="1" style="1" min="4" max="4"/>
    <col width="57.6640625" bestFit="1" customWidth="1" style="31" min="5" max="6"/>
    <col hidden="1" width="11.5" customWidth="1" style="1" min="7" max="7"/>
    <col hidden="1" width="6.5" customWidth="1" style="1" min="8" max="8"/>
    <col hidden="1" width="11.6640625" customWidth="1" style="1" min="9" max="9"/>
    <col hidden="1" width="9.33203125" customWidth="1" style="31" min="10" max="10"/>
    <col hidden="1" width="10.6640625" customWidth="1" style="1" min="11" max="11"/>
    <col hidden="1" width="12.5" customWidth="1" style="1" min="12" max="12"/>
    <col hidden="1" width="9.5" customWidth="1" style="1" min="13" max="13"/>
    <col hidden="1" width="11.6640625" customWidth="1" style="1" min="14" max="14"/>
    <col hidden="1" width="11.5" customWidth="1" style="1" min="15" max="15"/>
    <col hidden="1" width="8.6640625" customWidth="1" style="1" min="16" max="16"/>
    <col hidden="1" width="11.33203125" customWidth="1" style="1" min="17" max="17"/>
    <col width="8.6640625" customWidth="1" style="1" min="18" max="18"/>
    <col width="9.33203125" bestFit="1" customWidth="1" style="31" min="19" max="19"/>
    <col width="14.33203125" bestFit="1" customWidth="1" style="1" min="20" max="20"/>
    <col width="8.6640625" customWidth="1" style="1" min="21" max="21"/>
    <col hidden="1" width="13" customWidth="1" style="1" min="22" max="22"/>
    <col hidden="1" width="24.6640625" customWidth="1" style="31" min="23" max="23"/>
    <col hidden="1" width="27.6640625" customWidth="1" style="31" min="24" max="24"/>
    <col hidden="1" width="13" customWidth="1" style="1" min="25" max="27"/>
    <col hidden="1" width="13" customWidth="1" style="31" min="28" max="28"/>
    <col hidden="1" width="13" customWidth="1" style="1" min="29" max="36"/>
    <col hidden="1" width="13" customWidth="1" style="31" min="37" max="37"/>
    <col hidden="1" width="13" customWidth="1" style="1" min="38" max="40"/>
    <col hidden="1" width="24.6640625" customWidth="1" style="31" min="41" max="41"/>
    <col hidden="1" width="32.6640625" customWidth="1" style="31" min="42" max="42"/>
    <col hidden="1" width="13" customWidth="1" style="1" min="43" max="45"/>
    <col hidden="1" width="13" customWidth="1" style="31" min="46" max="46"/>
    <col hidden="1" width="13" customWidth="1" style="1" min="47" max="54"/>
    <col hidden="1" width="13" customWidth="1" style="31" min="55" max="55"/>
    <col hidden="1" width="13" customWidth="1" style="1" min="56" max="57"/>
    <col hidden="1" width="8.6640625" customWidth="1" style="1" min="58" max="58"/>
    <col hidden="1" width="24.6640625" customWidth="1" style="31" min="59" max="59"/>
    <col hidden="1" width="23.83203125" customWidth="1" style="31" min="60" max="60"/>
    <col hidden="1" width="8.6640625" customWidth="1" style="1" min="61" max="63"/>
    <col hidden="1" width="8.6640625" customWidth="1" style="31" min="64" max="64"/>
    <col hidden="1" width="8.6640625" customWidth="1" style="1" min="65" max="72"/>
    <col hidden="1" width="8.6640625" customWidth="1" style="31" min="73" max="73"/>
    <col hidden="1" width="8.6640625" customWidth="1" style="1" min="74" max="74"/>
    <col width="8.6640625" customWidth="1" style="1" min="75" max="75"/>
    <col width="64.33203125" bestFit="1" customWidth="1" style="1" min="76" max="76"/>
    <col width="11.33203125" bestFit="1" customWidth="1" style="1" min="77" max="77"/>
    <col width="12.6640625" bestFit="1" customWidth="1" style="1" min="78" max="78"/>
    <col width="10.5" bestFit="1" customWidth="1" style="1" min="79" max="79"/>
    <col width="8.6640625" customWidth="1" style="1" min="80" max="96"/>
    <col width="10.33203125" bestFit="1" customWidth="1" style="1" min="97" max="97"/>
    <col width="8.6640625" customWidth="1" style="1" min="98" max="98"/>
    <col width="8.6640625" customWidth="1" style="1" min="99" max="16384"/>
  </cols>
  <sheetData>
    <row r="1" ht="47" customFormat="1" customHeight="1" s="24">
      <c r="B1" s="1">
        <f>'Master List'!$F$2</f>
        <v/>
      </c>
      <c r="D1" s="1" t="n"/>
      <c r="E1" s="23" t="n"/>
    </row>
    <row r="2" ht="20" customHeight="1" s="516">
      <c r="D2" s="22" t="n"/>
      <c r="E2" s="22" t="n"/>
      <c r="F2" s="22" t="n"/>
      <c r="G2" s="22" t="n"/>
      <c r="H2" s="22" t="n"/>
      <c r="I2" s="22" t="n"/>
      <c r="J2" s="22" t="n"/>
      <c r="K2" s="22" t="n"/>
      <c r="L2" s="22" t="n"/>
      <c r="M2" s="22" t="n"/>
      <c r="N2" s="22" t="n"/>
      <c r="O2" s="22" t="n"/>
      <c r="P2" s="22" t="n"/>
      <c r="Q2" s="22" t="n"/>
      <c r="R2" s="22" t="n"/>
      <c r="S2" s="22" t="n"/>
      <c r="T2" s="22" t="n"/>
      <c r="W2" s="1" t="n"/>
      <c r="X2" s="1" t="n"/>
      <c r="AB2" s="1" t="n"/>
      <c r="AK2" s="1" t="n"/>
      <c r="AO2" s="1" t="n"/>
      <c r="AP2" s="1" t="n"/>
      <c r="AT2" s="1" t="n"/>
      <c r="BC2" s="1" t="n"/>
      <c r="BG2" s="1" t="n"/>
      <c r="BH2" s="1" t="n"/>
      <c r="BL2" s="1" t="n"/>
      <c r="BU2" s="1" t="n"/>
    </row>
    <row r="3" ht="20" customHeight="1" s="516">
      <c r="A3" s="34" t="inlineStr">
        <is>
          <t>Equipment</t>
        </is>
      </c>
      <c r="B3" s="33" t="inlineStr">
        <is>
          <t>PTL Station</t>
        </is>
      </c>
      <c r="D3" s="22" t="n"/>
      <c r="E3" s="22" t="n"/>
      <c r="F3" s="22" t="n"/>
      <c r="G3" s="22" t="n"/>
      <c r="H3" s="22" t="n"/>
      <c r="I3" s="22" t="n"/>
      <c r="J3" s="22" t="n"/>
      <c r="K3" s="22" t="n"/>
      <c r="L3" s="22" t="n"/>
      <c r="M3" s="22" t="n"/>
      <c r="N3" s="22" t="n"/>
      <c r="O3" s="22" t="n"/>
      <c r="P3" s="22" t="n"/>
      <c r="Q3" s="22" t="n"/>
      <c r="R3" s="22" t="n"/>
      <c r="S3" s="22" t="n"/>
      <c r="T3" s="22" t="n"/>
      <c r="W3" s="1" t="n"/>
      <c r="X3" s="1" t="n"/>
      <c r="AB3" s="1" t="n"/>
      <c r="AK3" s="1" t="n"/>
      <c r="AO3" s="1" t="n"/>
      <c r="AP3" s="1" t="n"/>
      <c r="AT3" s="1" t="n"/>
      <c r="BC3" s="1" t="n"/>
      <c r="BG3" s="1" t="n"/>
      <c r="BH3" s="1" t="n"/>
      <c r="BL3" s="1" t="n"/>
      <c r="BU3" s="1" t="n"/>
    </row>
    <row r="4" ht="20" customHeight="1" s="516">
      <c r="A4" s="34" t="inlineStr">
        <is>
          <t>Utilization</t>
        </is>
      </c>
      <c r="B4" s="402">
        <f>T8</f>
        <v/>
      </c>
      <c r="D4" s="22" t="n"/>
      <c r="E4" s="22" t="n"/>
      <c r="F4" s="22" t="n"/>
      <c r="G4" s="22" t="n"/>
      <c r="H4" s="22" t="n"/>
      <c r="I4" s="22" t="n"/>
      <c r="J4" s="22" t="n"/>
      <c r="K4" s="22" t="n"/>
      <c r="L4" s="22" t="n"/>
      <c r="M4" s="22" t="n"/>
      <c r="N4" s="22" t="n"/>
      <c r="O4" s="22" t="n"/>
      <c r="P4" s="22" t="n"/>
      <c r="Q4" s="22" t="n"/>
      <c r="R4" s="22" t="n"/>
      <c r="S4" s="22" t="n"/>
      <c r="T4" s="22" t="n"/>
      <c r="W4" s="1" t="n"/>
      <c r="X4" s="1" t="n"/>
      <c r="AB4" s="1" t="n"/>
      <c r="AK4" s="1" t="n"/>
      <c r="AO4" s="1" t="n"/>
      <c r="AP4" s="1" t="n"/>
      <c r="AT4" s="1" t="n"/>
      <c r="BC4" s="1" t="n"/>
      <c r="BG4" s="1" t="n"/>
      <c r="BH4" s="1" t="n"/>
      <c r="BL4" s="1" t="n"/>
      <c r="BU4" s="1" t="n"/>
    </row>
    <row r="5" ht="19.5" customHeight="1" s="516">
      <c r="A5" s="180" t="inlineStr">
        <is>
          <t>Project name</t>
        </is>
      </c>
      <c r="B5" s="181" t="n"/>
      <c r="D5" s="551" t="inlineStr">
        <is>
          <t>PTL</t>
        </is>
      </c>
      <c r="E5" s="552" t="n"/>
      <c r="F5" s="552" t="n"/>
      <c r="G5" s="552" t="n"/>
      <c r="H5" s="552" t="n"/>
      <c r="I5" s="552" t="n"/>
      <c r="J5" s="552" t="n"/>
      <c r="K5" s="552" t="n"/>
      <c r="L5" s="552" t="n"/>
      <c r="M5" s="552" t="n"/>
      <c r="N5" s="552" t="n"/>
      <c r="O5" s="552" t="n"/>
      <c r="P5" s="552" t="n"/>
      <c r="Q5" s="552" t="n"/>
      <c r="R5" s="552" t="n"/>
      <c r="S5" s="552" t="n"/>
      <c r="T5" s="553" t="n"/>
      <c r="V5" s="551" t="inlineStr">
        <is>
          <t>Process Name</t>
        </is>
      </c>
      <c r="W5" s="552" t="n"/>
      <c r="X5" s="552" t="n"/>
      <c r="Y5" s="552" t="n"/>
      <c r="Z5" s="552" t="n"/>
      <c r="AA5" s="552" t="n"/>
      <c r="AB5" s="552" t="n"/>
      <c r="AC5" s="552" t="n"/>
      <c r="AD5" s="552" t="n"/>
      <c r="AE5" s="552" t="n"/>
      <c r="AF5" s="552" t="n"/>
      <c r="AG5" s="552" t="n"/>
      <c r="AH5" s="552" t="n"/>
      <c r="AI5" s="552" t="n"/>
      <c r="AJ5" s="552" t="n"/>
      <c r="AK5" s="552" t="n"/>
      <c r="AL5" s="553" t="n"/>
      <c r="AN5" s="551" t="inlineStr">
        <is>
          <t>Process Name</t>
        </is>
      </c>
      <c r="AO5" s="552" t="n"/>
      <c r="AP5" s="552" t="n"/>
      <c r="AQ5" s="552" t="n"/>
      <c r="AR5" s="552" t="n"/>
      <c r="AS5" s="552" t="n"/>
      <c r="AT5" s="552" t="n"/>
      <c r="AU5" s="552" t="n"/>
      <c r="AV5" s="552" t="n"/>
      <c r="AW5" s="552" t="n"/>
      <c r="AX5" s="552" t="n"/>
      <c r="AY5" s="552" t="n"/>
      <c r="AZ5" s="552" t="n"/>
      <c r="BA5" s="552" t="n"/>
      <c r="BB5" s="552" t="n"/>
      <c r="BC5" s="552" t="n"/>
      <c r="BD5" s="553" t="n"/>
      <c r="BF5" s="551" t="inlineStr">
        <is>
          <t>Process Name</t>
        </is>
      </c>
      <c r="BG5" s="552" t="n"/>
      <c r="BH5" s="552" t="n"/>
      <c r="BI5" s="552" t="n"/>
      <c r="BJ5" s="552" t="n"/>
      <c r="BK5" s="552" t="n"/>
      <c r="BL5" s="552" t="n"/>
      <c r="BM5" s="552" t="n"/>
      <c r="BN5" s="552" t="n"/>
      <c r="BO5" s="552" t="n"/>
      <c r="BP5" s="552" t="n"/>
      <c r="BQ5" s="552" t="n"/>
      <c r="BR5" s="552" t="n"/>
      <c r="BS5" s="552" t="n"/>
      <c r="BT5" s="552" t="n"/>
      <c r="BU5" s="552" t="n"/>
      <c r="BV5" s="553" t="n"/>
    </row>
    <row r="6" ht="19.5" customHeight="1" s="516">
      <c r="A6" s="180" t="inlineStr">
        <is>
          <t>Revision</t>
        </is>
      </c>
      <c r="B6" s="181" t="n"/>
      <c r="D6" s="554" t="inlineStr">
        <is>
          <t>S.No</t>
        </is>
      </c>
      <c r="E6" s="533" t="inlineStr">
        <is>
          <t>Cycles / Hour</t>
        </is>
      </c>
      <c r="F6" s="546" t="n"/>
      <c r="G6" s="546" t="n"/>
      <c r="H6" s="546" t="n"/>
      <c r="I6" s="546" t="n"/>
      <c r="J6" s="546" t="n"/>
      <c r="K6" s="546" t="n"/>
      <c r="L6" s="546" t="n"/>
      <c r="M6" s="546" t="n"/>
      <c r="N6" s="546" t="n"/>
      <c r="O6" s="546" t="n"/>
      <c r="P6" s="546" t="n"/>
      <c r="Q6" s="546" t="n"/>
      <c r="R6" s="546" t="n"/>
      <c r="S6" s="534" t="n"/>
      <c r="T6" s="27">
        <f>3600/T7</f>
        <v/>
      </c>
      <c r="V6" s="554" t="inlineStr">
        <is>
          <t>S.No</t>
        </is>
      </c>
      <c r="W6" s="533" t="inlineStr">
        <is>
          <t>Cycles / Hour</t>
        </is>
      </c>
      <c r="X6" s="546" t="n"/>
      <c r="Y6" s="546" t="n"/>
      <c r="Z6" s="546" t="n"/>
      <c r="AA6" s="546" t="n"/>
      <c r="AB6" s="546" t="n"/>
      <c r="AC6" s="546" t="n"/>
      <c r="AD6" s="546" t="n"/>
      <c r="AE6" s="546" t="n"/>
      <c r="AF6" s="546" t="n"/>
      <c r="AG6" s="546" t="n"/>
      <c r="AH6" s="546" t="n"/>
      <c r="AI6" s="546" t="n"/>
      <c r="AJ6" s="546" t="n"/>
      <c r="AK6" s="534" t="n"/>
      <c r="AL6" s="17">
        <f>3600/AL7</f>
        <v/>
      </c>
      <c r="AN6" s="554" t="inlineStr">
        <is>
          <t>S.No</t>
        </is>
      </c>
      <c r="AO6" s="533" t="inlineStr">
        <is>
          <t>Cycles / Hour</t>
        </is>
      </c>
      <c r="AP6" s="546" t="n"/>
      <c r="AQ6" s="546" t="n"/>
      <c r="AR6" s="546" t="n"/>
      <c r="AS6" s="546" t="n"/>
      <c r="AT6" s="546" t="n"/>
      <c r="AU6" s="546" t="n"/>
      <c r="AV6" s="546" t="n"/>
      <c r="AW6" s="546" t="n"/>
      <c r="AX6" s="546" t="n"/>
      <c r="AY6" s="546" t="n"/>
      <c r="AZ6" s="546" t="n"/>
      <c r="BA6" s="546" t="n"/>
      <c r="BB6" s="546" t="n"/>
      <c r="BC6" s="534" t="n"/>
      <c r="BD6" s="17">
        <f>3600/BD7</f>
        <v/>
      </c>
      <c r="BF6" s="554" t="inlineStr">
        <is>
          <t>S.No</t>
        </is>
      </c>
      <c r="BG6" s="533" t="inlineStr">
        <is>
          <t>Cycles / Hour</t>
        </is>
      </c>
      <c r="BH6" s="546" t="n"/>
      <c r="BI6" s="546" t="n"/>
      <c r="BJ6" s="546" t="n"/>
      <c r="BK6" s="546" t="n"/>
      <c r="BL6" s="546" t="n"/>
      <c r="BM6" s="546" t="n"/>
      <c r="BN6" s="546" t="n"/>
      <c r="BO6" s="546" t="n"/>
      <c r="BP6" s="546" t="n"/>
      <c r="BQ6" s="546" t="n"/>
      <c r="BR6" s="546" t="n"/>
      <c r="BS6" s="546" t="n"/>
      <c r="BT6" s="546" t="n"/>
      <c r="BU6" s="534" t="n"/>
      <c r="BV6" s="17">
        <f>3600/BV7</f>
        <v/>
      </c>
    </row>
    <row r="7" ht="18" customHeight="1" s="516">
      <c r="D7" s="555" t="n"/>
      <c r="E7" s="533" t="inlineStr">
        <is>
          <t>Effective Cycle Time</t>
        </is>
      </c>
      <c r="F7" s="546" t="n"/>
      <c r="G7" s="546" t="n"/>
      <c r="H7" s="546" t="n"/>
      <c r="I7" s="546" t="n"/>
      <c r="J7" s="546" t="n"/>
      <c r="K7" s="546" t="n"/>
      <c r="L7" s="546" t="n"/>
      <c r="M7" s="546" t="n"/>
      <c r="N7" s="546" t="n"/>
      <c r="O7" s="546" t="n"/>
      <c r="P7" s="546" t="n"/>
      <c r="Q7" s="546" t="n"/>
      <c r="R7" s="546" t="n"/>
      <c r="S7" s="534" t="n"/>
      <c r="T7" s="11">
        <f>T9/T8</f>
        <v/>
      </c>
      <c r="V7" s="555" t="n"/>
      <c r="W7" s="533" t="inlineStr">
        <is>
          <t>Effective Cycle Time</t>
        </is>
      </c>
      <c r="X7" s="546" t="n"/>
      <c r="Y7" s="546" t="n"/>
      <c r="Z7" s="546" t="n"/>
      <c r="AA7" s="546" t="n"/>
      <c r="AB7" s="546" t="n"/>
      <c r="AC7" s="546" t="n"/>
      <c r="AD7" s="546" t="n"/>
      <c r="AE7" s="546" t="n"/>
      <c r="AF7" s="546" t="n"/>
      <c r="AG7" s="546" t="n"/>
      <c r="AH7" s="546" t="n"/>
      <c r="AI7" s="546" t="n"/>
      <c r="AJ7" s="546" t="n"/>
      <c r="AK7" s="534" t="n"/>
      <c r="AL7" s="11">
        <f>AL9/AL8</f>
        <v/>
      </c>
      <c r="AN7" s="555" t="n"/>
      <c r="AO7" s="533" t="inlineStr">
        <is>
          <t>Effective Cycle Time</t>
        </is>
      </c>
      <c r="AP7" s="546" t="n"/>
      <c r="AQ7" s="546" t="n"/>
      <c r="AR7" s="546" t="n"/>
      <c r="AS7" s="546" t="n"/>
      <c r="AT7" s="546" t="n"/>
      <c r="AU7" s="546" t="n"/>
      <c r="AV7" s="546" t="n"/>
      <c r="AW7" s="546" t="n"/>
      <c r="AX7" s="546" t="n"/>
      <c r="AY7" s="546" t="n"/>
      <c r="AZ7" s="546" t="n"/>
      <c r="BA7" s="546" t="n"/>
      <c r="BB7" s="546" t="n"/>
      <c r="BC7" s="534" t="n"/>
      <c r="BD7" s="11">
        <f>BD9/BD8</f>
        <v/>
      </c>
      <c r="BF7" s="555" t="n"/>
      <c r="BG7" s="533" t="inlineStr">
        <is>
          <t>Effective Cycle Time</t>
        </is>
      </c>
      <c r="BH7" s="546" t="n"/>
      <c r="BI7" s="546" t="n"/>
      <c r="BJ7" s="546" t="n"/>
      <c r="BK7" s="546" t="n"/>
      <c r="BL7" s="546" t="n"/>
      <c r="BM7" s="546" t="n"/>
      <c r="BN7" s="546" t="n"/>
      <c r="BO7" s="546" t="n"/>
      <c r="BP7" s="546" t="n"/>
      <c r="BQ7" s="546" t="n"/>
      <c r="BR7" s="546" t="n"/>
      <c r="BS7" s="546" t="n"/>
      <c r="BT7" s="546" t="n"/>
      <c r="BU7" s="534" t="n"/>
      <c r="BV7" s="11">
        <f>BV9/BV8</f>
        <v/>
      </c>
      <c r="CS7" s="1" t="inlineStr">
        <is>
          <t>Automatic</t>
        </is>
      </c>
      <c r="CU7" s="1" t="inlineStr">
        <is>
          <t>Yes</t>
        </is>
      </c>
      <c r="CV7" s="1" t="inlineStr">
        <is>
          <t>Cases</t>
        </is>
      </c>
    </row>
    <row r="8" ht="18" customHeight="1" s="516">
      <c r="A8" s="84" t="inlineStr">
        <is>
          <t>Lines/ Hr per PTL Zone</t>
        </is>
      </c>
      <c r="B8" s="84">
        <f>T6*B18</f>
        <v/>
      </c>
      <c r="D8" s="555" t="n"/>
      <c r="E8" s="533" t="inlineStr">
        <is>
          <t>Equipment Utilization</t>
        </is>
      </c>
      <c r="F8" s="546" t="n"/>
      <c r="G8" s="546" t="n"/>
      <c r="H8" s="546" t="n"/>
      <c r="I8" s="546" t="n"/>
      <c r="J8" s="546" t="n"/>
      <c r="K8" s="546" t="n"/>
      <c r="L8" s="546" t="n"/>
      <c r="M8" s="546" t="n"/>
      <c r="N8" s="546" t="n"/>
      <c r="O8" s="546" t="n"/>
      <c r="P8" s="546" t="n"/>
      <c r="Q8" s="546" t="n"/>
      <c r="R8" s="546" t="n"/>
      <c r="S8" s="534" t="n"/>
      <c r="T8" s="12">
        <f>'Master List'!$G$1</f>
        <v/>
      </c>
      <c r="V8" s="555" t="n"/>
      <c r="W8" s="533" t="inlineStr">
        <is>
          <t>Equipment Utilization</t>
        </is>
      </c>
      <c r="X8" s="546" t="n"/>
      <c r="Y8" s="546" t="n"/>
      <c r="Z8" s="546" t="n"/>
      <c r="AA8" s="546" t="n"/>
      <c r="AB8" s="546" t="n"/>
      <c r="AC8" s="546" t="n"/>
      <c r="AD8" s="546" t="n"/>
      <c r="AE8" s="546" t="n"/>
      <c r="AF8" s="546" t="n"/>
      <c r="AG8" s="546" t="n"/>
      <c r="AH8" s="546" t="n"/>
      <c r="AI8" s="546" t="n"/>
      <c r="AJ8" s="546" t="n"/>
      <c r="AK8" s="534" t="n"/>
      <c r="AL8" s="12" t="n">
        <v>0.85</v>
      </c>
      <c r="AN8" s="555" t="n"/>
      <c r="AO8" s="533" t="inlineStr">
        <is>
          <t>Equipment Utilization</t>
        </is>
      </c>
      <c r="AP8" s="546" t="n"/>
      <c r="AQ8" s="546" t="n"/>
      <c r="AR8" s="546" t="n"/>
      <c r="AS8" s="546" t="n"/>
      <c r="AT8" s="546" t="n"/>
      <c r="AU8" s="546" t="n"/>
      <c r="AV8" s="546" t="n"/>
      <c r="AW8" s="546" t="n"/>
      <c r="AX8" s="546" t="n"/>
      <c r="AY8" s="546" t="n"/>
      <c r="AZ8" s="546" t="n"/>
      <c r="BA8" s="546" t="n"/>
      <c r="BB8" s="546" t="n"/>
      <c r="BC8" s="534" t="n"/>
      <c r="BD8" s="12" t="n">
        <v>0.85</v>
      </c>
      <c r="BF8" s="555" t="n"/>
      <c r="BG8" s="533" t="inlineStr">
        <is>
          <t>Equipment Utilization</t>
        </is>
      </c>
      <c r="BH8" s="546" t="n"/>
      <c r="BI8" s="546" t="n"/>
      <c r="BJ8" s="546" t="n"/>
      <c r="BK8" s="546" t="n"/>
      <c r="BL8" s="546" t="n"/>
      <c r="BM8" s="546" t="n"/>
      <c r="BN8" s="546" t="n"/>
      <c r="BO8" s="546" t="n"/>
      <c r="BP8" s="546" t="n"/>
      <c r="BQ8" s="546" t="n"/>
      <c r="BR8" s="546" t="n"/>
      <c r="BS8" s="546" t="n"/>
      <c r="BT8" s="546" t="n"/>
      <c r="BU8" s="534" t="n"/>
      <c r="BV8" s="12" t="n">
        <v>0.85</v>
      </c>
      <c r="CA8" s="66" t="n"/>
      <c r="CS8" s="1" t="inlineStr">
        <is>
          <t>Manual</t>
        </is>
      </c>
      <c r="CU8" s="1" t="inlineStr">
        <is>
          <t>No</t>
        </is>
      </c>
      <c r="CV8" s="1" t="inlineStr">
        <is>
          <t>Units</t>
        </is>
      </c>
    </row>
    <row r="9" ht="18" customHeight="1" s="516">
      <c r="A9" s="84" t="inlineStr">
        <is>
          <t>Units/ Hr per PTL Zone</t>
        </is>
      </c>
      <c r="B9" s="84">
        <f>B8*B19</f>
        <v/>
      </c>
      <c r="D9" s="555" t="n"/>
      <c r="E9" s="533" t="inlineStr">
        <is>
          <t>Cycle Time</t>
        </is>
      </c>
      <c r="F9" s="546" t="n"/>
      <c r="G9" s="546" t="n"/>
      <c r="H9" s="546" t="n"/>
      <c r="I9" s="546" t="n"/>
      <c r="J9" s="546" t="n"/>
      <c r="K9" s="546" t="n"/>
      <c r="L9" s="546" t="n"/>
      <c r="M9" s="546" t="n"/>
      <c r="N9" s="546" t="n"/>
      <c r="O9" s="546" t="n"/>
      <c r="P9" s="546" t="n"/>
      <c r="Q9" s="546" t="n"/>
      <c r="R9" s="546" t="n"/>
      <c r="S9" s="534" t="n"/>
      <c r="T9" s="13">
        <f>SUM(T11:T98)</f>
        <v/>
      </c>
      <c r="V9" s="555" t="n"/>
      <c r="W9" s="533" t="inlineStr">
        <is>
          <t>Cycle Time</t>
        </is>
      </c>
      <c r="X9" s="546" t="n"/>
      <c r="Y9" s="546" t="n"/>
      <c r="Z9" s="546" t="n"/>
      <c r="AA9" s="546" t="n"/>
      <c r="AB9" s="546" t="n"/>
      <c r="AC9" s="546" t="n"/>
      <c r="AD9" s="546" t="n"/>
      <c r="AE9" s="546" t="n"/>
      <c r="AF9" s="546" t="n"/>
      <c r="AG9" s="546" t="n"/>
      <c r="AH9" s="546" t="n"/>
      <c r="AI9" s="546" t="n"/>
      <c r="AJ9" s="546" t="n"/>
      <c r="AK9" s="534" t="n"/>
      <c r="AL9" s="13">
        <f>SUM(AL11:AL97)</f>
        <v/>
      </c>
      <c r="AN9" s="555" t="n"/>
      <c r="AO9" s="533" t="inlineStr">
        <is>
          <t>Cycle Time</t>
        </is>
      </c>
      <c r="AP9" s="546" t="n"/>
      <c r="AQ9" s="546" t="n"/>
      <c r="AR9" s="546" t="n"/>
      <c r="AS9" s="546" t="n"/>
      <c r="AT9" s="546" t="n"/>
      <c r="AU9" s="546" t="n"/>
      <c r="AV9" s="546" t="n"/>
      <c r="AW9" s="546" t="n"/>
      <c r="AX9" s="546" t="n"/>
      <c r="AY9" s="546" t="n"/>
      <c r="AZ9" s="546" t="n"/>
      <c r="BA9" s="546" t="n"/>
      <c r="BB9" s="546" t="n"/>
      <c r="BC9" s="534" t="n"/>
      <c r="BD9" s="13">
        <f>SUM(BD11:BD97)</f>
        <v/>
      </c>
      <c r="BF9" s="555" t="n"/>
      <c r="BG9" s="533" t="inlineStr">
        <is>
          <t>Cycle Time</t>
        </is>
      </c>
      <c r="BH9" s="546" t="n"/>
      <c r="BI9" s="546" t="n"/>
      <c r="BJ9" s="546" t="n"/>
      <c r="BK9" s="546" t="n"/>
      <c r="BL9" s="546" t="n"/>
      <c r="BM9" s="546" t="n"/>
      <c r="BN9" s="546" t="n"/>
      <c r="BO9" s="546" t="n"/>
      <c r="BP9" s="546" t="n"/>
      <c r="BQ9" s="546" t="n"/>
      <c r="BR9" s="546" t="n"/>
      <c r="BS9" s="546" t="n"/>
      <c r="BT9" s="546" t="n"/>
      <c r="BU9" s="534" t="n"/>
      <c r="BV9" s="13">
        <f>SUM(BV11:BV97)</f>
        <v/>
      </c>
    </row>
    <row r="10" ht="84" customFormat="1" customHeight="1" s="6">
      <c r="D10" s="556" t="n"/>
      <c r="E10" s="16" t="inlineStr">
        <is>
          <t>Activity Type</t>
        </is>
      </c>
      <c r="F10" s="2" t="inlineStr">
        <is>
          <t>Steps</t>
        </is>
      </c>
      <c r="G10" s="21" t="inlineStr">
        <is>
          <t>Time to consider in absence of data (sec)</t>
        </is>
      </c>
      <c r="H10" s="21" t="inlineStr">
        <is>
          <t>Speed (m / sec)</t>
        </is>
      </c>
      <c r="I10" s="21" t="inlineStr">
        <is>
          <t>Acceleration (m / sec^2)</t>
        </is>
      </c>
      <c r="J10" s="18" t="inlineStr">
        <is>
          <t>Total Distance (m)</t>
        </is>
      </c>
      <c r="K10" s="3" t="inlineStr">
        <is>
          <t>Time to Reach Max Speed (sec)</t>
        </is>
      </c>
      <c r="L10" s="4" t="inlineStr">
        <is>
          <t>Distance in accerlaration (m)</t>
        </is>
      </c>
      <c r="M10" s="2" t="inlineStr">
        <is>
          <t>Distance in Max speed (m)</t>
        </is>
      </c>
      <c r="N10" s="5" t="inlineStr">
        <is>
          <t>Distance in de-acceleration (m)</t>
        </is>
      </c>
      <c r="O10" s="4" t="inlineStr">
        <is>
          <t>Time in acceleration (sec)</t>
        </is>
      </c>
      <c r="P10" s="2" t="inlineStr">
        <is>
          <t>Time in full speed (sec)</t>
        </is>
      </c>
      <c r="Q10" s="5" t="inlineStr">
        <is>
          <t>Time in de-acceleration (sec)</t>
        </is>
      </c>
      <c r="R10" s="19" t="inlineStr">
        <is>
          <t>Time (sec)</t>
        </is>
      </c>
      <c r="S10" s="18" t="inlineStr">
        <is>
          <t>Units</t>
        </is>
      </c>
      <c r="T10" s="20" t="inlineStr">
        <is>
          <t>Total Time</t>
        </is>
      </c>
      <c r="V10" s="556" t="n"/>
      <c r="W10" s="16" t="inlineStr">
        <is>
          <t>Activity Type</t>
        </is>
      </c>
      <c r="X10" s="2" t="inlineStr">
        <is>
          <t>Steps</t>
        </is>
      </c>
      <c r="Y10" s="21" t="inlineStr">
        <is>
          <t>Time to consider in absence of data (sec)</t>
        </is>
      </c>
      <c r="Z10" s="21" t="inlineStr">
        <is>
          <t>Speed (m / sec)</t>
        </is>
      </c>
      <c r="AA10" s="21" t="inlineStr">
        <is>
          <t>Acceleration (m / sec^2)</t>
        </is>
      </c>
      <c r="AB10" s="18" t="inlineStr">
        <is>
          <t>Total Distance (m)</t>
        </is>
      </c>
      <c r="AC10" s="3" t="inlineStr">
        <is>
          <t>Time to Reach Max Speed (sec)</t>
        </is>
      </c>
      <c r="AD10" s="4" t="inlineStr">
        <is>
          <t>Distance in accerlaration (m)</t>
        </is>
      </c>
      <c r="AE10" s="2" t="inlineStr">
        <is>
          <t>Distance in Max speed (m)</t>
        </is>
      </c>
      <c r="AF10" s="5" t="inlineStr">
        <is>
          <t>Distance in de-acceleration (m)</t>
        </is>
      </c>
      <c r="AG10" s="4" t="inlineStr">
        <is>
          <t>Time in acceleration (sec)</t>
        </is>
      </c>
      <c r="AH10" s="2" t="inlineStr">
        <is>
          <t>Time in full speed (sec)</t>
        </is>
      </c>
      <c r="AI10" s="5" t="inlineStr">
        <is>
          <t>Time in de-acceleration (sec)</t>
        </is>
      </c>
      <c r="AJ10" s="19" t="inlineStr">
        <is>
          <t>Time (sec)</t>
        </is>
      </c>
      <c r="AK10" s="18" t="inlineStr">
        <is>
          <t>Units</t>
        </is>
      </c>
      <c r="AL10" s="20" t="inlineStr">
        <is>
          <t>Total Time</t>
        </is>
      </c>
      <c r="AN10" s="556" t="n"/>
      <c r="AO10" s="16" t="inlineStr">
        <is>
          <t>Activity Type</t>
        </is>
      </c>
      <c r="AP10" s="2" t="inlineStr">
        <is>
          <t>Steps</t>
        </is>
      </c>
      <c r="AQ10" s="21" t="inlineStr">
        <is>
          <t>Time to consider in absence of data (sec)</t>
        </is>
      </c>
      <c r="AR10" s="21" t="inlineStr">
        <is>
          <t>Speed (m / sec)</t>
        </is>
      </c>
      <c r="AS10" s="21" t="inlineStr">
        <is>
          <t>Acceleration (m / sec^2)</t>
        </is>
      </c>
      <c r="AT10" s="18" t="inlineStr">
        <is>
          <t>Total Distance (m)</t>
        </is>
      </c>
      <c r="AU10" s="3" t="inlineStr">
        <is>
          <t>Time to Reach Max Speed (sec)</t>
        </is>
      </c>
      <c r="AV10" s="4" t="inlineStr">
        <is>
          <t>Distance in accerlaration (m)</t>
        </is>
      </c>
      <c r="AW10" s="2" t="inlineStr">
        <is>
          <t>Distance in Max speed (m)</t>
        </is>
      </c>
      <c r="AX10" s="5" t="inlineStr">
        <is>
          <t>Distance in de-acceleration (m)</t>
        </is>
      </c>
      <c r="AY10" s="4" t="inlineStr">
        <is>
          <t>Time in acceleration (sec)</t>
        </is>
      </c>
      <c r="AZ10" s="2" t="inlineStr">
        <is>
          <t>Time in full speed (sec)</t>
        </is>
      </c>
      <c r="BA10" s="5" t="inlineStr">
        <is>
          <t>Time in de-acceleration (sec)</t>
        </is>
      </c>
      <c r="BB10" s="19" t="inlineStr">
        <is>
          <t>Time (sec)</t>
        </is>
      </c>
      <c r="BC10" s="18" t="inlineStr">
        <is>
          <t>Units</t>
        </is>
      </c>
      <c r="BD10" s="20" t="inlineStr">
        <is>
          <t>Total Time</t>
        </is>
      </c>
      <c r="BF10" s="556" t="n"/>
      <c r="BG10" s="16" t="inlineStr">
        <is>
          <t>Activity Type</t>
        </is>
      </c>
      <c r="BH10" s="2" t="inlineStr">
        <is>
          <t>Steps</t>
        </is>
      </c>
      <c r="BI10" s="21" t="inlineStr">
        <is>
          <t>Time to consider in absence of data (sec)</t>
        </is>
      </c>
      <c r="BJ10" s="21" t="inlineStr">
        <is>
          <t>Speed (m / sec)</t>
        </is>
      </c>
      <c r="BK10" s="21" t="inlineStr">
        <is>
          <t>Acceleration (m / sec^2)</t>
        </is>
      </c>
      <c r="BL10" s="18" t="inlineStr">
        <is>
          <t>Total Distance (m)</t>
        </is>
      </c>
      <c r="BM10" s="3" t="inlineStr">
        <is>
          <t>Time to Reach Max Speed (sec)</t>
        </is>
      </c>
      <c r="BN10" s="4" t="inlineStr">
        <is>
          <t>Distance in accerlaration (m)</t>
        </is>
      </c>
      <c r="BO10" s="2" t="inlineStr">
        <is>
          <t>Distance in Max speed (m)</t>
        </is>
      </c>
      <c r="BP10" s="5" t="inlineStr">
        <is>
          <t>Distance in de-acceleration (m)</t>
        </is>
      </c>
      <c r="BQ10" s="4" t="inlineStr">
        <is>
          <t>Time in acceleration (sec)</t>
        </is>
      </c>
      <c r="BR10" s="2" t="inlineStr">
        <is>
          <t>Time in full speed (sec)</t>
        </is>
      </c>
      <c r="BS10" s="5" t="inlineStr">
        <is>
          <t>Time in de-acceleration (sec)</t>
        </is>
      </c>
      <c r="BT10" s="19" t="inlineStr">
        <is>
          <t>Time (sec)</t>
        </is>
      </c>
      <c r="BU10" s="18" t="inlineStr">
        <is>
          <t>Units</t>
        </is>
      </c>
      <c r="BV10" s="20" t="inlineStr">
        <is>
          <t>Total Time</t>
        </is>
      </c>
    </row>
    <row r="11">
      <c r="A11" s="85" t="inlineStr">
        <is>
          <t>Inputs</t>
        </is>
      </c>
      <c r="B11" s="85" t="inlineStr">
        <is>
          <t>Value</t>
        </is>
      </c>
      <c r="D11" s="14" t="n">
        <v>1</v>
      </c>
      <c r="E11" s="28" t="inlineStr">
        <is>
          <t>Scanning</t>
        </is>
      </c>
      <c r="F11" s="28" t="inlineStr">
        <is>
          <t>Scan SKU tote</t>
        </is>
      </c>
      <c r="G11" s="9">
        <f>IFERROR(VLOOKUP(E11,'Master List'!$A:$D,2,0),0)</f>
        <v/>
      </c>
      <c r="H11" s="9">
        <f>IFERROR(VLOOKUP(E11,'Master List'!$A:$D,3,0),0)</f>
        <v/>
      </c>
      <c r="I11" s="9">
        <f>IFERROR(VLOOKUP(E11,'Master List'!$A:$D,4,0),0)</f>
        <v/>
      </c>
      <c r="J11" s="32" t="n"/>
      <c r="K11" s="7">
        <f>IFERROR(H11/I11,0)</f>
        <v/>
      </c>
      <c r="L11" s="8">
        <f>IFERROR(IF(J11&lt;((1/2*I11*K11^2)*2),1/2*I11*SQRT((J11/2)*2/I11)^2,1/2*I11*K11^2),0)</f>
        <v/>
      </c>
      <c r="M11" s="9">
        <f>IFERROR(IF(J11-L11-N11&lt;=0,0,J11-L11-N11),0)</f>
        <v/>
      </c>
      <c r="N11" s="10">
        <f>L11</f>
        <v/>
      </c>
      <c r="O11" s="8">
        <f>IFERROR(IF(J11&lt;((1/2*I11*K11^2)*2),SQRT((J11/2)*2/I11),K11),0)</f>
        <v/>
      </c>
      <c r="P11" s="9">
        <f>IFERROR(M11/H11,0)</f>
        <v/>
      </c>
      <c r="Q11" s="10">
        <f>O11</f>
        <v/>
      </c>
      <c r="R11" s="8">
        <f>IF(G11&gt;0,G11,SUM(O11:Q11))</f>
        <v/>
      </c>
      <c r="S11" s="32">
        <f>IF(B13="Manual",1,0)</f>
        <v/>
      </c>
      <c r="T11" s="10">
        <f>R11*S11</f>
        <v/>
      </c>
      <c r="V11" s="14" t="n">
        <v>1</v>
      </c>
      <c r="W11" s="28" t="n"/>
      <c r="X11" s="30" t="n"/>
      <c r="Y11" s="9">
        <f>IFERROR(VLOOKUP(W11,'Master List'!$A:$D,2,0),0)</f>
        <v/>
      </c>
      <c r="Z11" s="9">
        <f>IFERROR(VLOOKUP(W11,'Master List'!$A:$D,3,0),0)</f>
        <v/>
      </c>
      <c r="AA11" s="9">
        <f>IFERROR(VLOOKUP(W11,'Master List'!$A:$D,4,0),0)</f>
        <v/>
      </c>
      <c r="AB11" s="32" t="n"/>
      <c r="AC11" s="7">
        <f>IFERROR(Z11/AA11,0)</f>
        <v/>
      </c>
      <c r="AD11" s="8">
        <f>IFERROR(IF(AB11&lt;((1/2*AA11*AC11^2)*2),1/2*AA11*SQRT((AB11/2)*2/AA11)^2,1/2*AA11*AC11^2),0)</f>
        <v/>
      </c>
      <c r="AE11" s="9">
        <f>IFERROR(IF(AB11-AD11-AF11&lt;=0,0,AB11-AD11-AF11),0)</f>
        <v/>
      </c>
      <c r="AF11" s="10">
        <f>AD11</f>
        <v/>
      </c>
      <c r="AG11" s="8">
        <f>IFERROR(IF(AB11&lt;((1/2*AA11*AC11^2)*2),SQRT((AB11/2)*2/AA11),AC11),0)</f>
        <v/>
      </c>
      <c r="AH11" s="9">
        <f>IFERROR(AE11/Z11,0)</f>
        <v/>
      </c>
      <c r="AI11" s="10">
        <f>AG11</f>
        <v/>
      </c>
      <c r="AJ11" s="8">
        <f>IF(Y11&gt;0,Y11,SUM(AG11:AI11))</f>
        <v/>
      </c>
      <c r="AK11" s="32" t="n"/>
      <c r="AL11" s="10">
        <f>AJ11*AK11</f>
        <v/>
      </c>
      <c r="AN11" s="14" t="n">
        <v>1</v>
      </c>
      <c r="AO11" s="28" t="n"/>
      <c r="AP11" s="30" t="n"/>
      <c r="AQ11" s="9">
        <f>IFERROR(VLOOKUP(AO11,'Master List'!$A:$D,2,0),0)</f>
        <v/>
      </c>
      <c r="AR11" s="9">
        <f>IFERROR(VLOOKUP(AO11,'Master List'!$A:$D,3,0),0)</f>
        <v/>
      </c>
      <c r="AS11" s="9">
        <f>IFERROR(VLOOKUP(AO11,'Master List'!$A:$D,4,0),0)</f>
        <v/>
      </c>
      <c r="AT11" s="32" t="n"/>
      <c r="AU11" s="7">
        <f>IFERROR(AR11/AS11,0)</f>
        <v/>
      </c>
      <c r="AV11" s="8">
        <f>IFERROR(IF(AT11&lt;((1/2*AS11*AU11^2)*2),1/2*AS11*SQRT((AT11/2)*2/AS11)^2,1/2*AS11*AU11^2),0)</f>
        <v/>
      </c>
      <c r="AW11" s="9">
        <f>IFERROR(IF(AT11-AV11-AX11&lt;=0,0,AT11-AV11-AX11),0)</f>
        <v/>
      </c>
      <c r="AX11" s="10">
        <f>AV11</f>
        <v/>
      </c>
      <c r="AY11" s="8">
        <f>IFERROR(IF(AT11&lt;((1/2*AS11*AU11^2)*2),SQRT((AT11/2)*2/AS11),AU11),0)</f>
        <v/>
      </c>
      <c r="AZ11" s="9">
        <f>IFERROR(AW11/AR11,0)</f>
        <v/>
      </c>
      <c r="BA11" s="10">
        <f>AY11</f>
        <v/>
      </c>
      <c r="BB11" s="8">
        <f>IF(AQ11&gt;0,AQ11,SUM(AY11:BA11))</f>
        <v/>
      </c>
      <c r="BC11" s="32" t="n"/>
      <c r="BD11" s="10">
        <f>BB11*BC11</f>
        <v/>
      </c>
      <c r="BF11" s="14" t="n">
        <v>1</v>
      </c>
      <c r="BG11" s="28" t="n"/>
      <c r="BH11" s="30" t="n"/>
      <c r="BI11" s="9">
        <f>IFERROR(VLOOKUP(BG11,'Master List'!$A:$D,2,0),0)</f>
        <v/>
      </c>
      <c r="BJ11" s="9">
        <f>IFERROR(VLOOKUP(BG11,'Master List'!$A:$D,3,0),0)</f>
        <v/>
      </c>
      <c r="BK11" s="9">
        <f>IFERROR(VLOOKUP(BG11,'Master List'!$A:$D,4,0),0)</f>
        <v/>
      </c>
      <c r="BL11" s="32" t="n"/>
      <c r="BM11" s="7">
        <f>IFERROR(BJ11/BK11,0)</f>
        <v/>
      </c>
      <c r="BN11" s="8">
        <f>IFERROR(IF(BL11&lt;((1/2*BK11*BM11^2)*2),1/2*BK11*SQRT((BL11/2)*2/BK11)^2,1/2*BK11*BM11^2),0)</f>
        <v/>
      </c>
      <c r="BO11" s="9">
        <f>IFERROR(IF(BL11-BN11-BP11&lt;=0,0,BL11-BN11-BP11),0)</f>
        <v/>
      </c>
      <c r="BP11" s="10">
        <f>BN11</f>
        <v/>
      </c>
      <c r="BQ11" s="8">
        <f>IFERROR(IF(BL11&lt;((1/2*BK11*BM11^2)*2),SQRT((BL11/2)*2/BK11),BM11),0)</f>
        <v/>
      </c>
      <c r="BR11" s="9">
        <f>IFERROR(BO11/BJ11,0)</f>
        <v/>
      </c>
      <c r="BS11" s="10">
        <f>BQ11</f>
        <v/>
      </c>
      <c r="BT11" s="8">
        <f>IF(BI11&gt;0,BI11,SUM(BQ11:BS11))</f>
        <v/>
      </c>
      <c r="BU11" s="32" t="n"/>
      <c r="BV11" s="10">
        <f>BT11*BU11</f>
        <v/>
      </c>
    </row>
    <row r="12">
      <c r="A12" s="42" t="inlineStr">
        <is>
          <t>Unit of measure (UOM)</t>
        </is>
      </c>
      <c r="B12" s="86" t="inlineStr">
        <is>
          <t>Units</t>
        </is>
      </c>
      <c r="D12" s="14">
        <f>D11+1</f>
        <v/>
      </c>
      <c r="E12" s="87" t="inlineStr">
        <is>
          <t>Unit pick: Pick and place Unit within reach - Waist level</t>
        </is>
      </c>
      <c r="F12" s="87">
        <f>E12</f>
        <v/>
      </c>
      <c r="G12" s="9">
        <f>IFERROR(VLOOKUP(E12,'Master List'!$A:$D,2,0),0)</f>
        <v/>
      </c>
      <c r="H12" s="9">
        <f>IFERROR(VLOOKUP(E12,'Master List'!$A:$D,3,0),0)</f>
        <v/>
      </c>
      <c r="I12" s="9">
        <f>IFERROR(VLOOKUP(E12,'Master List'!$A:$D,4,0),0)</f>
        <v/>
      </c>
      <c r="J12" s="32" t="n"/>
      <c r="K12" s="7">
        <f>IFERROR(H12/I12,0)</f>
        <v/>
      </c>
      <c r="L12" s="8">
        <f>IFERROR(IF(J12&lt;((1/2*I12*K12^2)*2),1/2*I12*SQRT((J12/2)*2/I12)^2,1/2*I12*K12^2),0)</f>
        <v/>
      </c>
      <c r="M12" s="9">
        <f>IFERROR(IF(J12-L12-N12&lt;=0,0,J12-L12-N12),0)</f>
        <v/>
      </c>
      <c r="N12" s="10">
        <f>L12</f>
        <v/>
      </c>
      <c r="O12" s="8">
        <f>IFERROR(IF(J12&lt;((1/2*I12*K12^2)*2),SQRT((J12/2)*2/I12),K12),0)</f>
        <v/>
      </c>
      <c r="P12" s="9">
        <f>IFERROR(M12/H12,0)</f>
        <v/>
      </c>
      <c r="Q12" s="10">
        <f>O12</f>
        <v/>
      </c>
      <c r="R12" s="8">
        <f>IF(G12&gt;0,G12,SUM(O12:Q12))</f>
        <v/>
      </c>
      <c r="S12" s="32">
        <f>(IF(B12="Units",B24))*B22</f>
        <v/>
      </c>
      <c r="T12" s="10">
        <f>R12*S12</f>
        <v/>
      </c>
      <c r="V12" s="14">
        <f>V11+1</f>
        <v/>
      </c>
      <c r="W12" s="28" t="n"/>
      <c r="X12" s="30" t="n"/>
      <c r="Y12" s="9">
        <f>IFERROR(VLOOKUP(W12,'Master List'!$A:$D,2,0),0)</f>
        <v/>
      </c>
      <c r="Z12" s="9">
        <f>IFERROR(VLOOKUP(W12,'Master List'!$A:$D,3,0),0)</f>
        <v/>
      </c>
      <c r="AA12" s="9">
        <f>IFERROR(VLOOKUP(W12,'Master List'!$A:$D,4,0),0)</f>
        <v/>
      </c>
      <c r="AB12" s="32" t="n"/>
      <c r="AC12" s="7">
        <f>IFERROR(Z12/AA12,0)</f>
        <v/>
      </c>
      <c r="AD12" s="8">
        <f>IFERROR(IF(AB12&lt;((1/2*AA12*AC12^2)*2),1/2*AA12*SQRT((AB12/2)*2/AA12)^2,1/2*AA12*AC12^2),0)</f>
        <v/>
      </c>
      <c r="AE12" s="9">
        <f>IFERROR(IF(AB12-AD12-AF12&lt;=0,0,AB12-AD12-AF12),0)</f>
        <v/>
      </c>
      <c r="AF12" s="10">
        <f>AD12</f>
        <v/>
      </c>
      <c r="AG12" s="8">
        <f>IFERROR(IF(AB12&lt;((1/2*AA12*AC12^2)*2),SQRT((AB12/2)*2/AA12),AC12),0)</f>
        <v/>
      </c>
      <c r="AH12" s="9">
        <f>IFERROR(AE12/Z12,0)</f>
        <v/>
      </c>
      <c r="AI12" s="10">
        <f>AG12</f>
        <v/>
      </c>
      <c r="AJ12" s="8">
        <f>IF(Y12&gt;0,Y12,SUM(AG12:AI12))</f>
        <v/>
      </c>
      <c r="AK12" s="32" t="n"/>
      <c r="AL12" s="10">
        <f>AJ12*AK12</f>
        <v/>
      </c>
      <c r="AN12" s="14">
        <f>AN11+1</f>
        <v/>
      </c>
      <c r="AO12" s="28" t="n"/>
      <c r="AP12" s="30" t="n"/>
      <c r="AQ12" s="9">
        <f>IFERROR(VLOOKUP(AO12,'Master List'!$A:$D,2,0),0)</f>
        <v/>
      </c>
      <c r="AR12" s="9">
        <f>IFERROR(VLOOKUP(AO12,'Master List'!$A:$D,3,0),0)</f>
        <v/>
      </c>
      <c r="AS12" s="9">
        <f>IFERROR(VLOOKUP(AO12,'Master List'!$A:$D,4,0),0)</f>
        <v/>
      </c>
      <c r="AT12" s="32" t="n"/>
      <c r="AU12" s="7">
        <f>IFERROR(AR12/AS12,0)</f>
        <v/>
      </c>
      <c r="AV12" s="8">
        <f>IFERROR(IF(AT12&lt;((1/2*AS12*AU12^2)*2),1/2*AS12*SQRT((AT12/2)*2/AS12)^2,1/2*AS12*AU12^2),0)</f>
        <v/>
      </c>
      <c r="AW12" s="9">
        <f>IFERROR(IF(AT12-AV12-AX12&lt;=0,0,AT12-AV12-AX12),0)</f>
        <v/>
      </c>
      <c r="AX12" s="10">
        <f>AV12</f>
        <v/>
      </c>
      <c r="AY12" s="8">
        <f>IFERROR(IF(AT12&lt;((1/2*AS12*AU12^2)*2),SQRT((AT12/2)*2/AS12),AU12),0)</f>
        <v/>
      </c>
      <c r="AZ12" s="9">
        <f>IFERROR(AW12/AR12,0)</f>
        <v/>
      </c>
      <c r="BA12" s="10">
        <f>AY12</f>
        <v/>
      </c>
      <c r="BB12" s="8">
        <f>IF(AQ12&gt;0,AQ12,SUM(AY12:BA12))</f>
        <v/>
      </c>
      <c r="BC12" s="32" t="n"/>
      <c r="BD12" s="10">
        <f>BB12*BC12</f>
        <v/>
      </c>
      <c r="BF12" s="14">
        <f>BF11+1</f>
        <v/>
      </c>
      <c r="BG12" s="28" t="n"/>
      <c r="BH12" s="30" t="n"/>
      <c r="BI12" s="9">
        <f>IFERROR(VLOOKUP(BG12,'Master List'!$A:$D,2,0),0)</f>
        <v/>
      </c>
      <c r="BJ12" s="9">
        <f>IFERROR(VLOOKUP(BG12,'Master List'!$A:$D,3,0),0)</f>
        <v/>
      </c>
      <c r="BK12" s="9">
        <f>IFERROR(VLOOKUP(BG12,'Master List'!$A:$D,4,0),0)</f>
        <v/>
      </c>
      <c r="BL12" s="32" t="n"/>
      <c r="BM12" s="7">
        <f>IFERROR(BJ12/BK12,0)</f>
        <v/>
      </c>
      <c r="BN12" s="8">
        <f>IFERROR(IF(BL12&lt;((1/2*BK12*BM12^2)*2),1/2*BK12*SQRT((BL12/2)*2/BK12)^2,1/2*BK12*BM12^2),0)</f>
        <v/>
      </c>
      <c r="BO12" s="9">
        <f>IFERROR(IF(BL12-BN12-BP12&lt;=0,0,BL12-BN12-BP12),0)</f>
        <v/>
      </c>
      <c r="BP12" s="10">
        <f>BN12</f>
        <v/>
      </c>
      <c r="BQ12" s="8">
        <f>IFERROR(IF(BL12&lt;((1/2*BK12*BM12^2)*2),SQRT((BL12/2)*2/BK12),BM12),0)</f>
        <v/>
      </c>
      <c r="BR12" s="9">
        <f>IFERROR(BO12/BJ12,0)</f>
        <v/>
      </c>
      <c r="BS12" s="10">
        <f>BQ12</f>
        <v/>
      </c>
      <c r="BT12" s="8">
        <f>IF(BI12&gt;0,BI12,SUM(BQ12:BS12))</f>
        <v/>
      </c>
      <c r="BU12" s="32" t="n"/>
      <c r="BV12" s="10">
        <f>BT12*BU12</f>
        <v/>
      </c>
    </row>
    <row r="13">
      <c r="A13" s="39" t="inlineStr">
        <is>
          <t>SKU tote scanning</t>
        </is>
      </c>
      <c r="B13" s="86" t="inlineStr">
        <is>
          <t>Manual</t>
        </is>
      </c>
      <c r="D13" s="14">
        <f>D12+1</f>
        <v/>
      </c>
      <c r="E13" s="87" t="inlineStr">
        <is>
          <t>Unit pick: Pick and place Unit within reach - Shoulder or knee level</t>
        </is>
      </c>
      <c r="F13" s="87">
        <f>E13</f>
        <v/>
      </c>
      <c r="G13" s="9">
        <f>IFERROR(VLOOKUP(E13,'Master List'!$A:$D,2,0),0)</f>
        <v/>
      </c>
      <c r="H13" s="9">
        <f>IFERROR(VLOOKUP(E13,'Master List'!$A:$D,3,0),0)</f>
        <v/>
      </c>
      <c r="I13" s="9">
        <f>IFERROR(VLOOKUP(E13,'Master List'!$A:$D,4,0),0)</f>
        <v/>
      </c>
      <c r="J13" s="32" t="n"/>
      <c r="K13" s="7">
        <f>IFERROR(H13/I13,0)</f>
        <v/>
      </c>
      <c r="L13" s="8">
        <f>IFERROR(IF(J13&lt;((1/2*I13*K13^2)*2),1/2*I13*SQRT((J13/2)*2/I13)^2,1/2*I13*K13^2),0)</f>
        <v/>
      </c>
      <c r="M13" s="9">
        <f>IFERROR(IF(J13-L13-N13&lt;=0,0,J13-L13-N13),0)</f>
        <v/>
      </c>
      <c r="N13" s="10">
        <f>L13</f>
        <v/>
      </c>
      <c r="O13" s="8">
        <f>IFERROR(IF(J13&lt;((1/2*I13*K13^2)*2),SQRT((J13/2)*2/I13),K13),0)</f>
        <v/>
      </c>
      <c r="P13" s="9">
        <f>IFERROR(M13/H13,0)</f>
        <v/>
      </c>
      <c r="Q13" s="10">
        <f>O13</f>
        <v/>
      </c>
      <c r="R13" s="8">
        <f>IF(G13&gt;0,G13,SUM(O13:Q13))</f>
        <v/>
      </c>
      <c r="S13" s="32">
        <f>(IF(B12="Units",B24))*B23</f>
        <v/>
      </c>
      <c r="T13" s="10">
        <f>R13*S13</f>
        <v/>
      </c>
      <c r="V13" s="14">
        <f>V12+1</f>
        <v/>
      </c>
      <c r="W13" s="28" t="n"/>
      <c r="X13" s="30" t="n"/>
      <c r="Y13" s="9">
        <f>IFERROR(VLOOKUP(W13,'Master List'!$A:$D,2,0),0)</f>
        <v/>
      </c>
      <c r="Z13" s="9">
        <f>IFERROR(VLOOKUP(W13,'Master List'!$A:$D,3,0),0)</f>
        <v/>
      </c>
      <c r="AA13" s="9">
        <f>IFERROR(VLOOKUP(W13,'Master List'!$A:$D,4,0),0)</f>
        <v/>
      </c>
      <c r="AB13" s="32" t="n"/>
      <c r="AC13" s="7">
        <f>IFERROR(Z13/AA13,0)</f>
        <v/>
      </c>
      <c r="AD13" s="8">
        <f>IFERROR(IF(AB13&lt;((1/2*AA13*AC13^2)*2),1/2*AA13*SQRT((AB13/2)*2/AA13)^2,1/2*AA13*AC13^2),0)</f>
        <v/>
      </c>
      <c r="AE13" s="9">
        <f>IFERROR(IF(AB13-AD13-AF13&lt;=0,0,AB13-AD13-AF13),0)</f>
        <v/>
      </c>
      <c r="AF13" s="10">
        <f>AD13</f>
        <v/>
      </c>
      <c r="AG13" s="8">
        <f>IFERROR(IF(AB13&lt;((1/2*AA13*AC13^2)*2),SQRT((AB13/2)*2/AA13),AC13),0)</f>
        <v/>
      </c>
      <c r="AH13" s="9">
        <f>IFERROR(AE13/Z13,0)</f>
        <v/>
      </c>
      <c r="AI13" s="10">
        <f>AG13</f>
        <v/>
      </c>
      <c r="AJ13" s="8">
        <f>IF(Y13&gt;0,Y13,SUM(AG13:AI13))</f>
        <v/>
      </c>
      <c r="AK13" s="32" t="n"/>
      <c r="AL13" s="10">
        <f>AJ13*AK13</f>
        <v/>
      </c>
      <c r="AN13" s="14">
        <f>AN12+1</f>
        <v/>
      </c>
      <c r="AO13" s="28" t="n"/>
      <c r="AP13" s="30" t="n"/>
      <c r="AQ13" s="9">
        <f>IFERROR(VLOOKUP(AO13,'Master List'!$A:$D,2,0),0)</f>
        <v/>
      </c>
      <c r="AR13" s="9">
        <f>IFERROR(VLOOKUP(AO13,'Master List'!$A:$D,3,0),0)</f>
        <v/>
      </c>
      <c r="AS13" s="9">
        <f>IFERROR(VLOOKUP(AO13,'Master List'!$A:$D,4,0),0)</f>
        <v/>
      </c>
      <c r="AT13" s="32" t="n"/>
      <c r="AU13" s="7">
        <f>IFERROR(AR13/AS13,0)</f>
        <v/>
      </c>
      <c r="AV13" s="8">
        <f>IFERROR(IF(AT13&lt;((1/2*AS13*AU13^2)*2),1/2*AS13*SQRT((AT13/2)*2/AS13)^2,1/2*AS13*AU13^2),0)</f>
        <v/>
      </c>
      <c r="AW13" s="9">
        <f>IFERROR(IF(AT13-AV13-AX13&lt;=0,0,AT13-AV13-AX13),0)</f>
        <v/>
      </c>
      <c r="AX13" s="10">
        <f>AV13</f>
        <v/>
      </c>
      <c r="AY13" s="8">
        <f>IFERROR(IF(AT13&lt;((1/2*AS13*AU13^2)*2),SQRT((AT13/2)*2/AS13),AU13),0)</f>
        <v/>
      </c>
      <c r="AZ13" s="9">
        <f>IFERROR(AW13/AR13,0)</f>
        <v/>
      </c>
      <c r="BA13" s="10">
        <f>AY13</f>
        <v/>
      </c>
      <c r="BB13" s="8">
        <f>IF(AQ13&gt;0,AQ13,SUM(AY13:BA13))</f>
        <v/>
      </c>
      <c r="BC13" s="32" t="n"/>
      <c r="BD13" s="10">
        <f>BB13*BC13</f>
        <v/>
      </c>
      <c r="BF13" s="14">
        <f>BF12+1</f>
        <v/>
      </c>
      <c r="BG13" s="28" t="n"/>
      <c r="BH13" s="30" t="n"/>
      <c r="BI13" s="9">
        <f>IFERROR(VLOOKUP(BG13,'Master List'!$A:$D,2,0),0)</f>
        <v/>
      </c>
      <c r="BJ13" s="9">
        <f>IFERROR(VLOOKUP(BG13,'Master List'!$A:$D,3,0),0)</f>
        <v/>
      </c>
      <c r="BK13" s="9">
        <f>IFERROR(VLOOKUP(BG13,'Master List'!$A:$D,4,0),0)</f>
        <v/>
      </c>
      <c r="BL13" s="32" t="n"/>
      <c r="BM13" s="7">
        <f>IFERROR(BJ13/BK13,0)</f>
        <v/>
      </c>
      <c r="BN13" s="8">
        <f>IFERROR(IF(BL13&lt;((1/2*BK13*BM13^2)*2),1/2*BK13*SQRT((BL13/2)*2/BK13)^2,1/2*BK13*BM13^2),0)</f>
        <v/>
      </c>
      <c r="BO13" s="9">
        <f>IFERROR(IF(BL13-BN13-BP13&lt;=0,0,BL13-BN13-BP13),0)</f>
        <v/>
      </c>
      <c r="BP13" s="10">
        <f>BN13</f>
        <v/>
      </c>
      <c r="BQ13" s="8">
        <f>IFERROR(IF(BL13&lt;((1/2*BK13*BM13^2)*2),SQRT((BL13/2)*2/BK13),BM13),0)</f>
        <v/>
      </c>
      <c r="BR13" s="9">
        <f>IFERROR(BO13/BJ13,0)</f>
        <v/>
      </c>
      <c r="BS13" s="10">
        <f>BQ13</f>
        <v/>
      </c>
      <c r="BT13" s="8">
        <f>IF(BI13&gt;0,BI13,SUM(BQ13:BS13))</f>
        <v/>
      </c>
      <c r="BU13" s="32" t="n"/>
      <c r="BV13" s="10">
        <f>BT13*BU13</f>
        <v/>
      </c>
    </row>
    <row r="14">
      <c r="A14" s="39" t="inlineStr">
        <is>
          <t>90 degree turn to put?</t>
        </is>
      </c>
      <c r="B14" s="86" t="inlineStr">
        <is>
          <t>Yes</t>
        </is>
      </c>
      <c r="D14" s="14">
        <f>D13+1</f>
        <v/>
      </c>
      <c r="E14" s="87" t="inlineStr">
        <is>
          <t>Pick and place Cases within reach - Waist level</t>
        </is>
      </c>
      <c r="F14" s="87">
        <f>E14</f>
        <v/>
      </c>
      <c r="G14" s="9">
        <f>IFERROR(VLOOKUP(E14,'Master List'!$A:$D,2,0),0)</f>
        <v/>
      </c>
      <c r="H14" s="9">
        <f>IFERROR(VLOOKUP(E14,'Master List'!$A:$D,3,0),0)</f>
        <v/>
      </c>
      <c r="I14" s="9">
        <f>IFERROR(VLOOKUP(E14,'Master List'!$A:$D,4,0),0)</f>
        <v/>
      </c>
      <c r="J14" s="32" t="n"/>
      <c r="K14" s="7">
        <f>IFERROR(H14/I14,0)</f>
        <v/>
      </c>
      <c r="L14" s="8">
        <f>IFERROR(IF(J14&lt;((1/2*I14*K14^2)*2),1/2*I14*SQRT((J14/2)*2/I14)^2,1/2*I14*K14^2),0)</f>
        <v/>
      </c>
      <c r="M14" s="9">
        <f>IFERROR(IF(J14-L14-N14&lt;=0,0,J14-L14-N14),0)</f>
        <v/>
      </c>
      <c r="N14" s="10">
        <f>L14</f>
        <v/>
      </c>
      <c r="O14" s="8">
        <f>IFERROR(IF(J14&lt;((1/2*I14*K14^2)*2),SQRT((J14/2)*2/I14),K14),0)</f>
        <v/>
      </c>
      <c r="P14" s="9">
        <f>IFERROR(M14/H14,0)</f>
        <v/>
      </c>
      <c r="Q14" s="10">
        <f>O14</f>
        <v/>
      </c>
      <c r="R14" s="8">
        <f>IF(G14&gt;0,G14,SUM(O14:Q14))</f>
        <v/>
      </c>
      <c r="S14" s="32">
        <f>(IF(B12="Cases",B25))*B22</f>
        <v/>
      </c>
      <c r="T14" s="10">
        <f>R14*S14</f>
        <v/>
      </c>
      <c r="V14" s="14">
        <f>V13+1</f>
        <v/>
      </c>
      <c r="W14" s="28" t="n"/>
      <c r="X14" s="30" t="n"/>
      <c r="Y14" s="9">
        <f>IFERROR(VLOOKUP(W14,'Master List'!$A:$D,2,0),0)</f>
        <v/>
      </c>
      <c r="Z14" s="9">
        <f>IFERROR(VLOOKUP(W14,'Master List'!$A:$D,3,0),0)</f>
        <v/>
      </c>
      <c r="AA14" s="9">
        <f>IFERROR(VLOOKUP(W14,'Master List'!$A:$D,4,0),0)</f>
        <v/>
      </c>
      <c r="AB14" s="32" t="n"/>
      <c r="AC14" s="7">
        <f>IFERROR(Z14/AA14,0)</f>
        <v/>
      </c>
      <c r="AD14" s="8">
        <f>IFERROR(IF(AB14&lt;((1/2*AA14*AC14^2)*2),1/2*AA14*SQRT((AB14/2)*2/AA14)^2,1/2*AA14*AC14^2),0)</f>
        <v/>
      </c>
      <c r="AE14" s="9">
        <f>IFERROR(IF(AB14-AD14-AF14&lt;=0,0,AB14-AD14-AF14),0)</f>
        <v/>
      </c>
      <c r="AF14" s="10">
        <f>AD14</f>
        <v/>
      </c>
      <c r="AG14" s="8">
        <f>IFERROR(IF(AB14&lt;((1/2*AA14*AC14^2)*2),SQRT((AB14/2)*2/AA14),AC14),0)</f>
        <v/>
      </c>
      <c r="AH14" s="9">
        <f>IFERROR(AE14/Z14,0)</f>
        <v/>
      </c>
      <c r="AI14" s="10">
        <f>AG14</f>
        <v/>
      </c>
      <c r="AJ14" s="8">
        <f>IF(Y14&gt;0,Y14,SUM(AG14:AI14))</f>
        <v/>
      </c>
      <c r="AK14" s="32" t="n"/>
      <c r="AL14" s="10">
        <f>AJ14*AK14</f>
        <v/>
      </c>
      <c r="AN14" s="14">
        <f>AN13+1</f>
        <v/>
      </c>
      <c r="AO14" s="28" t="n"/>
      <c r="AP14" s="30" t="n"/>
      <c r="AQ14" s="9">
        <f>IFERROR(VLOOKUP(AO14,'Master List'!$A:$D,2,0),0)</f>
        <v/>
      </c>
      <c r="AR14" s="9">
        <f>IFERROR(VLOOKUP(AO14,'Master List'!$A:$D,3,0),0)</f>
        <v/>
      </c>
      <c r="AS14" s="9">
        <f>IFERROR(VLOOKUP(AO14,'Master List'!$A:$D,4,0),0)</f>
        <v/>
      </c>
      <c r="AT14" s="32" t="n"/>
      <c r="AU14" s="7">
        <f>IFERROR(AR14/AS14,0)</f>
        <v/>
      </c>
      <c r="AV14" s="8">
        <f>IFERROR(IF(AT14&lt;((1/2*AS14*AU14^2)*2),1/2*AS14*SQRT((AT14/2)*2/AS14)^2,1/2*AS14*AU14^2),0)</f>
        <v/>
      </c>
      <c r="AW14" s="9">
        <f>IFERROR(IF(AT14-AV14-AX14&lt;=0,0,AT14-AV14-AX14),0)</f>
        <v/>
      </c>
      <c r="AX14" s="10">
        <f>AV14</f>
        <v/>
      </c>
      <c r="AY14" s="8">
        <f>IFERROR(IF(AT14&lt;((1/2*AS14*AU14^2)*2),SQRT((AT14/2)*2/AS14),AU14),0)</f>
        <v/>
      </c>
      <c r="AZ14" s="9">
        <f>IFERROR(AW14/AR14,0)</f>
        <v/>
      </c>
      <c r="BA14" s="10">
        <f>AY14</f>
        <v/>
      </c>
      <c r="BB14" s="8">
        <f>IF(AQ14&gt;0,AQ14,SUM(AY14:BA14))</f>
        <v/>
      </c>
      <c r="BC14" s="32" t="n"/>
      <c r="BD14" s="10">
        <f>BB14*BC14</f>
        <v/>
      </c>
      <c r="BF14" s="14">
        <f>BF13+1</f>
        <v/>
      </c>
      <c r="BG14" s="28" t="n"/>
      <c r="BH14" s="30" t="n"/>
      <c r="BI14" s="9">
        <f>IFERROR(VLOOKUP(BG14,'Master List'!$A:$D,2,0),0)</f>
        <v/>
      </c>
      <c r="BJ14" s="9">
        <f>IFERROR(VLOOKUP(BG14,'Master List'!$A:$D,3,0),0)</f>
        <v/>
      </c>
      <c r="BK14" s="9">
        <f>IFERROR(VLOOKUP(BG14,'Master List'!$A:$D,4,0),0)</f>
        <v/>
      </c>
      <c r="BL14" s="32" t="n"/>
      <c r="BM14" s="7">
        <f>IFERROR(BJ14/BK14,0)</f>
        <v/>
      </c>
      <c r="BN14" s="8">
        <f>IFERROR(IF(BL14&lt;((1/2*BK14*BM14^2)*2),1/2*BK14*SQRT((BL14/2)*2/BK14)^2,1/2*BK14*BM14^2),0)</f>
        <v/>
      </c>
      <c r="BO14" s="9">
        <f>IFERROR(IF(BL14-BN14-BP14&lt;=0,0,BL14-BN14-BP14),0)</f>
        <v/>
      </c>
      <c r="BP14" s="10">
        <f>BN14</f>
        <v/>
      </c>
      <c r="BQ14" s="8">
        <f>IFERROR(IF(BL14&lt;((1/2*BK14*BM14^2)*2),SQRT((BL14/2)*2/BK14),BM14),0)</f>
        <v/>
      </c>
      <c r="BR14" s="9">
        <f>IFERROR(BO14/BJ14,0)</f>
        <v/>
      </c>
      <c r="BS14" s="10">
        <f>BQ14</f>
        <v/>
      </c>
      <c r="BT14" s="8">
        <f>IF(BI14&gt;0,BI14,SUM(BQ14:BS14))</f>
        <v/>
      </c>
      <c r="BU14" s="32" t="n"/>
      <c r="BV14" s="10">
        <f>BT14*BU14</f>
        <v/>
      </c>
    </row>
    <row r="15">
      <c r="A15" s="39" t="inlineStr">
        <is>
          <t>Using trolley for pick tour?</t>
        </is>
      </c>
      <c r="B15" s="86" t="inlineStr">
        <is>
          <t>Yes</t>
        </is>
      </c>
      <c r="D15" s="14">
        <f>D14+1</f>
        <v/>
      </c>
      <c r="E15" s="87" t="inlineStr">
        <is>
          <t>Pick and place Cases within reach - Shoulder or knee level</t>
        </is>
      </c>
      <c r="F15" s="87">
        <f>E15</f>
        <v/>
      </c>
      <c r="G15" s="9">
        <f>IFERROR(VLOOKUP(E15,'Master List'!$A:$D,2,0),0)</f>
        <v/>
      </c>
      <c r="H15" s="9">
        <f>IFERROR(VLOOKUP(E15,'Master List'!$A:$D,3,0),0)</f>
        <v/>
      </c>
      <c r="I15" s="9">
        <f>IFERROR(VLOOKUP(E15,'Master List'!$A:$D,4,0),0)</f>
        <v/>
      </c>
      <c r="J15" s="32" t="n"/>
      <c r="K15" s="7">
        <f>IFERROR(H15/I15,0)</f>
        <v/>
      </c>
      <c r="L15" s="8">
        <f>IFERROR(IF(J15&lt;((1/2*I15*K15^2)*2),1/2*I15*SQRT((J15/2)*2/I15)^2,1/2*I15*K15^2),0)</f>
        <v/>
      </c>
      <c r="M15" s="9">
        <f>IFERROR(IF(J15-L15-N15&lt;=0,0,J15-L15-N15),0)</f>
        <v/>
      </c>
      <c r="N15" s="10">
        <f>L15</f>
        <v/>
      </c>
      <c r="O15" s="8">
        <f>IFERROR(IF(J15&lt;((1/2*I15*K15^2)*2),SQRT((J15/2)*2/I15),K15),0)</f>
        <v/>
      </c>
      <c r="P15" s="9">
        <f>IFERROR(M15/H15,0)</f>
        <v/>
      </c>
      <c r="Q15" s="10">
        <f>O15</f>
        <v/>
      </c>
      <c r="R15" s="8">
        <f>IF(G15&gt;0,G15,SUM(O15:Q15))</f>
        <v/>
      </c>
      <c r="S15" s="32">
        <f>(IF(B12="Cases",B25))*B23</f>
        <v/>
      </c>
      <c r="T15" s="10">
        <f>R15*S15</f>
        <v/>
      </c>
      <c r="V15" s="14">
        <f>V14+1</f>
        <v/>
      </c>
      <c r="W15" s="28" t="n"/>
      <c r="X15" s="30" t="n"/>
      <c r="Y15" s="9">
        <f>IFERROR(VLOOKUP(W15,'Master List'!$A:$D,2,0),0)</f>
        <v/>
      </c>
      <c r="Z15" s="9">
        <f>IFERROR(VLOOKUP(W15,'Master List'!$A:$D,3,0),0)</f>
        <v/>
      </c>
      <c r="AA15" s="9">
        <f>IFERROR(VLOOKUP(W15,'Master List'!$A:$D,4,0),0)</f>
        <v/>
      </c>
      <c r="AB15" s="32" t="n"/>
      <c r="AC15" s="7">
        <f>IFERROR(Z15/AA15,0)</f>
        <v/>
      </c>
      <c r="AD15" s="8">
        <f>IFERROR(IF(AB15&lt;((1/2*AA15*AC15^2)*2),1/2*AA15*SQRT((AB15/2)*2/AA15)^2,1/2*AA15*AC15^2),0)</f>
        <v/>
      </c>
      <c r="AE15" s="9">
        <f>IFERROR(IF(AB15-AD15-AF15&lt;=0,0,AB15-AD15-AF15),0)</f>
        <v/>
      </c>
      <c r="AF15" s="10">
        <f>AD15</f>
        <v/>
      </c>
      <c r="AG15" s="8">
        <f>IFERROR(IF(AB15&lt;((1/2*AA15*AC15^2)*2),SQRT((AB15/2)*2/AA15),AC15),0)</f>
        <v/>
      </c>
      <c r="AH15" s="9">
        <f>IFERROR(AE15/Z15,0)</f>
        <v/>
      </c>
      <c r="AI15" s="10">
        <f>AG15</f>
        <v/>
      </c>
      <c r="AJ15" s="8">
        <f>IF(Y15&gt;0,Y15,SUM(AG15:AI15))</f>
        <v/>
      </c>
      <c r="AK15" s="32" t="n"/>
      <c r="AL15" s="10">
        <f>AJ15*AK15</f>
        <v/>
      </c>
      <c r="AN15" s="14">
        <f>AN14+1</f>
        <v/>
      </c>
      <c r="AO15" s="28" t="n"/>
      <c r="AP15" s="30" t="n"/>
      <c r="AQ15" s="9">
        <f>IFERROR(VLOOKUP(AO15,'Master List'!$A:$D,2,0),0)</f>
        <v/>
      </c>
      <c r="AR15" s="9">
        <f>IFERROR(VLOOKUP(AO15,'Master List'!$A:$D,3,0),0)</f>
        <v/>
      </c>
      <c r="AS15" s="9">
        <f>IFERROR(VLOOKUP(AO15,'Master List'!$A:$D,4,0),0)</f>
        <v/>
      </c>
      <c r="AT15" s="32" t="n"/>
      <c r="AU15" s="7">
        <f>IFERROR(AR15/AS15,0)</f>
        <v/>
      </c>
      <c r="AV15" s="8">
        <f>IFERROR(IF(AT15&lt;((1/2*AS15*AU15^2)*2),1/2*AS15*SQRT((AT15/2)*2/AS15)^2,1/2*AS15*AU15^2),0)</f>
        <v/>
      </c>
      <c r="AW15" s="9">
        <f>IFERROR(IF(AT15-AV15-AX15&lt;=0,0,AT15-AV15-AX15),0)</f>
        <v/>
      </c>
      <c r="AX15" s="10">
        <f>AV15</f>
        <v/>
      </c>
      <c r="AY15" s="8">
        <f>IFERROR(IF(AT15&lt;((1/2*AS15*AU15^2)*2),SQRT((AT15/2)*2/AS15),AU15),0)</f>
        <v/>
      </c>
      <c r="AZ15" s="9">
        <f>IFERROR(AW15/AR15,0)</f>
        <v/>
      </c>
      <c r="BA15" s="10">
        <f>AY15</f>
        <v/>
      </c>
      <c r="BB15" s="8">
        <f>IF(AQ15&gt;0,AQ15,SUM(AY15:BA15))</f>
        <v/>
      </c>
      <c r="BC15" s="32" t="n"/>
      <c r="BD15" s="10">
        <f>BB15*BC15</f>
        <v/>
      </c>
      <c r="BF15" s="14">
        <f>BF14+1</f>
        <v/>
      </c>
      <c r="BG15" s="28" t="n"/>
      <c r="BH15" s="30" t="n"/>
      <c r="BI15" s="9">
        <f>IFERROR(VLOOKUP(BG15,'Master List'!$A:$D,2,0),0)</f>
        <v/>
      </c>
      <c r="BJ15" s="9">
        <f>IFERROR(VLOOKUP(BG15,'Master List'!$A:$D,3,0),0)</f>
        <v/>
      </c>
      <c r="BK15" s="9">
        <f>IFERROR(VLOOKUP(BG15,'Master List'!$A:$D,4,0),0)</f>
        <v/>
      </c>
      <c r="BL15" s="32" t="n"/>
      <c r="BM15" s="7">
        <f>IFERROR(BJ15/BK15,0)</f>
        <v/>
      </c>
      <c r="BN15" s="8">
        <f>IFERROR(IF(BL15&lt;((1/2*BK15*BM15^2)*2),1/2*BK15*SQRT((BL15/2)*2/BK15)^2,1/2*BK15*BM15^2),0)</f>
        <v/>
      </c>
      <c r="BO15" s="9">
        <f>IFERROR(IF(BL15-BN15-BP15&lt;=0,0,BL15-BN15-BP15),0)</f>
        <v/>
      </c>
      <c r="BP15" s="10">
        <f>BN15</f>
        <v/>
      </c>
      <c r="BQ15" s="8">
        <f>IFERROR(IF(BL15&lt;((1/2*BK15*BM15^2)*2),SQRT((BL15/2)*2/BK15),BM15),0)</f>
        <v/>
      </c>
      <c r="BR15" s="9">
        <f>IFERROR(BO15/BJ15,0)</f>
        <v/>
      </c>
      <c r="BS15" s="10">
        <f>BQ15</f>
        <v/>
      </c>
      <c r="BT15" s="8">
        <f>IF(BI15&gt;0,BI15,SUM(BQ15:BS15))</f>
        <v/>
      </c>
      <c r="BU15" s="32" t="n"/>
      <c r="BV15" s="10">
        <f>BT15*BU15</f>
        <v/>
      </c>
    </row>
    <row r="16">
      <c r="A16" s="39" t="inlineStr">
        <is>
          <t>Total pick/ put tour distance with trolley (m)</t>
        </is>
      </c>
      <c r="B16" s="86" t="n">
        <v>9</v>
      </c>
      <c r="D16" s="14">
        <f>D15+1</f>
        <v/>
      </c>
      <c r="E16" s="28" t="inlineStr">
        <is>
          <t>Drag or push tote/ carton on conveyor</t>
        </is>
      </c>
      <c r="F16" s="28" t="inlineStr">
        <is>
          <t>Get SKU tote on trolley</t>
        </is>
      </c>
      <c r="G16" s="9">
        <f>IFERROR(VLOOKUP(E16,'Master List'!$A:$D,2,0),0)</f>
        <v/>
      </c>
      <c r="H16" s="9">
        <f>IFERROR(VLOOKUP(E16,'Master List'!$A:$D,3,0),0)</f>
        <v/>
      </c>
      <c r="I16" s="9">
        <f>IFERROR(VLOOKUP(E16,'Master List'!$A:$D,4,0),0)</f>
        <v/>
      </c>
      <c r="J16" s="32" t="n"/>
      <c r="K16" s="7">
        <f>IFERROR(H16/I16,0)</f>
        <v/>
      </c>
      <c r="L16" s="8">
        <f>IFERROR(IF(J16&lt;((1/2*I16*K16^2)*2),1/2*I16*SQRT((J16/2)*2/I16)^2,1/2*I16*K16^2),0)</f>
        <v/>
      </c>
      <c r="M16" s="9">
        <f>IFERROR(IF(J16-L16-N16&lt;=0,0,J16-L16-N16),0)</f>
        <v/>
      </c>
      <c r="N16" s="10">
        <f>L16</f>
        <v/>
      </c>
      <c r="O16" s="8">
        <f>IFERROR(IF(J16&lt;((1/2*I16*K16^2)*2),SQRT((J16/2)*2/I16),K16),0)</f>
        <v/>
      </c>
      <c r="P16" s="9">
        <f>IFERROR(M16/H16,0)</f>
        <v/>
      </c>
      <c r="Q16" s="10">
        <f>O16</f>
        <v/>
      </c>
      <c r="R16" s="8">
        <f>IF(G16&gt;0,G16,SUM(O16:Q16))</f>
        <v/>
      </c>
      <c r="S16" s="32">
        <f>IF(B15="Yes",1,0)</f>
        <v/>
      </c>
      <c r="T16" s="10">
        <f>R16*S16</f>
        <v/>
      </c>
      <c r="V16" s="14">
        <f>V15+1</f>
        <v/>
      </c>
      <c r="W16" s="28" t="n"/>
      <c r="X16" s="30" t="n"/>
      <c r="Y16" s="9">
        <f>IFERROR(VLOOKUP(W16,'Master List'!$A:$D,2,0),0)</f>
        <v/>
      </c>
      <c r="Z16" s="9">
        <f>IFERROR(VLOOKUP(W16,'Master List'!$A:$D,3,0),0)</f>
        <v/>
      </c>
      <c r="AA16" s="9">
        <f>IFERROR(VLOOKUP(W16,'Master List'!$A:$D,4,0),0)</f>
        <v/>
      </c>
      <c r="AB16" s="32" t="n"/>
      <c r="AC16" s="7">
        <f>IFERROR(Z16/AA16,0)</f>
        <v/>
      </c>
      <c r="AD16" s="8">
        <f>IFERROR(IF(AB16&lt;((1/2*AA16*AC16^2)*2),1/2*AA16*SQRT((AB16/2)*2/AA16)^2,1/2*AA16*AC16^2),0)</f>
        <v/>
      </c>
      <c r="AE16" s="9">
        <f>IFERROR(IF(AB16-AD16-AF16&lt;=0,0,AB16-AD16-AF16),0)</f>
        <v/>
      </c>
      <c r="AF16" s="10">
        <f>AD16</f>
        <v/>
      </c>
      <c r="AG16" s="8">
        <f>IFERROR(IF(AB16&lt;((1/2*AA16*AC16^2)*2),SQRT((AB16/2)*2/AA16),AC16),0)</f>
        <v/>
      </c>
      <c r="AH16" s="9">
        <f>IFERROR(AE16/Z16,0)</f>
        <v/>
      </c>
      <c r="AI16" s="10">
        <f>AG16</f>
        <v/>
      </c>
      <c r="AJ16" s="8">
        <f>IF(Y16&gt;0,Y16,SUM(AG16:AI16))</f>
        <v/>
      </c>
      <c r="AK16" s="32" t="n"/>
      <c r="AL16" s="10">
        <f>AJ16*AK16</f>
        <v/>
      </c>
      <c r="AN16" s="14">
        <f>AN15+1</f>
        <v/>
      </c>
      <c r="AO16" s="28" t="n"/>
      <c r="AP16" s="30" t="n"/>
      <c r="AQ16" s="9">
        <f>IFERROR(VLOOKUP(AO16,'Master List'!$A:$D,2,0),0)</f>
        <v/>
      </c>
      <c r="AR16" s="9">
        <f>IFERROR(VLOOKUP(AO16,'Master List'!$A:$D,3,0),0)</f>
        <v/>
      </c>
      <c r="AS16" s="9">
        <f>IFERROR(VLOOKUP(AO16,'Master List'!$A:$D,4,0),0)</f>
        <v/>
      </c>
      <c r="AT16" s="32" t="n"/>
      <c r="AU16" s="7">
        <f>IFERROR(AR16/AS16,0)</f>
        <v/>
      </c>
      <c r="AV16" s="8">
        <f>IFERROR(IF(AT16&lt;((1/2*AS16*AU16^2)*2),1/2*AS16*SQRT((AT16/2)*2/AS16)^2,1/2*AS16*AU16^2),0)</f>
        <v/>
      </c>
      <c r="AW16" s="9">
        <f>IFERROR(IF(AT16-AV16-AX16&lt;=0,0,AT16-AV16-AX16),0)</f>
        <v/>
      </c>
      <c r="AX16" s="10">
        <f>AV16</f>
        <v/>
      </c>
      <c r="AY16" s="8">
        <f>IFERROR(IF(AT16&lt;((1/2*AS16*AU16^2)*2),SQRT((AT16/2)*2/AS16),AU16),0)</f>
        <v/>
      </c>
      <c r="AZ16" s="9">
        <f>IFERROR(AW16/AR16,0)</f>
        <v/>
      </c>
      <c r="BA16" s="10">
        <f>AY16</f>
        <v/>
      </c>
      <c r="BB16" s="8">
        <f>IF(AQ16&gt;0,AQ16,SUM(AY16:BA16))</f>
        <v/>
      </c>
      <c r="BC16" s="32" t="n"/>
      <c r="BD16" s="10">
        <f>BB16*BC16</f>
        <v/>
      </c>
      <c r="BF16" s="14">
        <f>BF15+1</f>
        <v/>
      </c>
      <c r="BG16" s="28" t="n"/>
      <c r="BH16" s="30" t="n"/>
      <c r="BI16" s="9">
        <f>IFERROR(VLOOKUP(BG16,'Master List'!$A:$D,2,0),0)</f>
        <v/>
      </c>
      <c r="BJ16" s="9">
        <f>IFERROR(VLOOKUP(BG16,'Master List'!$A:$D,3,0),0)</f>
        <v/>
      </c>
      <c r="BK16" s="9">
        <f>IFERROR(VLOOKUP(BG16,'Master List'!$A:$D,4,0),0)</f>
        <v/>
      </c>
      <c r="BL16" s="32" t="n"/>
      <c r="BM16" s="7">
        <f>IFERROR(BJ16/BK16,0)</f>
        <v/>
      </c>
      <c r="BN16" s="8">
        <f>IFERROR(IF(BL16&lt;((1/2*BK16*BM16^2)*2),1/2*BK16*SQRT((BL16/2)*2/BK16)^2,1/2*BK16*BM16^2),0)</f>
        <v/>
      </c>
      <c r="BO16" s="9">
        <f>IFERROR(IF(BL16-BN16-BP16&lt;=0,0,BL16-BN16-BP16),0)</f>
        <v/>
      </c>
      <c r="BP16" s="10">
        <f>BN16</f>
        <v/>
      </c>
      <c r="BQ16" s="8">
        <f>IFERROR(IF(BL16&lt;((1/2*BK16*BM16^2)*2),SQRT((BL16/2)*2/BK16),BM16),0)</f>
        <v/>
      </c>
      <c r="BR16" s="9">
        <f>IFERROR(BO16/BJ16,0)</f>
        <v/>
      </c>
      <c r="BS16" s="10">
        <f>BQ16</f>
        <v/>
      </c>
      <c r="BT16" s="8">
        <f>IF(BI16&gt;0,BI16,SUM(BQ16:BS16))</f>
        <v/>
      </c>
      <c r="BU16" s="32" t="n"/>
      <c r="BV16" s="10">
        <f>BT16*BU16</f>
        <v/>
      </c>
    </row>
    <row r="17">
      <c r="A17" s="39" t="inlineStr">
        <is>
          <t>Total pick/ put tour: per pick/ put (m) (Without trolley)</t>
        </is>
      </c>
      <c r="B17" s="86" t="n">
        <v>3</v>
      </c>
      <c r="D17" s="14">
        <f>D16+1</f>
        <v/>
      </c>
      <c r="E17" s="90" t="inlineStr">
        <is>
          <t>Walking Speed</t>
        </is>
      </c>
      <c r="F17" s="90" t="inlineStr">
        <is>
          <t>Total pick/ put tour walking distance</t>
        </is>
      </c>
      <c r="G17" s="9">
        <f>IFERROR(VLOOKUP(E17,'Master List'!$A:$D,2,0),0)</f>
        <v/>
      </c>
      <c r="H17" s="9">
        <f>IFERROR(VLOOKUP(E17,'Master List'!$A:$D,3,0),0)</f>
        <v/>
      </c>
      <c r="I17" s="9">
        <f>IFERROR(VLOOKUP(E17,'Master List'!$A:$D,4,0),0)</f>
        <v/>
      </c>
      <c r="J17" s="32">
        <f>B16</f>
        <v/>
      </c>
      <c r="K17" s="7">
        <f>IFERROR(H17/I17,0)</f>
        <v/>
      </c>
      <c r="L17" s="8">
        <f>IFERROR(IF(J17&lt;((1/2*I17*K17^2)*2),1/2*I17*SQRT((J17/2)*2/I17)^2,1/2*I17*K17^2),0)</f>
        <v/>
      </c>
      <c r="M17" s="9">
        <f>IFERROR(IF(J17-L17-N17&lt;=0,0,J17-L17-N17),0)</f>
        <v/>
      </c>
      <c r="N17" s="10">
        <f>L17</f>
        <v/>
      </c>
      <c r="O17" s="8">
        <f>IFERROR(IF(J17&lt;((1/2*I17*K17^2)*2),SQRT((J17/2)*2/I17),K17),0)</f>
        <v/>
      </c>
      <c r="P17" s="9">
        <f>IFERROR(M17/H17,0)</f>
        <v/>
      </c>
      <c r="Q17" s="10">
        <f>O17</f>
        <v/>
      </c>
      <c r="R17" s="8">
        <f>IF(G17&gt;0,G17,SUM(O17:Q17))</f>
        <v/>
      </c>
      <c r="S17" s="32">
        <f>IF(B15="Yes",1,0)</f>
        <v/>
      </c>
      <c r="T17" s="10">
        <f>R17*S17</f>
        <v/>
      </c>
      <c r="V17" s="14">
        <f>V16+1</f>
        <v/>
      </c>
      <c r="W17" s="28" t="n"/>
      <c r="X17" s="30" t="n"/>
      <c r="Y17" s="9">
        <f>IFERROR(VLOOKUP(W17,'Master List'!$A:$D,2,0),0)</f>
        <v/>
      </c>
      <c r="Z17" s="9">
        <f>IFERROR(VLOOKUP(W17,'Master List'!$A:$D,3,0),0)</f>
        <v/>
      </c>
      <c r="AA17" s="9">
        <f>IFERROR(VLOOKUP(W17,'Master List'!$A:$D,4,0),0)</f>
        <v/>
      </c>
      <c r="AB17" s="32" t="n"/>
      <c r="AC17" s="7">
        <f>IFERROR(Z17/AA17,0)</f>
        <v/>
      </c>
      <c r="AD17" s="8">
        <f>IFERROR(IF(AB17&lt;((1/2*AA17*AC17^2)*2),1/2*AA17*SQRT((AB17/2)*2/AA17)^2,1/2*AA17*AC17^2),0)</f>
        <v/>
      </c>
      <c r="AE17" s="9">
        <f>IFERROR(IF(AB17-AD17-AF17&lt;=0,0,AB17-AD17-AF17),0)</f>
        <v/>
      </c>
      <c r="AF17" s="10">
        <f>AD17</f>
        <v/>
      </c>
      <c r="AG17" s="8">
        <f>IFERROR(IF(AB17&lt;((1/2*AA17*AC17^2)*2),SQRT((AB17/2)*2/AA17),AC17),0)</f>
        <v/>
      </c>
      <c r="AH17" s="9">
        <f>IFERROR(AE17/Z17,0)</f>
        <v/>
      </c>
      <c r="AI17" s="10">
        <f>AG17</f>
        <v/>
      </c>
      <c r="AJ17" s="8">
        <f>IF(Y17&gt;0,Y17,SUM(AG17:AI17))</f>
        <v/>
      </c>
      <c r="AK17" s="32" t="n"/>
      <c r="AL17" s="10">
        <f>AJ17*AK17</f>
        <v/>
      </c>
      <c r="AN17" s="14">
        <f>AN16+1</f>
        <v/>
      </c>
      <c r="AO17" s="28" t="n"/>
      <c r="AP17" s="30" t="n"/>
      <c r="AQ17" s="9">
        <f>IFERROR(VLOOKUP(AO17,'Master List'!$A:$D,2,0),0)</f>
        <v/>
      </c>
      <c r="AR17" s="9">
        <f>IFERROR(VLOOKUP(AO17,'Master List'!$A:$D,3,0),0)</f>
        <v/>
      </c>
      <c r="AS17" s="9">
        <f>IFERROR(VLOOKUP(AO17,'Master List'!$A:$D,4,0),0)</f>
        <v/>
      </c>
      <c r="AT17" s="32" t="n"/>
      <c r="AU17" s="7">
        <f>IFERROR(AR17/AS17,0)</f>
        <v/>
      </c>
      <c r="AV17" s="8">
        <f>IFERROR(IF(AT17&lt;((1/2*AS17*AU17^2)*2),1/2*AS17*SQRT((AT17/2)*2/AS17)^2,1/2*AS17*AU17^2),0)</f>
        <v/>
      </c>
      <c r="AW17" s="9">
        <f>IFERROR(IF(AT17-AV17-AX17&lt;=0,0,AT17-AV17-AX17),0)</f>
        <v/>
      </c>
      <c r="AX17" s="10">
        <f>AV17</f>
        <v/>
      </c>
      <c r="AY17" s="8">
        <f>IFERROR(IF(AT17&lt;((1/2*AS17*AU17^2)*2),SQRT((AT17/2)*2/AS17),AU17),0)</f>
        <v/>
      </c>
      <c r="AZ17" s="9">
        <f>IFERROR(AW17/AR17,0)</f>
        <v/>
      </c>
      <c r="BA17" s="10">
        <f>AY17</f>
        <v/>
      </c>
      <c r="BB17" s="8">
        <f>IF(AQ17&gt;0,AQ17,SUM(AY17:BA17))</f>
        <v/>
      </c>
      <c r="BC17" s="32" t="n"/>
      <c r="BD17" s="10">
        <f>BB17*BC17</f>
        <v/>
      </c>
      <c r="BF17" s="14">
        <f>BF16+1</f>
        <v/>
      </c>
      <c r="BG17" s="28" t="n"/>
      <c r="BH17" s="30" t="n"/>
      <c r="BI17" s="9">
        <f>IFERROR(VLOOKUP(BG17,'Master List'!$A:$D,2,0),0)</f>
        <v/>
      </c>
      <c r="BJ17" s="9">
        <f>IFERROR(VLOOKUP(BG17,'Master List'!$A:$D,3,0),0)</f>
        <v/>
      </c>
      <c r="BK17" s="9">
        <f>IFERROR(VLOOKUP(BG17,'Master List'!$A:$D,4,0),0)</f>
        <v/>
      </c>
      <c r="BL17" s="32" t="n"/>
      <c r="BM17" s="7">
        <f>IFERROR(BJ17/BK17,0)</f>
        <v/>
      </c>
      <c r="BN17" s="8">
        <f>IFERROR(IF(BL17&lt;((1/2*BK17*BM17^2)*2),1/2*BK17*SQRT((BL17/2)*2/BK17)^2,1/2*BK17*BM17^2),0)</f>
        <v/>
      </c>
      <c r="BO17" s="9">
        <f>IFERROR(IF(BL17-BN17-BP17&lt;=0,0,BL17-BN17-BP17),0)</f>
        <v/>
      </c>
      <c r="BP17" s="10">
        <f>BN17</f>
        <v/>
      </c>
      <c r="BQ17" s="8">
        <f>IFERROR(IF(BL17&lt;((1/2*BK17*BM17^2)*2),SQRT((BL17/2)*2/BK17),BM17),0)</f>
        <v/>
      </c>
      <c r="BR17" s="9">
        <f>IFERROR(BO17/BJ17,0)</f>
        <v/>
      </c>
      <c r="BS17" s="10">
        <f>BQ17</f>
        <v/>
      </c>
      <c r="BT17" s="8">
        <f>IF(BI17&gt;0,BI17,SUM(BQ17:BS17))</f>
        <v/>
      </c>
      <c r="BU17" s="32" t="n"/>
      <c r="BV17" s="10">
        <f>BT17*BU17</f>
        <v/>
      </c>
    </row>
    <row r="18">
      <c r="A18" s="39" t="inlineStr">
        <is>
          <t>Batch factor (Number of lines picked per SKU totes presented)</t>
        </is>
      </c>
      <c r="B18" s="86" t="n">
        <v>4</v>
      </c>
      <c r="D18" s="14">
        <f>D17+1</f>
        <v/>
      </c>
      <c r="E18" s="90" t="inlineStr">
        <is>
          <t>On Spot - 90 Deg Turn</t>
        </is>
      </c>
      <c r="F18" s="90" t="inlineStr">
        <is>
          <t>90 degree turns required while pick/ put tour with trolley</t>
        </is>
      </c>
      <c r="G18" s="9">
        <f>IFERROR(VLOOKUP(E18,'Master List'!$A:$D,2,0),0)</f>
        <v/>
      </c>
      <c r="H18" s="9">
        <f>IFERROR(VLOOKUP(E18,'Master List'!$A:$D,3,0),0)</f>
        <v/>
      </c>
      <c r="I18" s="9">
        <f>IFERROR(VLOOKUP(E18,'Master List'!$A:$D,4,0),0)</f>
        <v/>
      </c>
      <c r="J18" s="32" t="n"/>
      <c r="K18" s="7">
        <f>IFERROR(H18/I18,0)</f>
        <v/>
      </c>
      <c r="L18" s="8">
        <f>IFERROR(IF(J18&lt;((1/2*I18*K18^2)*2),1/2*I18*SQRT((J18/2)*2/I18)^2,1/2*I18*K18^2),0)</f>
        <v/>
      </c>
      <c r="M18" s="9">
        <f>IFERROR(IF(J18-L18-N18&lt;=0,0,J18-L18-N18),0)</f>
        <v/>
      </c>
      <c r="N18" s="10">
        <f>L18</f>
        <v/>
      </c>
      <c r="O18" s="8">
        <f>IFERROR(IF(J18&lt;((1/2*I18*K18^2)*2),SQRT((J18/2)*2/I18),K18),0)</f>
        <v/>
      </c>
      <c r="P18" s="9">
        <f>IFERROR(M18/H18,0)</f>
        <v/>
      </c>
      <c r="Q18" s="10">
        <f>O18</f>
        <v/>
      </c>
      <c r="R18" s="8">
        <f>IF(G18&gt;0,G18,SUM(O18:Q18))</f>
        <v/>
      </c>
      <c r="S18" s="32">
        <f>IF(B16&gt;0,(IF(B15="Yes",3,0)),0)</f>
        <v/>
      </c>
      <c r="T18" s="10">
        <f>R18*S18</f>
        <v/>
      </c>
      <c r="V18" s="14">
        <f>V17+1</f>
        <v/>
      </c>
      <c r="W18" s="28" t="n"/>
      <c r="X18" s="30" t="n"/>
      <c r="Y18" s="9">
        <f>IFERROR(VLOOKUP(W18,'Master List'!$A:$D,2,0),0)</f>
        <v/>
      </c>
      <c r="Z18" s="9">
        <f>IFERROR(VLOOKUP(W18,'Master List'!$A:$D,3,0),0)</f>
        <v/>
      </c>
      <c r="AA18" s="9">
        <f>IFERROR(VLOOKUP(W18,'Master List'!$A:$D,4,0),0)</f>
        <v/>
      </c>
      <c r="AB18" s="32" t="n"/>
      <c r="AC18" s="7">
        <f>IFERROR(Z18/AA18,0)</f>
        <v/>
      </c>
      <c r="AD18" s="8">
        <f>IFERROR(IF(AB18&lt;((1/2*AA18*AC18^2)*2),1/2*AA18*SQRT((AB18/2)*2/AA18)^2,1/2*AA18*AC18^2),0)</f>
        <v/>
      </c>
      <c r="AE18" s="9">
        <f>IFERROR(IF(AB18-AD18-AF18&lt;=0,0,AB18-AD18-AF18),0)</f>
        <v/>
      </c>
      <c r="AF18" s="10">
        <f>AD18</f>
        <v/>
      </c>
      <c r="AG18" s="8">
        <f>IFERROR(IF(AB18&lt;((1/2*AA18*AC18^2)*2),SQRT((AB18/2)*2/AA18),AC18),0)</f>
        <v/>
      </c>
      <c r="AH18" s="9">
        <f>IFERROR(AE18/Z18,0)</f>
        <v/>
      </c>
      <c r="AI18" s="10">
        <f>AG18</f>
        <v/>
      </c>
      <c r="AJ18" s="8">
        <f>IF(Y18&gt;0,Y18,SUM(AG18:AI18))</f>
        <v/>
      </c>
      <c r="AK18" s="32" t="n"/>
      <c r="AL18" s="10">
        <f>AJ18*AK18</f>
        <v/>
      </c>
      <c r="AN18" s="14">
        <f>AN17+1</f>
        <v/>
      </c>
      <c r="AO18" s="28" t="n"/>
      <c r="AP18" s="30" t="n"/>
      <c r="AQ18" s="9">
        <f>IFERROR(VLOOKUP(AO18,'Master List'!$A:$D,2,0),0)</f>
        <v/>
      </c>
      <c r="AR18" s="9">
        <f>IFERROR(VLOOKUP(AO18,'Master List'!$A:$D,3,0),0)</f>
        <v/>
      </c>
      <c r="AS18" s="9">
        <f>IFERROR(VLOOKUP(AO18,'Master List'!$A:$D,4,0),0)</f>
        <v/>
      </c>
      <c r="AT18" s="32" t="n"/>
      <c r="AU18" s="7">
        <f>IFERROR(AR18/AS18,0)</f>
        <v/>
      </c>
      <c r="AV18" s="8">
        <f>IFERROR(IF(AT18&lt;((1/2*AS18*AU18^2)*2),1/2*AS18*SQRT((AT18/2)*2/AS18)^2,1/2*AS18*AU18^2),0)</f>
        <v/>
      </c>
      <c r="AW18" s="9">
        <f>IFERROR(IF(AT18-AV18-AX18&lt;=0,0,AT18-AV18-AX18),0)</f>
        <v/>
      </c>
      <c r="AX18" s="10">
        <f>AV18</f>
        <v/>
      </c>
      <c r="AY18" s="8">
        <f>IFERROR(IF(AT18&lt;((1/2*AS18*AU18^2)*2),SQRT((AT18/2)*2/AS18),AU18),0)</f>
        <v/>
      </c>
      <c r="AZ18" s="9">
        <f>IFERROR(AW18/AR18,0)</f>
        <v/>
      </c>
      <c r="BA18" s="10">
        <f>AY18</f>
        <v/>
      </c>
      <c r="BB18" s="8">
        <f>IF(AQ18&gt;0,AQ18,SUM(AY18:BA18))</f>
        <v/>
      </c>
      <c r="BC18" s="32" t="n"/>
      <c r="BD18" s="10">
        <f>BB18*BC18</f>
        <v/>
      </c>
      <c r="BF18" s="14">
        <f>BF17+1</f>
        <v/>
      </c>
      <c r="BG18" s="28" t="n"/>
      <c r="BH18" s="30" t="n"/>
      <c r="BI18" s="9">
        <f>IFERROR(VLOOKUP(BG18,'Master List'!$A:$D,2,0),0)</f>
        <v/>
      </c>
      <c r="BJ18" s="9">
        <f>IFERROR(VLOOKUP(BG18,'Master List'!$A:$D,3,0),0)</f>
        <v/>
      </c>
      <c r="BK18" s="9">
        <f>IFERROR(VLOOKUP(BG18,'Master List'!$A:$D,4,0),0)</f>
        <v/>
      </c>
      <c r="BL18" s="32" t="n"/>
      <c r="BM18" s="7">
        <f>IFERROR(BJ18/BK18,0)</f>
        <v/>
      </c>
      <c r="BN18" s="8">
        <f>IFERROR(IF(BL18&lt;((1/2*BK18*BM18^2)*2),1/2*BK18*SQRT((BL18/2)*2/BK18)^2,1/2*BK18*BM18^2),0)</f>
        <v/>
      </c>
      <c r="BO18" s="9">
        <f>IFERROR(IF(BL18-BN18-BP18&lt;=0,0,BL18-BN18-BP18),0)</f>
        <v/>
      </c>
      <c r="BP18" s="10">
        <f>BN18</f>
        <v/>
      </c>
      <c r="BQ18" s="8">
        <f>IFERROR(IF(BL18&lt;((1/2*BK18*BM18^2)*2),SQRT((BL18/2)*2/BK18),BM18),0)</f>
        <v/>
      </c>
      <c r="BR18" s="9">
        <f>IFERROR(BO18/BJ18,0)</f>
        <v/>
      </c>
      <c r="BS18" s="10">
        <f>BQ18</f>
        <v/>
      </c>
      <c r="BT18" s="8">
        <f>IF(BI18&gt;0,BI18,SUM(BQ18:BS18))</f>
        <v/>
      </c>
      <c r="BU18" s="32" t="n"/>
      <c r="BV18" s="10">
        <f>BT18*BU18</f>
        <v/>
      </c>
    </row>
    <row r="19">
      <c r="A19" s="39" t="inlineStr">
        <is>
          <t>Units or cases per line</t>
        </is>
      </c>
      <c r="B19" s="86" t="n">
        <v>10</v>
      </c>
      <c r="D19" s="14">
        <f>D18+1</f>
        <v/>
      </c>
      <c r="E19" s="90" t="inlineStr">
        <is>
          <t>Drag or push tote/ carton on conveyor</t>
        </is>
      </c>
      <c r="F19" s="90" t="inlineStr">
        <is>
          <t>Push back SKU tote on conveyor</t>
        </is>
      </c>
      <c r="G19" s="9">
        <f>IFERROR(VLOOKUP(E19,'Master List'!$A:$D,2,0),0)</f>
        <v/>
      </c>
      <c r="H19" s="9">
        <f>IFERROR(VLOOKUP(E19,'Master List'!$A:$D,3,0),0)</f>
        <v/>
      </c>
      <c r="I19" s="9">
        <f>IFERROR(VLOOKUP(E19,'Master List'!$A:$D,4,0),0)</f>
        <v/>
      </c>
      <c r="J19" s="32" t="n"/>
      <c r="K19" s="7">
        <f>IFERROR(H19/I19,0)</f>
        <v/>
      </c>
      <c r="L19" s="8">
        <f>IFERROR(IF(J19&lt;((1/2*I19*K19^2)*2),1/2*I19*SQRT((J19/2)*2/I19)^2,1/2*I19*K19^2),0)</f>
        <v/>
      </c>
      <c r="M19" s="9">
        <f>IFERROR(IF(J19-L19-N19&lt;=0,0,J19-L19-N19),0)</f>
        <v/>
      </c>
      <c r="N19" s="10">
        <f>L19</f>
        <v/>
      </c>
      <c r="O19" s="8">
        <f>IFERROR(IF(J19&lt;((1/2*I19*K19^2)*2),SQRT((J19/2)*2/I19),K19),0)</f>
        <v/>
      </c>
      <c r="P19" s="9">
        <f>IFERROR(M19/H19,0)</f>
        <v/>
      </c>
      <c r="Q19" s="10">
        <f>O19</f>
        <v/>
      </c>
      <c r="R19" s="8">
        <f>IF(G19&gt;0,G19,SUM(O19:Q19))</f>
        <v/>
      </c>
      <c r="S19" s="32">
        <f>IF(B16&gt;0,(IF(B15="Yes",1,0)),0)</f>
        <v/>
      </c>
      <c r="T19" s="10">
        <f>R19*S19</f>
        <v/>
      </c>
      <c r="V19" s="14">
        <f>V18+1</f>
        <v/>
      </c>
      <c r="W19" s="28" t="n"/>
      <c r="X19" s="30" t="n"/>
      <c r="Y19" s="9">
        <f>IFERROR(VLOOKUP(W19,'Master List'!$A:$D,2,0),0)</f>
        <v/>
      </c>
      <c r="Z19" s="9">
        <f>IFERROR(VLOOKUP(W19,'Master List'!$A:$D,3,0),0)</f>
        <v/>
      </c>
      <c r="AA19" s="9">
        <f>IFERROR(VLOOKUP(W19,'Master List'!$A:$D,4,0),0)</f>
        <v/>
      </c>
      <c r="AB19" s="32" t="n"/>
      <c r="AC19" s="7">
        <f>IFERROR(Z19/AA19,0)</f>
        <v/>
      </c>
      <c r="AD19" s="8">
        <f>IFERROR(IF(AB19&lt;((1/2*AA19*AC19^2)*2),1/2*AA19*SQRT((AB19/2)*2/AA19)^2,1/2*AA19*AC19^2),0)</f>
        <v/>
      </c>
      <c r="AE19" s="9">
        <f>IFERROR(IF(AB19-AD19-AF19&lt;=0,0,AB19-AD19-AF19),0)</f>
        <v/>
      </c>
      <c r="AF19" s="10">
        <f>AD19</f>
        <v/>
      </c>
      <c r="AG19" s="8">
        <f>IFERROR(IF(AB19&lt;((1/2*AA19*AC19^2)*2),SQRT((AB19/2)*2/AA19),AC19),0)</f>
        <v/>
      </c>
      <c r="AH19" s="9">
        <f>IFERROR(AE19/Z19,0)</f>
        <v/>
      </c>
      <c r="AI19" s="10">
        <f>AG19</f>
        <v/>
      </c>
      <c r="AJ19" s="8">
        <f>IF(Y19&gt;0,Y19,SUM(AG19:AI19))</f>
        <v/>
      </c>
      <c r="AK19" s="32" t="n"/>
      <c r="AL19" s="10">
        <f>AJ19*AK19</f>
        <v/>
      </c>
      <c r="AN19" s="14">
        <f>AN18+1</f>
        <v/>
      </c>
      <c r="AO19" s="28" t="n"/>
      <c r="AP19" s="30" t="n"/>
      <c r="AQ19" s="9">
        <f>IFERROR(VLOOKUP(AO19,'Master List'!$A:$D,2,0),0)</f>
        <v/>
      </c>
      <c r="AR19" s="9">
        <f>IFERROR(VLOOKUP(AO19,'Master List'!$A:$D,3,0),0)</f>
        <v/>
      </c>
      <c r="AS19" s="9">
        <f>IFERROR(VLOOKUP(AO19,'Master List'!$A:$D,4,0),0)</f>
        <v/>
      </c>
      <c r="AT19" s="32" t="n"/>
      <c r="AU19" s="7">
        <f>IFERROR(AR19/AS19,0)</f>
        <v/>
      </c>
      <c r="AV19" s="8">
        <f>IFERROR(IF(AT19&lt;((1/2*AS19*AU19^2)*2),1/2*AS19*SQRT((AT19/2)*2/AS19)^2,1/2*AS19*AU19^2),0)</f>
        <v/>
      </c>
      <c r="AW19" s="9">
        <f>IFERROR(IF(AT19-AV19-AX19&lt;=0,0,AT19-AV19-AX19),0)</f>
        <v/>
      </c>
      <c r="AX19" s="10">
        <f>AV19</f>
        <v/>
      </c>
      <c r="AY19" s="8">
        <f>IFERROR(IF(AT19&lt;((1/2*AS19*AU19^2)*2),SQRT((AT19/2)*2/AS19),AU19),0)</f>
        <v/>
      </c>
      <c r="AZ19" s="9">
        <f>IFERROR(AW19/AR19,0)</f>
        <v/>
      </c>
      <c r="BA19" s="10">
        <f>AY19</f>
        <v/>
      </c>
      <c r="BB19" s="8">
        <f>IF(AQ19&gt;0,AQ19,SUM(AY19:BA19))</f>
        <v/>
      </c>
      <c r="BC19" s="32" t="n"/>
      <c r="BD19" s="10">
        <f>BB19*BC19</f>
        <v/>
      </c>
      <c r="BF19" s="14">
        <f>BF18+1</f>
        <v/>
      </c>
      <c r="BG19" s="28" t="n"/>
      <c r="BH19" s="30" t="n"/>
      <c r="BI19" s="9">
        <f>IFERROR(VLOOKUP(BG19,'Master List'!$A:$D,2,0),0)</f>
        <v/>
      </c>
      <c r="BJ19" s="9">
        <f>IFERROR(VLOOKUP(BG19,'Master List'!$A:$D,3,0),0)</f>
        <v/>
      </c>
      <c r="BK19" s="9">
        <f>IFERROR(VLOOKUP(BG19,'Master List'!$A:$D,4,0),0)</f>
        <v/>
      </c>
      <c r="BL19" s="32" t="n"/>
      <c r="BM19" s="7">
        <f>IFERROR(BJ19/BK19,0)</f>
        <v/>
      </c>
      <c r="BN19" s="8">
        <f>IFERROR(IF(BL19&lt;((1/2*BK19*BM19^2)*2),1/2*BK19*SQRT((BL19/2)*2/BK19)^2,1/2*BK19*BM19^2),0)</f>
        <v/>
      </c>
      <c r="BO19" s="9">
        <f>IFERROR(IF(BL19-BN19-BP19&lt;=0,0,BL19-BN19-BP19),0)</f>
        <v/>
      </c>
      <c r="BP19" s="10">
        <f>BN19</f>
        <v/>
      </c>
      <c r="BQ19" s="8">
        <f>IFERROR(IF(BL19&lt;((1/2*BK19*BM19^2)*2),SQRT((BL19/2)*2/BK19),BM19),0)</f>
        <v/>
      </c>
      <c r="BR19" s="9">
        <f>IFERROR(BO19/BJ19,0)</f>
        <v/>
      </c>
      <c r="BS19" s="10">
        <f>BQ19</f>
        <v/>
      </c>
      <c r="BT19" s="8">
        <f>IF(BI19&gt;0,BI19,SUM(BQ19:BS19))</f>
        <v/>
      </c>
      <c r="BU19" s="32" t="n"/>
      <c r="BV19" s="10">
        <f>BT19*BU19</f>
        <v/>
      </c>
    </row>
    <row r="20">
      <c r="A20" s="39" t="inlineStr">
        <is>
          <t>Units per grab</t>
        </is>
      </c>
      <c r="B20" s="86" t="n">
        <v>5</v>
      </c>
      <c r="D20" s="14">
        <f>D18+1</f>
        <v/>
      </c>
      <c r="E20" s="91" t="inlineStr">
        <is>
          <t>Walking Speed</t>
        </is>
      </c>
      <c r="F20" s="91" t="inlineStr">
        <is>
          <t>Walking time if pick/ put tour is not done by trolley</t>
        </is>
      </c>
      <c r="G20" s="9">
        <f>IFERROR(VLOOKUP(E20,'Master List'!$A:$D,2,0),0)</f>
        <v/>
      </c>
      <c r="H20" s="9">
        <f>IFERROR(VLOOKUP(E20,'Master List'!$A:$D,3,0),0)</f>
        <v/>
      </c>
      <c r="I20" s="9">
        <f>IFERROR(VLOOKUP(E20,'Master List'!$A:$D,4,0),0)</f>
        <v/>
      </c>
      <c r="J20" s="32">
        <f>B17</f>
        <v/>
      </c>
      <c r="K20" s="7">
        <f>IFERROR(H20/I20,0)</f>
        <v/>
      </c>
      <c r="L20" s="8">
        <f>IFERROR(IF(J20&lt;((1/2*I20*K20^2)*2),1/2*I20*SQRT((J20/2)*2/I20)^2,1/2*I20*K20^2),0)</f>
        <v/>
      </c>
      <c r="M20" s="9">
        <f>IFERROR(IF(J20-L20-N20&lt;=0,0,J20-L20-N20),0)</f>
        <v/>
      </c>
      <c r="N20" s="10">
        <f>L20</f>
        <v/>
      </c>
      <c r="O20" s="8">
        <f>IFERROR(IF(J20&lt;((1/2*I20*K20^2)*2),SQRT((J20/2)*2/I20),K20),0)</f>
        <v/>
      </c>
      <c r="P20" s="9">
        <f>IFERROR(M20/H20,0)</f>
        <v/>
      </c>
      <c r="Q20" s="10">
        <f>O20</f>
        <v/>
      </c>
      <c r="R20" s="8">
        <f>IF(G20&gt;0,G20,SUM(O20:Q20))</f>
        <v/>
      </c>
      <c r="S20" s="32">
        <f>IF(B16&lt;=0,SUM(S12:S15),0)</f>
        <v/>
      </c>
      <c r="T20" s="10">
        <f>R20*S20</f>
        <v/>
      </c>
      <c r="V20" s="14">
        <f>V19+1</f>
        <v/>
      </c>
      <c r="W20" s="28" t="n"/>
      <c r="X20" s="30" t="n"/>
      <c r="Y20" s="9">
        <f>IFERROR(VLOOKUP(W20,'Master List'!$A:$D,2,0),0)</f>
        <v/>
      </c>
      <c r="Z20" s="9">
        <f>IFERROR(VLOOKUP(W20,'Master List'!$A:$D,3,0),0)</f>
        <v/>
      </c>
      <c r="AA20" s="9">
        <f>IFERROR(VLOOKUP(W20,'Master List'!$A:$D,4,0),0)</f>
        <v/>
      </c>
      <c r="AB20" s="32" t="n"/>
      <c r="AC20" s="7">
        <f>IFERROR(Z20/AA20,0)</f>
        <v/>
      </c>
      <c r="AD20" s="8">
        <f>IFERROR(IF(AB20&lt;((1/2*AA20*AC20^2)*2),1/2*AA20*SQRT((AB20/2)*2/AA20)^2,1/2*AA20*AC20^2),0)</f>
        <v/>
      </c>
      <c r="AE20" s="9">
        <f>IFERROR(IF(AB20-AD20-AF20&lt;=0,0,AB20-AD20-AF20),0)</f>
        <v/>
      </c>
      <c r="AF20" s="10">
        <f>AD20</f>
        <v/>
      </c>
      <c r="AG20" s="8">
        <f>IFERROR(IF(AB20&lt;((1/2*AA20*AC20^2)*2),SQRT((AB20/2)*2/AA20),AC20),0)</f>
        <v/>
      </c>
      <c r="AH20" s="9">
        <f>IFERROR(AE20/Z20,0)</f>
        <v/>
      </c>
      <c r="AI20" s="10">
        <f>AG20</f>
        <v/>
      </c>
      <c r="AJ20" s="8">
        <f>IF(Y20&gt;0,Y20,SUM(AG20:AI20))</f>
        <v/>
      </c>
      <c r="AK20" s="32" t="n"/>
      <c r="AL20" s="10">
        <f>AJ20*AK20</f>
        <v/>
      </c>
      <c r="AN20" s="14">
        <f>AN19+1</f>
        <v/>
      </c>
      <c r="AO20" s="28" t="n"/>
      <c r="AP20" s="30" t="n"/>
      <c r="AQ20" s="9">
        <f>IFERROR(VLOOKUP(AO20,'Master List'!$A:$D,2,0),0)</f>
        <v/>
      </c>
      <c r="AR20" s="9">
        <f>IFERROR(VLOOKUP(AO20,'Master List'!$A:$D,3,0),0)</f>
        <v/>
      </c>
      <c r="AS20" s="9">
        <f>IFERROR(VLOOKUP(AO20,'Master List'!$A:$D,4,0),0)</f>
        <v/>
      </c>
      <c r="AT20" s="32" t="n"/>
      <c r="AU20" s="7">
        <f>IFERROR(AR20/AS20,0)</f>
        <v/>
      </c>
      <c r="AV20" s="8">
        <f>IFERROR(IF(AT20&lt;((1/2*AS20*AU20^2)*2),1/2*AS20*SQRT((AT20/2)*2/AS20)^2,1/2*AS20*AU20^2),0)</f>
        <v/>
      </c>
      <c r="AW20" s="9">
        <f>IFERROR(IF(AT20-AV20-AX20&lt;=0,0,AT20-AV20-AX20),0)</f>
        <v/>
      </c>
      <c r="AX20" s="10">
        <f>AV20</f>
        <v/>
      </c>
      <c r="AY20" s="8">
        <f>IFERROR(IF(AT20&lt;((1/2*AS20*AU20^2)*2),SQRT((AT20/2)*2/AS20),AU20),0)</f>
        <v/>
      </c>
      <c r="AZ20" s="9">
        <f>IFERROR(AW20/AR20,0)</f>
        <v/>
      </c>
      <c r="BA20" s="10">
        <f>AY20</f>
        <v/>
      </c>
      <c r="BB20" s="8">
        <f>IF(AQ20&gt;0,AQ20,SUM(AY20:BA20))</f>
        <v/>
      </c>
      <c r="BC20" s="32" t="n"/>
      <c r="BD20" s="10">
        <f>BB20*BC20</f>
        <v/>
      </c>
      <c r="BF20" s="14">
        <f>BF19+1</f>
        <v/>
      </c>
      <c r="BG20" s="28" t="n"/>
      <c r="BH20" s="30" t="n"/>
      <c r="BI20" s="9">
        <f>IFERROR(VLOOKUP(BG20,'Master List'!$A:$D,2,0),0)</f>
        <v/>
      </c>
      <c r="BJ20" s="9">
        <f>IFERROR(VLOOKUP(BG20,'Master List'!$A:$D,3,0),0)</f>
        <v/>
      </c>
      <c r="BK20" s="9">
        <f>IFERROR(VLOOKUP(BG20,'Master List'!$A:$D,4,0),0)</f>
        <v/>
      </c>
      <c r="BL20" s="32" t="n"/>
      <c r="BM20" s="7">
        <f>IFERROR(BJ20/BK20,0)</f>
        <v/>
      </c>
      <c r="BN20" s="8">
        <f>IFERROR(IF(BL20&lt;((1/2*BK20*BM20^2)*2),1/2*BK20*SQRT((BL20/2)*2/BK20)^2,1/2*BK20*BM20^2),0)</f>
        <v/>
      </c>
      <c r="BO20" s="9">
        <f>IFERROR(IF(BL20-BN20-BP20&lt;=0,0,BL20-BN20-BP20),0)</f>
        <v/>
      </c>
      <c r="BP20" s="10">
        <f>BN20</f>
        <v/>
      </c>
      <c r="BQ20" s="8">
        <f>IFERROR(IF(BL20&lt;((1/2*BK20*BM20^2)*2),SQRT((BL20/2)*2/BK20),BM20),0)</f>
        <v/>
      </c>
      <c r="BR20" s="9">
        <f>IFERROR(BO20/BJ20,0)</f>
        <v/>
      </c>
      <c r="BS20" s="10">
        <f>BQ20</f>
        <v/>
      </c>
      <c r="BT20" s="8">
        <f>IF(BI20&gt;0,BI20,SUM(BQ20:BS20))</f>
        <v/>
      </c>
      <c r="BU20" s="32" t="n"/>
      <c r="BV20" s="10">
        <f>BT20*BU20</f>
        <v/>
      </c>
    </row>
    <row r="21">
      <c r="A21" s="39" t="inlineStr">
        <is>
          <t>Lines per order case or tote</t>
        </is>
      </c>
      <c r="B21" s="86" t="n">
        <v>20</v>
      </c>
      <c r="D21" s="14">
        <f>D19+1</f>
        <v/>
      </c>
      <c r="E21" s="28" t="inlineStr">
        <is>
          <t>Drag or push tote/ carton on conveyor</t>
        </is>
      </c>
      <c r="F21" s="28" t="inlineStr">
        <is>
          <t>Push order carton or tote after it is filled</t>
        </is>
      </c>
      <c r="G21" s="9">
        <f>IFERROR(VLOOKUP(E21,'Master List'!$A:$D,2,0),0)</f>
        <v/>
      </c>
      <c r="H21" s="9">
        <f>IFERROR(VLOOKUP(E21,'Master List'!$A:$D,3,0),0)</f>
        <v/>
      </c>
      <c r="I21" s="9">
        <f>IFERROR(VLOOKUP(E21,'Master List'!$A:$D,4,0),0)</f>
        <v/>
      </c>
      <c r="J21" s="32" t="n"/>
      <c r="K21" s="7">
        <f>IFERROR(H21/I21,0)</f>
        <v/>
      </c>
      <c r="L21" s="8">
        <f>IFERROR(IF(J21&lt;((1/2*I21*K21^2)*2),1/2*I21*SQRT((J21/2)*2/I21)^2,1/2*I21*K21^2),0)</f>
        <v/>
      </c>
      <c r="M21" s="9">
        <f>IFERROR(IF(J21-L21-N21&lt;=0,0,J21-L21-N21),0)</f>
        <v/>
      </c>
      <c r="N21" s="10">
        <f>L21</f>
        <v/>
      </c>
      <c r="O21" s="8">
        <f>IFERROR(IF(J21&lt;((1/2*I21*K21^2)*2),SQRT((J21/2)*2/I21),K21),0)</f>
        <v/>
      </c>
      <c r="P21" s="9">
        <f>IFERROR(M21/H21,0)</f>
        <v/>
      </c>
      <c r="Q21" s="10">
        <f>O21</f>
        <v/>
      </c>
      <c r="R21" s="8">
        <f>IF(G21&gt;0,G21,SUM(O21:Q21))</f>
        <v/>
      </c>
      <c r="S21" s="32">
        <f>(1/B21)</f>
        <v/>
      </c>
      <c r="T21" s="10">
        <f>R21*S21</f>
        <v/>
      </c>
      <c r="V21" s="14">
        <f>V20+1</f>
        <v/>
      </c>
      <c r="W21" s="28" t="n"/>
      <c r="X21" s="30" t="n"/>
      <c r="Y21" s="9">
        <f>IFERROR(VLOOKUP(W21,'Master List'!$A:$D,2,0),0)</f>
        <v/>
      </c>
      <c r="Z21" s="9">
        <f>IFERROR(VLOOKUP(W21,'Master List'!$A:$D,3,0),0)</f>
        <v/>
      </c>
      <c r="AA21" s="9">
        <f>IFERROR(VLOOKUP(W21,'Master List'!$A:$D,4,0),0)</f>
        <v/>
      </c>
      <c r="AB21" s="32" t="n"/>
      <c r="AC21" s="7">
        <f>IFERROR(Z21/AA21,0)</f>
        <v/>
      </c>
      <c r="AD21" s="8">
        <f>IFERROR(IF(AB21&lt;((1/2*AA21*AC21^2)*2),1/2*AA21*SQRT((AB21/2)*2/AA21)^2,1/2*AA21*AC21^2),0)</f>
        <v/>
      </c>
      <c r="AE21" s="9">
        <f>IFERROR(IF(AB21-AD21-AF21&lt;=0,0,AB21-AD21-AF21),0)</f>
        <v/>
      </c>
      <c r="AF21" s="10">
        <f>AD21</f>
        <v/>
      </c>
      <c r="AG21" s="8">
        <f>IFERROR(IF(AB21&lt;((1/2*AA21*AC21^2)*2),SQRT((AB21/2)*2/AA21),AC21),0)</f>
        <v/>
      </c>
      <c r="AH21" s="9">
        <f>IFERROR(AE21/Z21,0)</f>
        <v/>
      </c>
      <c r="AI21" s="10">
        <f>AG21</f>
        <v/>
      </c>
      <c r="AJ21" s="8">
        <f>IF(Y21&gt;0,Y21,SUM(AG21:AI21))</f>
        <v/>
      </c>
      <c r="AK21" s="32" t="n"/>
      <c r="AL21" s="10">
        <f>AJ21*AK21</f>
        <v/>
      </c>
      <c r="AN21" s="14">
        <f>AN20+1</f>
        <v/>
      </c>
      <c r="AO21" s="28" t="n"/>
      <c r="AP21" s="30" t="n"/>
      <c r="AQ21" s="9">
        <f>IFERROR(VLOOKUP(AO21,'Master List'!$A:$D,2,0),0)</f>
        <v/>
      </c>
      <c r="AR21" s="9">
        <f>IFERROR(VLOOKUP(AO21,'Master List'!$A:$D,3,0),0)</f>
        <v/>
      </c>
      <c r="AS21" s="9">
        <f>IFERROR(VLOOKUP(AO21,'Master List'!$A:$D,4,0),0)</f>
        <v/>
      </c>
      <c r="AT21" s="32" t="n"/>
      <c r="AU21" s="7">
        <f>IFERROR(AR21/AS21,0)</f>
        <v/>
      </c>
      <c r="AV21" s="8">
        <f>IFERROR(IF(AT21&lt;((1/2*AS21*AU21^2)*2),1/2*AS21*SQRT((AT21/2)*2/AS21)^2,1/2*AS21*AU21^2),0)</f>
        <v/>
      </c>
      <c r="AW21" s="9">
        <f>IFERROR(IF(AT21-AV21-AX21&lt;=0,0,AT21-AV21-AX21),0)</f>
        <v/>
      </c>
      <c r="AX21" s="10">
        <f>AV21</f>
        <v/>
      </c>
      <c r="AY21" s="8">
        <f>IFERROR(IF(AT21&lt;((1/2*AS21*AU21^2)*2),SQRT((AT21/2)*2/AS21),AU21),0)</f>
        <v/>
      </c>
      <c r="AZ21" s="9">
        <f>IFERROR(AW21/AR21,0)</f>
        <v/>
      </c>
      <c r="BA21" s="10">
        <f>AY21</f>
        <v/>
      </c>
      <c r="BB21" s="8">
        <f>IF(AQ21&gt;0,AQ21,SUM(AY21:BA21))</f>
        <v/>
      </c>
      <c r="BC21" s="32" t="n"/>
      <c r="BD21" s="10">
        <f>BB21*BC21</f>
        <v/>
      </c>
      <c r="BF21" s="14">
        <f>BF20+1</f>
        <v/>
      </c>
      <c r="BG21" s="28" t="n"/>
      <c r="BH21" s="30" t="n"/>
      <c r="BI21" s="9">
        <f>IFERROR(VLOOKUP(BG21,'Master List'!$A:$D,2,0),0)</f>
        <v/>
      </c>
      <c r="BJ21" s="9">
        <f>IFERROR(VLOOKUP(BG21,'Master List'!$A:$D,3,0),0)</f>
        <v/>
      </c>
      <c r="BK21" s="9">
        <f>IFERROR(VLOOKUP(BG21,'Master List'!$A:$D,4,0),0)</f>
        <v/>
      </c>
      <c r="BL21" s="32" t="n"/>
      <c r="BM21" s="7">
        <f>IFERROR(BJ21/BK21,0)</f>
        <v/>
      </c>
      <c r="BN21" s="8">
        <f>IFERROR(IF(BL21&lt;((1/2*BK21*BM21^2)*2),1/2*BK21*SQRT((BL21/2)*2/BK21)^2,1/2*BK21*BM21^2),0)</f>
        <v/>
      </c>
      <c r="BO21" s="9">
        <f>IFERROR(IF(BL21-BN21-BP21&lt;=0,0,BL21-BN21-BP21),0)</f>
        <v/>
      </c>
      <c r="BP21" s="10">
        <f>BN21</f>
        <v/>
      </c>
      <c r="BQ21" s="8">
        <f>IFERROR(IF(BL21&lt;((1/2*BK21*BM21^2)*2),SQRT((BL21/2)*2/BK21),BM21),0)</f>
        <v/>
      </c>
      <c r="BR21" s="9">
        <f>IFERROR(BO21/BJ21,0)</f>
        <v/>
      </c>
      <c r="BS21" s="10">
        <f>BQ21</f>
        <v/>
      </c>
      <c r="BT21" s="8">
        <f>IF(BI21&gt;0,BI21,SUM(BQ21:BS21))</f>
        <v/>
      </c>
      <c r="BU21" s="32" t="n"/>
      <c r="BV21" s="10">
        <f>BT21*BU21</f>
        <v/>
      </c>
    </row>
    <row r="22">
      <c r="A22" s="39" t="inlineStr">
        <is>
          <t>% Pick and put at waist level</t>
        </is>
      </c>
      <c r="B22" s="88" t="n">
        <v>0.5</v>
      </c>
      <c r="D22" s="14">
        <f>D21+1</f>
        <v/>
      </c>
      <c r="E22" s="28" t="inlineStr">
        <is>
          <t>Pick and place Cases - 2 to 3 steps - Shoulder or knee level</t>
        </is>
      </c>
      <c r="F22" s="28" t="inlineStr">
        <is>
          <t>Pick and place empty order carton or tote in PTL location</t>
        </is>
      </c>
      <c r="G22" s="9">
        <f>IFERROR(VLOOKUP(E22,'Master List'!$A:$D,2,0),0)</f>
        <v/>
      </c>
      <c r="H22" s="9">
        <f>IFERROR(VLOOKUP(E22,'Master List'!$A:$D,3,0),0)</f>
        <v/>
      </c>
      <c r="I22" s="9">
        <f>IFERROR(VLOOKUP(E22,'Master List'!$A:$D,4,0),0)</f>
        <v/>
      </c>
      <c r="J22" s="32" t="n"/>
      <c r="K22" s="7">
        <f>IFERROR(H22/I22,0)</f>
        <v/>
      </c>
      <c r="L22" s="8">
        <f>IFERROR(IF(J22&lt;((1/2*I22*K22^2)*2),1/2*I22*SQRT((J22/2)*2/I22)^2,1/2*I22*K22^2),0)</f>
        <v/>
      </c>
      <c r="M22" s="9">
        <f>IFERROR(IF(J22-L22-N22&lt;=0,0,J22-L22-N22),0)</f>
        <v/>
      </c>
      <c r="N22" s="10">
        <f>L22</f>
        <v/>
      </c>
      <c r="O22" s="8">
        <f>IFERROR(IF(J22&lt;((1/2*I22*K22^2)*2),SQRT((J22/2)*2/I22),K22),0)</f>
        <v/>
      </c>
      <c r="P22" s="9">
        <f>IFERROR(M22/H22,0)</f>
        <v/>
      </c>
      <c r="Q22" s="10">
        <f>O22</f>
        <v/>
      </c>
      <c r="R22" s="8">
        <f>IF(G22&gt;0,G22,SUM(O22:Q22))</f>
        <v/>
      </c>
      <c r="S22" s="32">
        <f>S21</f>
        <v/>
      </c>
      <c r="T22" s="10">
        <f>R22*S22</f>
        <v/>
      </c>
      <c r="V22" s="14">
        <f>V21+1</f>
        <v/>
      </c>
      <c r="W22" s="28" t="n"/>
      <c r="X22" s="30" t="n"/>
      <c r="Y22" s="9">
        <f>IFERROR(VLOOKUP(W22,'Master List'!$A:$D,2,0),0)</f>
        <v/>
      </c>
      <c r="Z22" s="9">
        <f>IFERROR(VLOOKUP(W22,'Master List'!$A:$D,3,0),0)</f>
        <v/>
      </c>
      <c r="AA22" s="9">
        <f>IFERROR(VLOOKUP(W22,'Master List'!$A:$D,4,0),0)</f>
        <v/>
      </c>
      <c r="AB22" s="32" t="n"/>
      <c r="AC22" s="7">
        <f>IFERROR(Z22/AA22,0)</f>
        <v/>
      </c>
      <c r="AD22" s="8">
        <f>IFERROR(IF(AB22&lt;((1/2*AA22*AC22^2)*2),1/2*AA22*SQRT((AB22/2)*2/AA22)^2,1/2*AA22*AC22^2),0)</f>
        <v/>
      </c>
      <c r="AE22" s="9">
        <f>IFERROR(IF(AB22-AD22-AF22&lt;=0,0,AB22-AD22-AF22),0)</f>
        <v/>
      </c>
      <c r="AF22" s="10">
        <f>AD22</f>
        <v/>
      </c>
      <c r="AG22" s="8">
        <f>IFERROR(IF(AB22&lt;((1/2*AA22*AC22^2)*2),SQRT((AB22/2)*2/AA22),AC22),0)</f>
        <v/>
      </c>
      <c r="AH22" s="9">
        <f>IFERROR(AE22/Z22,0)</f>
        <v/>
      </c>
      <c r="AI22" s="10">
        <f>AG22</f>
        <v/>
      </c>
      <c r="AJ22" s="8">
        <f>IF(Y22&gt;0,Y22,SUM(AG22:AI22))</f>
        <v/>
      </c>
      <c r="AK22" s="32" t="n"/>
      <c r="AL22" s="10">
        <f>AJ22*AK22</f>
        <v/>
      </c>
      <c r="AN22" s="14">
        <f>AN21+1</f>
        <v/>
      </c>
      <c r="AO22" s="28" t="n"/>
      <c r="AP22" s="30" t="n"/>
      <c r="AQ22" s="9">
        <f>IFERROR(VLOOKUP(AO22,'Master List'!$A:$D,2,0),0)</f>
        <v/>
      </c>
      <c r="AR22" s="9">
        <f>IFERROR(VLOOKUP(AO22,'Master List'!$A:$D,3,0),0)</f>
        <v/>
      </c>
      <c r="AS22" s="9">
        <f>IFERROR(VLOOKUP(AO22,'Master List'!$A:$D,4,0),0)</f>
        <v/>
      </c>
      <c r="AT22" s="32" t="n"/>
      <c r="AU22" s="7">
        <f>IFERROR(AR22/AS22,0)</f>
        <v/>
      </c>
      <c r="AV22" s="8">
        <f>IFERROR(IF(AT22&lt;((1/2*AS22*AU22^2)*2),1/2*AS22*SQRT((AT22/2)*2/AS22)^2,1/2*AS22*AU22^2),0)</f>
        <v/>
      </c>
      <c r="AW22" s="9">
        <f>IFERROR(IF(AT22-AV22-AX22&lt;=0,0,AT22-AV22-AX22),0)</f>
        <v/>
      </c>
      <c r="AX22" s="10">
        <f>AV22</f>
        <v/>
      </c>
      <c r="AY22" s="8">
        <f>IFERROR(IF(AT22&lt;((1/2*AS22*AU22^2)*2),SQRT((AT22/2)*2/AS22),AU22),0)</f>
        <v/>
      </c>
      <c r="AZ22" s="9">
        <f>IFERROR(AW22/AR22,0)</f>
        <v/>
      </c>
      <c r="BA22" s="10">
        <f>AY22</f>
        <v/>
      </c>
      <c r="BB22" s="8">
        <f>IF(AQ22&gt;0,AQ22,SUM(AY22:BA22))</f>
        <v/>
      </c>
      <c r="BC22" s="32" t="n"/>
      <c r="BD22" s="10">
        <f>BB22*BC22</f>
        <v/>
      </c>
      <c r="BF22" s="14">
        <f>BF21+1</f>
        <v/>
      </c>
      <c r="BG22" s="28" t="n"/>
      <c r="BH22" s="30" t="n"/>
      <c r="BI22" s="9">
        <f>IFERROR(VLOOKUP(BG22,'Master List'!$A:$D,2,0),0)</f>
        <v/>
      </c>
      <c r="BJ22" s="9">
        <f>IFERROR(VLOOKUP(BG22,'Master List'!$A:$D,3,0),0)</f>
        <v/>
      </c>
      <c r="BK22" s="9">
        <f>IFERROR(VLOOKUP(BG22,'Master List'!$A:$D,4,0),0)</f>
        <v/>
      </c>
      <c r="BL22" s="32" t="n"/>
      <c r="BM22" s="7">
        <f>IFERROR(BJ22/BK22,0)</f>
        <v/>
      </c>
      <c r="BN22" s="8">
        <f>IFERROR(IF(BL22&lt;((1/2*BK22*BM22^2)*2),1/2*BK22*SQRT((BL22/2)*2/BK22)^2,1/2*BK22*BM22^2),0)</f>
        <v/>
      </c>
      <c r="BO22" s="9">
        <f>IFERROR(IF(BL22-BN22-BP22&lt;=0,0,BL22-BN22-BP22),0)</f>
        <v/>
      </c>
      <c r="BP22" s="10">
        <f>BN22</f>
        <v/>
      </c>
      <c r="BQ22" s="8">
        <f>IFERROR(IF(BL22&lt;((1/2*BK22*BM22^2)*2),SQRT((BL22/2)*2/BK22),BM22),0)</f>
        <v/>
      </c>
      <c r="BR22" s="9">
        <f>IFERROR(BO22/BJ22,0)</f>
        <v/>
      </c>
      <c r="BS22" s="10">
        <f>BQ22</f>
        <v/>
      </c>
      <c r="BT22" s="8">
        <f>IF(BI22&gt;0,BI22,SUM(BQ22:BS22))</f>
        <v/>
      </c>
      <c r="BU22" s="32" t="n"/>
      <c r="BV22" s="10">
        <f>BT22*BU22</f>
        <v/>
      </c>
    </row>
    <row r="23">
      <c r="A23" s="39" t="inlineStr">
        <is>
          <t>% Pick and put at shoulder or knee level</t>
        </is>
      </c>
      <c r="B23" s="77">
        <f>1-B22</f>
        <v/>
      </c>
      <c r="D23" s="14">
        <f>D22+1</f>
        <v/>
      </c>
      <c r="E23" s="28" t="inlineStr">
        <is>
          <t>Scanning</t>
        </is>
      </c>
      <c r="F23" s="28" t="inlineStr">
        <is>
          <t>Scan order tote or caton to PTL location</t>
        </is>
      </c>
      <c r="G23" s="9">
        <f>IFERROR(VLOOKUP(E23,'Master List'!$A:$D,2,0),0)</f>
        <v/>
      </c>
      <c r="H23" s="9">
        <f>IFERROR(VLOOKUP(E23,'Master List'!$A:$D,3,0),0)</f>
        <v/>
      </c>
      <c r="I23" s="9">
        <f>IFERROR(VLOOKUP(E23,'Master List'!$A:$D,4,0),0)</f>
        <v/>
      </c>
      <c r="J23" s="32" t="n"/>
      <c r="K23" s="7">
        <f>IFERROR(H23/I23,0)</f>
        <v/>
      </c>
      <c r="L23" s="8">
        <f>IFERROR(IF(J23&lt;((1/2*I23*K23^2)*2),1/2*I23*SQRT((J23/2)*2/I23)^2,1/2*I23*K23^2),0)</f>
        <v/>
      </c>
      <c r="M23" s="9">
        <f>IFERROR(IF(J23-L23-N23&lt;=0,0,J23-L23-N23),0)</f>
        <v/>
      </c>
      <c r="N23" s="10">
        <f>L23</f>
        <v/>
      </c>
      <c r="O23" s="8">
        <f>IFERROR(IF(J23&lt;((1/2*I23*K23^2)*2),SQRT((J23/2)*2/I23),K23),0)</f>
        <v/>
      </c>
      <c r="P23" s="9">
        <f>IFERROR(M23/H23,0)</f>
        <v/>
      </c>
      <c r="Q23" s="10">
        <f>O23</f>
        <v/>
      </c>
      <c r="R23" s="8">
        <f>IF(G23&gt;0,G23,SUM(O23:Q23))</f>
        <v/>
      </c>
      <c r="S23" s="32">
        <f>S22*0.5</f>
        <v/>
      </c>
      <c r="T23" s="10">
        <f>R23*S23</f>
        <v/>
      </c>
      <c r="V23" s="14">
        <f>V22+1</f>
        <v/>
      </c>
      <c r="W23" s="28" t="n"/>
      <c r="X23" s="30" t="n"/>
      <c r="Y23" s="9">
        <f>IFERROR(VLOOKUP(W23,'Master List'!$A:$D,2,0),0)</f>
        <v/>
      </c>
      <c r="Z23" s="9">
        <f>IFERROR(VLOOKUP(W23,'Master List'!$A:$D,3,0),0)</f>
        <v/>
      </c>
      <c r="AA23" s="9">
        <f>IFERROR(VLOOKUP(W23,'Master List'!$A:$D,4,0),0)</f>
        <v/>
      </c>
      <c r="AB23" s="32" t="n"/>
      <c r="AC23" s="7">
        <f>IFERROR(Z23/AA23,0)</f>
        <v/>
      </c>
      <c r="AD23" s="8">
        <f>IFERROR(IF(AB23&lt;((1/2*AA23*AC23^2)*2),1/2*AA23*SQRT((AB23/2)*2/AA23)^2,1/2*AA23*AC23^2),0)</f>
        <v/>
      </c>
      <c r="AE23" s="9">
        <f>IFERROR(IF(AB23-AD23-AF23&lt;=0,0,AB23-AD23-AF23),0)</f>
        <v/>
      </c>
      <c r="AF23" s="10">
        <f>AD23</f>
        <v/>
      </c>
      <c r="AG23" s="8">
        <f>IFERROR(IF(AB23&lt;((1/2*AA23*AC23^2)*2),SQRT((AB23/2)*2/AA23),AC23),0)</f>
        <v/>
      </c>
      <c r="AH23" s="9">
        <f>IFERROR(AE23/Z23,0)</f>
        <v/>
      </c>
      <c r="AI23" s="10">
        <f>AG23</f>
        <v/>
      </c>
      <c r="AJ23" s="8">
        <f>IF(Y23&gt;0,Y23,SUM(AG23:AI23))</f>
        <v/>
      </c>
      <c r="AK23" s="32" t="n"/>
      <c r="AL23" s="10">
        <f>AJ23*AK23</f>
        <v/>
      </c>
      <c r="AN23" s="14">
        <f>AN22+1</f>
        <v/>
      </c>
      <c r="AO23" s="28" t="n"/>
      <c r="AP23" s="30" t="n"/>
      <c r="AQ23" s="9">
        <f>IFERROR(VLOOKUP(AO23,'Master List'!$A:$D,2,0),0)</f>
        <v/>
      </c>
      <c r="AR23" s="9">
        <f>IFERROR(VLOOKUP(AO23,'Master List'!$A:$D,3,0),0)</f>
        <v/>
      </c>
      <c r="AS23" s="9">
        <f>IFERROR(VLOOKUP(AO23,'Master List'!$A:$D,4,0),0)</f>
        <v/>
      </c>
      <c r="AT23" s="32" t="n"/>
      <c r="AU23" s="7">
        <f>IFERROR(AR23/AS23,0)</f>
        <v/>
      </c>
      <c r="AV23" s="8">
        <f>IFERROR(IF(AT23&lt;((1/2*AS23*AU23^2)*2),1/2*AS23*SQRT((AT23/2)*2/AS23)^2,1/2*AS23*AU23^2),0)</f>
        <v/>
      </c>
      <c r="AW23" s="9">
        <f>IFERROR(IF(AT23-AV23-AX23&lt;=0,0,AT23-AV23-AX23),0)</f>
        <v/>
      </c>
      <c r="AX23" s="10">
        <f>AV23</f>
        <v/>
      </c>
      <c r="AY23" s="8">
        <f>IFERROR(IF(AT23&lt;((1/2*AS23*AU23^2)*2),SQRT((AT23/2)*2/AS23),AU23),0)</f>
        <v/>
      </c>
      <c r="AZ23" s="9">
        <f>IFERROR(AW23/AR23,0)</f>
        <v/>
      </c>
      <c r="BA23" s="10">
        <f>AY23</f>
        <v/>
      </c>
      <c r="BB23" s="8">
        <f>IF(AQ23&gt;0,AQ23,SUM(AY23:BA23))</f>
        <v/>
      </c>
      <c r="BC23" s="32" t="n"/>
      <c r="BD23" s="10">
        <f>BB23*BC23</f>
        <v/>
      </c>
      <c r="BF23" s="14">
        <f>BF22+1</f>
        <v/>
      </c>
      <c r="BG23" s="28" t="n"/>
      <c r="BH23" s="30" t="n"/>
      <c r="BI23" s="9">
        <f>IFERROR(VLOOKUP(BG23,'Master List'!$A:$D,2,0),0)</f>
        <v/>
      </c>
      <c r="BJ23" s="9">
        <f>IFERROR(VLOOKUP(BG23,'Master List'!$A:$D,3,0),0)</f>
        <v/>
      </c>
      <c r="BK23" s="9">
        <f>IFERROR(VLOOKUP(BG23,'Master List'!$A:$D,4,0),0)</f>
        <v/>
      </c>
      <c r="BL23" s="32" t="n"/>
      <c r="BM23" s="7">
        <f>IFERROR(BJ23/BK23,0)</f>
        <v/>
      </c>
      <c r="BN23" s="8">
        <f>IFERROR(IF(BL23&lt;((1/2*BK23*BM23^2)*2),1/2*BK23*SQRT((BL23/2)*2/BK23)^2,1/2*BK23*BM23^2),0)</f>
        <v/>
      </c>
      <c r="BO23" s="9">
        <f>IFERROR(IF(BL23-BN23-BP23&lt;=0,0,BL23-BN23-BP23),0)</f>
        <v/>
      </c>
      <c r="BP23" s="10">
        <f>BN23</f>
        <v/>
      </c>
      <c r="BQ23" s="8">
        <f>IFERROR(IF(BL23&lt;((1/2*BK23*BM23^2)*2),SQRT((BL23/2)*2/BK23),BM23),0)</f>
        <v/>
      </c>
      <c r="BR23" s="9">
        <f>IFERROR(BO23/BJ23,0)</f>
        <v/>
      </c>
      <c r="BS23" s="10">
        <f>BQ23</f>
        <v/>
      </c>
      <c r="BT23" s="8">
        <f>IF(BI23&gt;0,BI23,SUM(BQ23:BS23))</f>
        <v/>
      </c>
      <c r="BU23" s="32" t="n"/>
      <c r="BV23" s="10">
        <f>BT23*BU23</f>
        <v/>
      </c>
    </row>
    <row r="24">
      <c r="A24" s="39" t="inlineStr">
        <is>
          <t>Pick and put cycles per SKU tote if UOM is units</t>
        </is>
      </c>
      <c r="B24" s="42">
        <f>(B19*B18)/B20</f>
        <v/>
      </c>
      <c r="D24" s="14">
        <f>D23+1</f>
        <v/>
      </c>
      <c r="E24" s="28" t="inlineStr">
        <is>
          <t>Scanning</t>
        </is>
      </c>
      <c r="F24" s="28" t="inlineStr">
        <is>
          <t>Scan PTL location to order carton or tote</t>
        </is>
      </c>
      <c r="G24" s="9">
        <f>IFERROR(VLOOKUP(E24,'Master List'!$A:$D,2,0),0)</f>
        <v/>
      </c>
      <c r="H24" s="9">
        <f>IFERROR(VLOOKUP(E24,'Master List'!$A:$D,3,0),0)</f>
        <v/>
      </c>
      <c r="I24" s="9">
        <f>IFERROR(VLOOKUP(E24,'Master List'!$A:$D,4,0),0)</f>
        <v/>
      </c>
      <c r="J24" s="32" t="n"/>
      <c r="K24" s="7">
        <f>IFERROR(H24/I24,0)</f>
        <v/>
      </c>
      <c r="L24" s="8">
        <f>IFERROR(IF(J24&lt;((1/2*I24*K24^2)*2),1/2*I24*SQRT((J24/2)*2/I24)^2,1/2*I24*K24^2),0)</f>
        <v/>
      </c>
      <c r="M24" s="9">
        <f>IFERROR(IF(J24-L24-N24&lt;=0,0,J24-L24-N24),0)</f>
        <v/>
      </c>
      <c r="N24" s="10">
        <f>L24</f>
        <v/>
      </c>
      <c r="O24" s="8">
        <f>IFERROR(IF(J24&lt;((1/2*I24*K24^2)*2),SQRT((J24/2)*2/I24),K24),0)</f>
        <v/>
      </c>
      <c r="P24" s="9">
        <f>IFERROR(M24/H24,0)</f>
        <v/>
      </c>
      <c r="Q24" s="10">
        <f>O24</f>
        <v/>
      </c>
      <c r="R24" s="8">
        <f>IF(G24&gt;0,G24,SUM(O24:Q24))</f>
        <v/>
      </c>
      <c r="S24" s="32">
        <f>S23</f>
        <v/>
      </c>
      <c r="T24" s="10">
        <f>R24*S24</f>
        <v/>
      </c>
      <c r="V24" s="14">
        <f>V23+1</f>
        <v/>
      </c>
      <c r="W24" s="28" t="n"/>
      <c r="X24" s="30" t="n"/>
      <c r="Y24" s="9">
        <f>IFERROR(VLOOKUP(W24,'Master List'!$A:$D,2,0),0)</f>
        <v/>
      </c>
      <c r="Z24" s="9">
        <f>IFERROR(VLOOKUP(W24,'Master List'!$A:$D,3,0),0)</f>
        <v/>
      </c>
      <c r="AA24" s="9">
        <f>IFERROR(VLOOKUP(W24,'Master List'!$A:$D,4,0),0)</f>
        <v/>
      </c>
      <c r="AB24" s="32" t="n"/>
      <c r="AC24" s="7">
        <f>IFERROR(Z24/AA24,0)</f>
        <v/>
      </c>
      <c r="AD24" s="8">
        <f>IFERROR(IF(AB24&lt;((1/2*AA24*AC24^2)*2),1/2*AA24*SQRT((AB24/2)*2/AA24)^2,1/2*AA24*AC24^2),0)</f>
        <v/>
      </c>
      <c r="AE24" s="9">
        <f>IFERROR(IF(AB24-AD24-AF24&lt;=0,0,AB24-AD24-AF24),0)</f>
        <v/>
      </c>
      <c r="AF24" s="10">
        <f>AD24</f>
        <v/>
      </c>
      <c r="AG24" s="8">
        <f>IFERROR(IF(AB24&lt;((1/2*AA24*AC24^2)*2),SQRT((AB24/2)*2/AA24),AC24),0)</f>
        <v/>
      </c>
      <c r="AH24" s="9">
        <f>IFERROR(AE24/Z24,0)</f>
        <v/>
      </c>
      <c r="AI24" s="10">
        <f>AG24</f>
        <v/>
      </c>
      <c r="AJ24" s="8">
        <f>IF(Y24&gt;0,Y24,SUM(AG24:AI24))</f>
        <v/>
      </c>
      <c r="AK24" s="32" t="n"/>
      <c r="AL24" s="10">
        <f>AJ24*AK24</f>
        <v/>
      </c>
      <c r="AN24" s="14">
        <f>AN23+1</f>
        <v/>
      </c>
      <c r="AO24" s="28" t="n"/>
      <c r="AP24" s="30" t="n"/>
      <c r="AQ24" s="9">
        <f>IFERROR(VLOOKUP(AO24,'Master List'!$A:$D,2,0),0)</f>
        <v/>
      </c>
      <c r="AR24" s="9">
        <f>IFERROR(VLOOKUP(AO24,'Master List'!$A:$D,3,0),0)</f>
        <v/>
      </c>
      <c r="AS24" s="9">
        <f>IFERROR(VLOOKUP(AO24,'Master List'!$A:$D,4,0),0)</f>
        <v/>
      </c>
      <c r="AT24" s="32" t="n"/>
      <c r="AU24" s="7">
        <f>IFERROR(AR24/AS24,0)</f>
        <v/>
      </c>
      <c r="AV24" s="8">
        <f>IFERROR(IF(AT24&lt;((1/2*AS24*AU24^2)*2),1/2*AS24*SQRT((AT24/2)*2/AS24)^2,1/2*AS24*AU24^2),0)</f>
        <v/>
      </c>
      <c r="AW24" s="9">
        <f>IFERROR(IF(AT24-AV24-AX24&lt;=0,0,AT24-AV24-AX24),0)</f>
        <v/>
      </c>
      <c r="AX24" s="10">
        <f>AV24</f>
        <v/>
      </c>
      <c r="AY24" s="8">
        <f>IFERROR(IF(AT24&lt;((1/2*AS24*AU24^2)*2),SQRT((AT24/2)*2/AS24),AU24),0)</f>
        <v/>
      </c>
      <c r="AZ24" s="9">
        <f>IFERROR(AW24/AR24,0)</f>
        <v/>
      </c>
      <c r="BA24" s="10">
        <f>AY24</f>
        <v/>
      </c>
      <c r="BB24" s="8">
        <f>IF(AQ24&gt;0,AQ24,SUM(AY24:BA24))</f>
        <v/>
      </c>
      <c r="BC24" s="32" t="n"/>
      <c r="BD24" s="10">
        <f>BB24*BC24</f>
        <v/>
      </c>
      <c r="BF24" s="14">
        <f>BF23+1</f>
        <v/>
      </c>
      <c r="BG24" s="28" t="n"/>
      <c r="BH24" s="30" t="n"/>
      <c r="BI24" s="9">
        <f>IFERROR(VLOOKUP(BG24,'Master List'!$A:$D,2,0),0)</f>
        <v/>
      </c>
      <c r="BJ24" s="9">
        <f>IFERROR(VLOOKUP(BG24,'Master List'!$A:$D,3,0),0)</f>
        <v/>
      </c>
      <c r="BK24" s="9">
        <f>IFERROR(VLOOKUP(BG24,'Master List'!$A:$D,4,0),0)</f>
        <v/>
      </c>
      <c r="BL24" s="32" t="n"/>
      <c r="BM24" s="7">
        <f>IFERROR(BJ24/BK24,0)</f>
        <v/>
      </c>
      <c r="BN24" s="8">
        <f>IFERROR(IF(BL24&lt;((1/2*BK24*BM24^2)*2),1/2*BK24*SQRT((BL24/2)*2/BK24)^2,1/2*BK24*BM24^2),0)</f>
        <v/>
      </c>
      <c r="BO24" s="9">
        <f>IFERROR(IF(BL24-BN24-BP24&lt;=0,0,BL24-BN24-BP24),0)</f>
        <v/>
      </c>
      <c r="BP24" s="10">
        <f>BN24</f>
        <v/>
      </c>
      <c r="BQ24" s="8">
        <f>IFERROR(IF(BL24&lt;((1/2*BK24*BM24^2)*2),SQRT((BL24/2)*2/BK24),BM24),0)</f>
        <v/>
      </c>
      <c r="BR24" s="9">
        <f>IFERROR(BO24/BJ24,0)</f>
        <v/>
      </c>
      <c r="BS24" s="10">
        <f>BQ24</f>
        <v/>
      </c>
      <c r="BT24" s="8">
        <f>IF(BI24&gt;0,BI24,SUM(BQ24:BS24))</f>
        <v/>
      </c>
      <c r="BU24" s="32" t="n"/>
      <c r="BV24" s="10">
        <f>BT24*BU24</f>
        <v/>
      </c>
    </row>
    <row r="25">
      <c r="A25" s="39" t="inlineStr">
        <is>
          <t>Pick and put cycles per SKU tote if UOM is cases</t>
        </is>
      </c>
      <c r="B25" s="42">
        <f>B19*B18</f>
        <v/>
      </c>
      <c r="D25" s="14">
        <f>D24+1</f>
        <v/>
      </c>
      <c r="E25" s="91" t="inlineStr">
        <is>
          <t>On Spot - 90 Deg Turn</t>
        </is>
      </c>
      <c r="F25" s="91" t="inlineStr">
        <is>
          <t>90 degree turn to put the units or cases</t>
        </is>
      </c>
      <c r="G25" s="9">
        <f>IFERROR(VLOOKUP(E25,'Master List'!$A:$D,2,0),0)</f>
        <v/>
      </c>
      <c r="H25" s="9">
        <f>IFERROR(VLOOKUP(E25,'Master List'!$A:$D,3,0),0)</f>
        <v/>
      </c>
      <c r="I25" s="9">
        <f>IFERROR(VLOOKUP(E25,'Master List'!$A:$D,4,0),0)</f>
        <v/>
      </c>
      <c r="J25" s="32" t="n"/>
      <c r="K25" s="7">
        <f>IFERROR(H25/I25,0)</f>
        <v/>
      </c>
      <c r="L25" s="8">
        <f>IFERROR(IF(J25&lt;((1/2*I25*K25^2)*2),1/2*I25*SQRT((J25/2)*2/I25)^2,1/2*I25*K25^2),0)</f>
        <v/>
      </c>
      <c r="M25" s="9">
        <f>IFERROR(IF(J25-L25-N25&lt;=0,0,J25-L25-N25),0)</f>
        <v/>
      </c>
      <c r="N25" s="10">
        <f>L25</f>
        <v/>
      </c>
      <c r="O25" s="8">
        <f>IFERROR(IF(J25&lt;((1/2*I25*K25^2)*2),SQRT((J25/2)*2/I25),K25),0)</f>
        <v/>
      </c>
      <c r="P25" s="9">
        <f>IFERROR(M25/H25,0)</f>
        <v/>
      </c>
      <c r="Q25" s="10">
        <f>O25</f>
        <v/>
      </c>
      <c r="R25" s="8">
        <f>IF(G25&gt;0,G25,SUM(O25:Q25))</f>
        <v/>
      </c>
      <c r="S25" s="32">
        <f>IF(B16&lt;=0,(IF(B14="Yes",1,0)*SUM(S12:S15)),0)</f>
        <v/>
      </c>
      <c r="T25" s="10">
        <f>R25*S25</f>
        <v/>
      </c>
      <c r="V25" s="14">
        <f>V24+1</f>
        <v/>
      </c>
      <c r="W25" s="28" t="n"/>
      <c r="X25" s="30" t="n"/>
      <c r="Y25" s="9">
        <f>IFERROR(VLOOKUP(W25,'Master List'!$A:$D,2,0),0)</f>
        <v/>
      </c>
      <c r="Z25" s="9">
        <f>IFERROR(VLOOKUP(W25,'Master List'!$A:$D,3,0),0)</f>
        <v/>
      </c>
      <c r="AA25" s="9">
        <f>IFERROR(VLOOKUP(W25,'Master List'!$A:$D,4,0),0)</f>
        <v/>
      </c>
      <c r="AB25" s="32" t="n"/>
      <c r="AC25" s="7">
        <f>IFERROR(Z25/AA25,0)</f>
        <v/>
      </c>
      <c r="AD25" s="8">
        <f>IFERROR(IF(AB25&lt;((1/2*AA25*AC25^2)*2),1/2*AA25*SQRT((AB25/2)*2/AA25)^2,1/2*AA25*AC25^2),0)</f>
        <v/>
      </c>
      <c r="AE25" s="9">
        <f>IFERROR(IF(AB25-AD25-AF25&lt;=0,0,AB25-AD25-AF25),0)</f>
        <v/>
      </c>
      <c r="AF25" s="10">
        <f>AD25</f>
        <v/>
      </c>
      <c r="AG25" s="8">
        <f>IFERROR(IF(AB25&lt;((1/2*AA25*AC25^2)*2),SQRT((AB25/2)*2/AA25),AC25),0)</f>
        <v/>
      </c>
      <c r="AH25" s="9">
        <f>IFERROR(AE25/Z25,0)</f>
        <v/>
      </c>
      <c r="AI25" s="10">
        <f>AG25</f>
        <v/>
      </c>
      <c r="AJ25" s="8">
        <f>IF(Y25&gt;0,Y25,SUM(AG25:AI25))</f>
        <v/>
      </c>
      <c r="AK25" s="32" t="n"/>
      <c r="AL25" s="10">
        <f>AJ25*AK25</f>
        <v/>
      </c>
      <c r="AN25" s="14">
        <f>AN24+1</f>
        <v/>
      </c>
      <c r="AO25" s="28" t="n"/>
      <c r="AP25" s="30" t="n"/>
      <c r="AQ25" s="9">
        <f>IFERROR(VLOOKUP(AO25,'Master List'!$A:$D,2,0),0)</f>
        <v/>
      </c>
      <c r="AR25" s="9">
        <f>IFERROR(VLOOKUP(AO25,'Master List'!$A:$D,3,0),0)</f>
        <v/>
      </c>
      <c r="AS25" s="9">
        <f>IFERROR(VLOOKUP(AO25,'Master List'!$A:$D,4,0),0)</f>
        <v/>
      </c>
      <c r="AT25" s="32" t="n"/>
      <c r="AU25" s="7">
        <f>IFERROR(AR25/AS25,0)</f>
        <v/>
      </c>
      <c r="AV25" s="8">
        <f>IFERROR(IF(AT25&lt;((1/2*AS25*AU25^2)*2),1/2*AS25*SQRT((AT25/2)*2/AS25)^2,1/2*AS25*AU25^2),0)</f>
        <v/>
      </c>
      <c r="AW25" s="9">
        <f>IFERROR(IF(AT25-AV25-AX25&lt;=0,0,AT25-AV25-AX25),0)</f>
        <v/>
      </c>
      <c r="AX25" s="10">
        <f>AV25</f>
        <v/>
      </c>
      <c r="AY25" s="8">
        <f>IFERROR(IF(AT25&lt;((1/2*AS25*AU25^2)*2),SQRT((AT25/2)*2/AS25),AU25),0)</f>
        <v/>
      </c>
      <c r="AZ25" s="9">
        <f>IFERROR(AW25/AR25,0)</f>
        <v/>
      </c>
      <c r="BA25" s="10">
        <f>AY25</f>
        <v/>
      </c>
      <c r="BB25" s="8">
        <f>IF(AQ25&gt;0,AQ25,SUM(AY25:BA25))</f>
        <v/>
      </c>
      <c r="BC25" s="32" t="n"/>
      <c r="BD25" s="10">
        <f>BB25*BC25</f>
        <v/>
      </c>
      <c r="BF25" s="14">
        <f>BF24+1</f>
        <v/>
      </c>
      <c r="BG25" s="28" t="n"/>
      <c r="BH25" s="30" t="n"/>
      <c r="BI25" s="9">
        <f>IFERROR(VLOOKUP(BG25,'Master List'!$A:$D,2,0),0)</f>
        <v/>
      </c>
      <c r="BJ25" s="9">
        <f>IFERROR(VLOOKUP(BG25,'Master List'!$A:$D,3,0),0)</f>
        <v/>
      </c>
      <c r="BK25" s="9">
        <f>IFERROR(VLOOKUP(BG25,'Master List'!$A:$D,4,0),0)</f>
        <v/>
      </c>
      <c r="BL25" s="32" t="n"/>
      <c r="BM25" s="7">
        <f>IFERROR(BJ25/BK25,0)</f>
        <v/>
      </c>
      <c r="BN25" s="8">
        <f>IFERROR(IF(BL25&lt;((1/2*BK25*BM25^2)*2),1/2*BK25*SQRT((BL25/2)*2/BK25)^2,1/2*BK25*BM25^2),0)</f>
        <v/>
      </c>
      <c r="BO25" s="9">
        <f>IFERROR(IF(BL25-BN25-BP25&lt;=0,0,BL25-BN25-BP25),0)</f>
        <v/>
      </c>
      <c r="BP25" s="10">
        <f>BN25</f>
        <v/>
      </c>
      <c r="BQ25" s="8">
        <f>IFERROR(IF(BL25&lt;((1/2*BK25*BM25^2)*2),SQRT((BL25/2)*2/BK25),BM25),0)</f>
        <v/>
      </c>
      <c r="BR25" s="9">
        <f>IFERROR(BO25/BJ25,0)</f>
        <v/>
      </c>
      <c r="BS25" s="10">
        <f>BQ25</f>
        <v/>
      </c>
      <c r="BT25" s="8">
        <f>IF(BI25&gt;0,BI25,SUM(BQ25:BS25))</f>
        <v/>
      </c>
      <c r="BU25" s="32" t="n"/>
      <c r="BV25" s="10">
        <f>BT25*BU25</f>
        <v/>
      </c>
    </row>
    <row r="26">
      <c r="D26" s="14">
        <f>D25+1</f>
        <v/>
      </c>
      <c r="E26" s="28" t="inlineStr">
        <is>
          <t>PTL Confirmation</t>
        </is>
      </c>
      <c r="F26" s="28" t="inlineStr">
        <is>
          <t>PTL confirmation for put</t>
        </is>
      </c>
      <c r="G26" s="9">
        <f>IFERROR(VLOOKUP(E26,'Master List'!$A:$D,2,0),0)</f>
        <v/>
      </c>
      <c r="H26" s="9">
        <f>IFERROR(VLOOKUP(E26,'Master List'!$A:$D,3,0),0)</f>
        <v/>
      </c>
      <c r="I26" s="9">
        <f>IFERROR(VLOOKUP(E26,'Master List'!$A:$D,4,0),0)</f>
        <v/>
      </c>
      <c r="J26" s="32" t="n"/>
      <c r="K26" s="7">
        <f>IFERROR(H26/I26,0)</f>
        <v/>
      </c>
      <c r="L26" s="8">
        <f>IFERROR(IF(J26&lt;((1/2*I26*K26^2)*2),1/2*I26*SQRT((J26/2)*2/I26)^2,1/2*I26*K26^2),0)</f>
        <v/>
      </c>
      <c r="M26" s="9">
        <f>IFERROR(IF(J26-L26-N26&lt;=0,0,J26-L26-N26),0)</f>
        <v/>
      </c>
      <c r="N26" s="10">
        <f>L26</f>
        <v/>
      </c>
      <c r="O26" s="8">
        <f>IFERROR(IF(J26&lt;((1/2*I26*K26^2)*2),SQRT((J26/2)*2/I26),K26),0)</f>
        <v/>
      </c>
      <c r="P26" s="9">
        <f>IFERROR(M26/H26,0)</f>
        <v/>
      </c>
      <c r="Q26" s="10">
        <f>O26</f>
        <v/>
      </c>
      <c r="R26" s="8">
        <f>IF(G26&gt;0,G26,SUM(O26:Q26))</f>
        <v/>
      </c>
      <c r="S26" s="32">
        <f>B18</f>
        <v/>
      </c>
      <c r="T26" s="10">
        <f>R26*S26</f>
        <v/>
      </c>
      <c r="V26" s="14">
        <f>V25+1</f>
        <v/>
      </c>
      <c r="W26" s="28" t="n"/>
      <c r="X26" s="30" t="n"/>
      <c r="Y26" s="9">
        <f>IFERROR(VLOOKUP(W26,'Master List'!$A:$D,2,0),0)</f>
        <v/>
      </c>
      <c r="Z26" s="9">
        <f>IFERROR(VLOOKUP(W26,'Master List'!$A:$D,3,0),0)</f>
        <v/>
      </c>
      <c r="AA26" s="9">
        <f>IFERROR(VLOOKUP(W26,'Master List'!$A:$D,4,0),0)</f>
        <v/>
      </c>
      <c r="AB26" s="32" t="n"/>
      <c r="AC26" s="7">
        <f>IFERROR(Z26/AA26,0)</f>
        <v/>
      </c>
      <c r="AD26" s="8">
        <f>IFERROR(IF(AB26&lt;((1/2*AA26*AC26^2)*2),1/2*AA26*SQRT((AB26/2)*2/AA26)^2,1/2*AA26*AC26^2),0)</f>
        <v/>
      </c>
      <c r="AE26" s="9">
        <f>IFERROR(IF(AB26-AD26-AF26&lt;=0,0,AB26-AD26-AF26),0)</f>
        <v/>
      </c>
      <c r="AF26" s="10">
        <f>AD26</f>
        <v/>
      </c>
      <c r="AG26" s="8">
        <f>IFERROR(IF(AB26&lt;((1/2*AA26*AC26^2)*2),SQRT((AB26/2)*2/AA26),AC26),0)</f>
        <v/>
      </c>
      <c r="AH26" s="9">
        <f>IFERROR(AE26/Z26,0)</f>
        <v/>
      </c>
      <c r="AI26" s="10">
        <f>AG26</f>
        <v/>
      </c>
      <c r="AJ26" s="8">
        <f>IF(Y26&gt;0,Y26,SUM(AG26:AI26))</f>
        <v/>
      </c>
      <c r="AK26" s="32" t="n"/>
      <c r="AL26" s="10">
        <f>AJ26*AK26</f>
        <v/>
      </c>
      <c r="AN26" s="14">
        <f>AN25+1</f>
        <v/>
      </c>
      <c r="AO26" s="28" t="n"/>
      <c r="AP26" s="30" t="n"/>
      <c r="AQ26" s="9">
        <f>IFERROR(VLOOKUP(AO26,'Master List'!$A:$D,2,0),0)</f>
        <v/>
      </c>
      <c r="AR26" s="9">
        <f>IFERROR(VLOOKUP(AO26,'Master List'!$A:$D,3,0),0)</f>
        <v/>
      </c>
      <c r="AS26" s="9">
        <f>IFERROR(VLOOKUP(AO26,'Master List'!$A:$D,4,0),0)</f>
        <v/>
      </c>
      <c r="AT26" s="32" t="n"/>
      <c r="AU26" s="7">
        <f>IFERROR(AR26/AS26,0)</f>
        <v/>
      </c>
      <c r="AV26" s="8">
        <f>IFERROR(IF(AT26&lt;((1/2*AS26*AU26^2)*2),1/2*AS26*SQRT((AT26/2)*2/AS26)^2,1/2*AS26*AU26^2),0)</f>
        <v/>
      </c>
      <c r="AW26" s="9">
        <f>IFERROR(IF(AT26-AV26-AX26&lt;=0,0,AT26-AV26-AX26),0)</f>
        <v/>
      </c>
      <c r="AX26" s="10">
        <f>AV26</f>
        <v/>
      </c>
      <c r="AY26" s="8">
        <f>IFERROR(IF(AT26&lt;((1/2*AS26*AU26^2)*2),SQRT((AT26/2)*2/AS26),AU26),0)</f>
        <v/>
      </c>
      <c r="AZ26" s="9">
        <f>IFERROR(AW26/AR26,0)</f>
        <v/>
      </c>
      <c r="BA26" s="10">
        <f>AY26</f>
        <v/>
      </c>
      <c r="BB26" s="8">
        <f>IF(AQ26&gt;0,AQ26,SUM(AY26:BA26))</f>
        <v/>
      </c>
      <c r="BC26" s="32" t="n"/>
      <c r="BD26" s="10">
        <f>BB26*BC26</f>
        <v/>
      </c>
      <c r="BF26" s="14">
        <f>BF25+1</f>
        <v/>
      </c>
      <c r="BG26" s="28" t="n"/>
      <c r="BH26" s="30" t="n"/>
      <c r="BI26" s="9">
        <f>IFERROR(VLOOKUP(BG26,'Master List'!$A:$D,2,0),0)</f>
        <v/>
      </c>
      <c r="BJ26" s="9">
        <f>IFERROR(VLOOKUP(BG26,'Master List'!$A:$D,3,0),0)</f>
        <v/>
      </c>
      <c r="BK26" s="9">
        <f>IFERROR(VLOOKUP(BG26,'Master List'!$A:$D,4,0),0)</f>
        <v/>
      </c>
      <c r="BL26" s="32" t="n"/>
      <c r="BM26" s="7">
        <f>IFERROR(BJ26/BK26,0)</f>
        <v/>
      </c>
      <c r="BN26" s="8">
        <f>IFERROR(IF(BL26&lt;((1/2*BK26*BM26^2)*2),1/2*BK26*SQRT((BL26/2)*2/BK26)^2,1/2*BK26*BM26^2),0)</f>
        <v/>
      </c>
      <c r="BO26" s="9">
        <f>IFERROR(IF(BL26-BN26-BP26&lt;=0,0,BL26-BN26-BP26),0)</f>
        <v/>
      </c>
      <c r="BP26" s="10">
        <f>BN26</f>
        <v/>
      </c>
      <c r="BQ26" s="8">
        <f>IFERROR(IF(BL26&lt;((1/2*BK26*BM26^2)*2),SQRT((BL26/2)*2/BK26),BM26),0)</f>
        <v/>
      </c>
      <c r="BR26" s="9">
        <f>IFERROR(BO26/BJ26,0)</f>
        <v/>
      </c>
      <c r="BS26" s="10">
        <f>BQ26</f>
        <v/>
      </c>
      <c r="BT26" s="8">
        <f>IF(BI26&gt;0,BI26,SUM(BQ26:BS26))</f>
        <v/>
      </c>
      <c r="BU26" s="32" t="n"/>
      <c r="BV26" s="10">
        <f>BT26*BU26</f>
        <v/>
      </c>
    </row>
    <row r="27">
      <c r="V27" s="14">
        <f>V26+1</f>
        <v/>
      </c>
      <c r="W27" s="28" t="n"/>
      <c r="X27" s="30" t="n"/>
      <c r="Y27" s="9">
        <f>IFERROR(VLOOKUP(W27,'Master List'!$A:$D,2,0),0)</f>
        <v/>
      </c>
      <c r="Z27" s="9">
        <f>IFERROR(VLOOKUP(W27,'Master List'!$A:$D,3,0),0)</f>
        <v/>
      </c>
      <c r="AA27" s="9">
        <f>IFERROR(VLOOKUP(W27,'Master List'!$A:$D,4,0),0)</f>
        <v/>
      </c>
      <c r="AB27" s="32" t="n"/>
      <c r="AC27" s="7">
        <f>IFERROR(Z27/AA27,0)</f>
        <v/>
      </c>
      <c r="AD27" s="8">
        <f>IFERROR(IF(AB27&lt;((1/2*AA27*AC27^2)*2),1/2*AA27*SQRT((AB27/2)*2/AA27)^2,1/2*AA27*AC27^2),0)</f>
        <v/>
      </c>
      <c r="AE27" s="9">
        <f>IFERROR(IF(AB27-AD27-AF27&lt;=0,0,AB27-AD27-AF27),0)</f>
        <v/>
      </c>
      <c r="AF27" s="10">
        <f>AD27</f>
        <v/>
      </c>
      <c r="AG27" s="8">
        <f>IFERROR(IF(AB27&lt;((1/2*AA27*AC27^2)*2),SQRT((AB27/2)*2/AA27),AC27),0)</f>
        <v/>
      </c>
      <c r="AH27" s="9">
        <f>IFERROR(AE27/Z27,0)</f>
        <v/>
      </c>
      <c r="AI27" s="10">
        <f>AG27</f>
        <v/>
      </c>
      <c r="AJ27" s="8">
        <f>IF(Y27&gt;0,Y27,SUM(AG27:AI27))</f>
        <v/>
      </c>
      <c r="AK27" s="32" t="n"/>
      <c r="AL27" s="10">
        <f>AJ27*AK27</f>
        <v/>
      </c>
      <c r="AN27" s="14">
        <f>AN26+1</f>
        <v/>
      </c>
      <c r="AO27" s="28" t="n"/>
      <c r="AP27" s="30" t="n"/>
      <c r="AQ27" s="9">
        <f>IFERROR(VLOOKUP(AO27,'Master List'!$A:$D,2,0),0)</f>
        <v/>
      </c>
      <c r="AR27" s="9">
        <f>IFERROR(VLOOKUP(AO27,'Master List'!$A:$D,3,0),0)</f>
        <v/>
      </c>
      <c r="AS27" s="9">
        <f>IFERROR(VLOOKUP(AO27,'Master List'!$A:$D,4,0),0)</f>
        <v/>
      </c>
      <c r="AT27" s="32" t="n"/>
      <c r="AU27" s="7">
        <f>IFERROR(AR27/AS27,0)</f>
        <v/>
      </c>
      <c r="AV27" s="8">
        <f>IFERROR(IF(AT27&lt;((1/2*AS27*AU27^2)*2),1/2*AS27*SQRT((AT27/2)*2/AS27)^2,1/2*AS27*AU27^2),0)</f>
        <v/>
      </c>
      <c r="AW27" s="9">
        <f>IFERROR(IF(AT27-AV27-AX27&lt;=0,0,AT27-AV27-AX27),0)</f>
        <v/>
      </c>
      <c r="AX27" s="10">
        <f>AV27</f>
        <v/>
      </c>
      <c r="AY27" s="8">
        <f>IFERROR(IF(AT27&lt;((1/2*AS27*AU27^2)*2),SQRT((AT27/2)*2/AS27),AU27),0)</f>
        <v/>
      </c>
      <c r="AZ27" s="9">
        <f>IFERROR(AW27/AR27,0)</f>
        <v/>
      </c>
      <c r="BA27" s="10">
        <f>AY27</f>
        <v/>
      </c>
      <c r="BB27" s="8">
        <f>IF(AQ27&gt;0,AQ27,SUM(AY27:BA27))</f>
        <v/>
      </c>
      <c r="BC27" s="32" t="n"/>
      <c r="BD27" s="10">
        <f>BB27*BC27</f>
        <v/>
      </c>
      <c r="BF27" s="14">
        <f>BF26+1</f>
        <v/>
      </c>
      <c r="BG27" s="28" t="n"/>
      <c r="BH27" s="30" t="n"/>
      <c r="BI27" s="9">
        <f>IFERROR(VLOOKUP(BG27,'Master List'!$A:$D,2,0),0)</f>
        <v/>
      </c>
      <c r="BJ27" s="9">
        <f>IFERROR(VLOOKUP(BG27,'Master List'!$A:$D,3,0),0)</f>
        <v/>
      </c>
      <c r="BK27" s="9">
        <f>IFERROR(VLOOKUP(BG27,'Master List'!$A:$D,4,0),0)</f>
        <v/>
      </c>
      <c r="BL27" s="32" t="n"/>
      <c r="BM27" s="7">
        <f>IFERROR(BJ27/BK27,0)</f>
        <v/>
      </c>
      <c r="BN27" s="8">
        <f>IFERROR(IF(BL27&lt;((1/2*BK27*BM27^2)*2),1/2*BK27*SQRT((BL27/2)*2/BK27)^2,1/2*BK27*BM27^2),0)</f>
        <v/>
      </c>
      <c r="BO27" s="9">
        <f>IFERROR(IF(BL27-BN27-BP27&lt;=0,0,BL27-BN27-BP27),0)</f>
        <v/>
      </c>
      <c r="BP27" s="10">
        <f>BN27</f>
        <v/>
      </c>
      <c r="BQ27" s="8">
        <f>IFERROR(IF(BL27&lt;((1/2*BK27*BM27^2)*2),SQRT((BL27/2)*2/BK27),BM27),0)</f>
        <v/>
      </c>
      <c r="BR27" s="9">
        <f>IFERROR(BO27/BJ27,0)</f>
        <v/>
      </c>
      <c r="BS27" s="10">
        <f>BQ27</f>
        <v/>
      </c>
      <c r="BT27" s="8">
        <f>IF(BI27&gt;0,BI27,SUM(BQ27:BS27))</f>
        <v/>
      </c>
      <c r="BU27" s="32" t="n"/>
      <c r="BV27" s="10">
        <f>BT27*BU27</f>
        <v/>
      </c>
    </row>
    <row r="28">
      <c r="V28" s="14">
        <f>V27+1</f>
        <v/>
      </c>
      <c r="W28" s="28" t="n"/>
      <c r="X28" s="30" t="n"/>
      <c r="Y28" s="9">
        <f>IFERROR(VLOOKUP(W28,'Master List'!$A:$D,2,0),0)</f>
        <v/>
      </c>
      <c r="Z28" s="9">
        <f>IFERROR(VLOOKUP(W28,'Master List'!$A:$D,3,0),0)</f>
        <v/>
      </c>
      <c r="AA28" s="9">
        <f>IFERROR(VLOOKUP(W28,'Master List'!$A:$D,4,0),0)</f>
        <v/>
      </c>
      <c r="AB28" s="32" t="n"/>
      <c r="AC28" s="7">
        <f>IFERROR(Z28/AA28,0)</f>
        <v/>
      </c>
      <c r="AD28" s="8">
        <f>IFERROR(IF(AB28&lt;((1/2*AA28*AC28^2)*2),1/2*AA28*SQRT((AB28/2)*2/AA28)^2,1/2*AA28*AC28^2),0)</f>
        <v/>
      </c>
      <c r="AE28" s="9">
        <f>IFERROR(IF(AB28-AD28-AF28&lt;=0,0,AB28-AD28-AF28),0)</f>
        <v/>
      </c>
      <c r="AF28" s="10">
        <f>AD28</f>
        <v/>
      </c>
      <c r="AG28" s="8">
        <f>IFERROR(IF(AB28&lt;((1/2*AA28*AC28^2)*2),SQRT((AB28/2)*2/AA28),AC28),0)</f>
        <v/>
      </c>
      <c r="AH28" s="9">
        <f>IFERROR(AE28/Z28,0)</f>
        <v/>
      </c>
      <c r="AI28" s="10">
        <f>AG28</f>
        <v/>
      </c>
      <c r="AJ28" s="8">
        <f>IF(Y28&gt;0,Y28,SUM(AG28:AI28))</f>
        <v/>
      </c>
      <c r="AK28" s="32" t="n"/>
      <c r="AL28" s="10">
        <f>AJ28*AK28</f>
        <v/>
      </c>
      <c r="AN28" s="14">
        <f>AN27+1</f>
        <v/>
      </c>
      <c r="AO28" s="28" t="n"/>
      <c r="AP28" s="30" t="n"/>
      <c r="AQ28" s="9">
        <f>IFERROR(VLOOKUP(AO28,'Master List'!$A:$D,2,0),0)</f>
        <v/>
      </c>
      <c r="AR28" s="9">
        <f>IFERROR(VLOOKUP(AO28,'Master List'!$A:$D,3,0),0)</f>
        <v/>
      </c>
      <c r="AS28" s="9">
        <f>IFERROR(VLOOKUP(AO28,'Master List'!$A:$D,4,0),0)</f>
        <v/>
      </c>
      <c r="AT28" s="32" t="n"/>
      <c r="AU28" s="7">
        <f>IFERROR(AR28/AS28,0)</f>
        <v/>
      </c>
      <c r="AV28" s="8">
        <f>IFERROR(IF(AT28&lt;((1/2*AS28*AU28^2)*2),1/2*AS28*SQRT((AT28/2)*2/AS28)^2,1/2*AS28*AU28^2),0)</f>
        <v/>
      </c>
      <c r="AW28" s="9">
        <f>IFERROR(IF(AT28-AV28-AX28&lt;=0,0,AT28-AV28-AX28),0)</f>
        <v/>
      </c>
      <c r="AX28" s="10">
        <f>AV28</f>
        <v/>
      </c>
      <c r="AY28" s="8">
        <f>IFERROR(IF(AT28&lt;((1/2*AS28*AU28^2)*2),SQRT((AT28/2)*2/AS28),AU28),0)</f>
        <v/>
      </c>
      <c r="AZ28" s="9">
        <f>IFERROR(AW28/AR28,0)</f>
        <v/>
      </c>
      <c r="BA28" s="10">
        <f>AY28</f>
        <v/>
      </c>
      <c r="BB28" s="8">
        <f>IF(AQ28&gt;0,AQ28,SUM(AY28:BA28))</f>
        <v/>
      </c>
      <c r="BC28" s="32" t="n"/>
      <c r="BD28" s="10">
        <f>BB28*BC28</f>
        <v/>
      </c>
      <c r="BF28" s="14">
        <f>BF27+1</f>
        <v/>
      </c>
      <c r="BG28" s="28" t="n"/>
      <c r="BH28" s="30" t="n"/>
      <c r="BI28" s="9">
        <f>IFERROR(VLOOKUP(BG28,'Master List'!$A:$D,2,0),0)</f>
        <v/>
      </c>
      <c r="BJ28" s="9">
        <f>IFERROR(VLOOKUP(BG28,'Master List'!$A:$D,3,0),0)</f>
        <v/>
      </c>
      <c r="BK28" s="9">
        <f>IFERROR(VLOOKUP(BG28,'Master List'!$A:$D,4,0),0)</f>
        <v/>
      </c>
      <c r="BL28" s="32" t="n"/>
      <c r="BM28" s="7">
        <f>IFERROR(BJ28/BK28,0)</f>
        <v/>
      </c>
      <c r="BN28" s="8">
        <f>IFERROR(IF(BL28&lt;((1/2*BK28*BM28^2)*2),1/2*BK28*SQRT((BL28/2)*2/BK28)^2,1/2*BK28*BM28^2),0)</f>
        <v/>
      </c>
      <c r="BO28" s="9">
        <f>IFERROR(IF(BL28-BN28-BP28&lt;=0,0,BL28-BN28-BP28),0)</f>
        <v/>
      </c>
      <c r="BP28" s="10">
        <f>BN28</f>
        <v/>
      </c>
      <c r="BQ28" s="8">
        <f>IFERROR(IF(BL28&lt;((1/2*BK28*BM28^2)*2),SQRT((BL28/2)*2/BK28),BM28),0)</f>
        <v/>
      </c>
      <c r="BR28" s="9">
        <f>IFERROR(BO28/BJ28,0)</f>
        <v/>
      </c>
      <c r="BS28" s="10">
        <f>BQ28</f>
        <v/>
      </c>
      <c r="BT28" s="8">
        <f>IF(BI28&gt;0,BI28,SUM(BQ28:BS28))</f>
        <v/>
      </c>
      <c r="BU28" s="32" t="n"/>
      <c r="BV28" s="10">
        <f>BT28*BU28</f>
        <v/>
      </c>
    </row>
    <row r="29">
      <c r="V29" s="14">
        <f>V28+1</f>
        <v/>
      </c>
      <c r="W29" s="28" t="n"/>
      <c r="X29" s="30" t="n"/>
      <c r="Y29" s="9">
        <f>IFERROR(VLOOKUP(W29,'Master List'!$A:$D,2,0),0)</f>
        <v/>
      </c>
      <c r="Z29" s="9">
        <f>IFERROR(VLOOKUP(W29,'Master List'!$A:$D,3,0),0)</f>
        <v/>
      </c>
      <c r="AA29" s="9">
        <f>IFERROR(VLOOKUP(W29,'Master List'!$A:$D,4,0),0)</f>
        <v/>
      </c>
      <c r="AB29" s="32" t="n"/>
      <c r="AC29" s="7">
        <f>IFERROR(Z29/AA29,0)</f>
        <v/>
      </c>
      <c r="AD29" s="8">
        <f>IFERROR(IF(AB29&lt;((1/2*AA29*AC29^2)*2),1/2*AA29*SQRT((AB29/2)*2/AA29)^2,1/2*AA29*AC29^2),0)</f>
        <v/>
      </c>
      <c r="AE29" s="9">
        <f>IFERROR(IF(AB29-AD29-AF29&lt;=0,0,AB29-AD29-AF29),0)</f>
        <v/>
      </c>
      <c r="AF29" s="10">
        <f>AD29</f>
        <v/>
      </c>
      <c r="AG29" s="8">
        <f>IFERROR(IF(AB29&lt;((1/2*AA29*AC29^2)*2),SQRT((AB29/2)*2/AA29),AC29),0)</f>
        <v/>
      </c>
      <c r="AH29" s="9">
        <f>IFERROR(AE29/Z29,0)</f>
        <v/>
      </c>
      <c r="AI29" s="10">
        <f>AG29</f>
        <v/>
      </c>
      <c r="AJ29" s="8">
        <f>IF(Y29&gt;0,Y29,SUM(AG29:AI29))</f>
        <v/>
      </c>
      <c r="AK29" s="32" t="n"/>
      <c r="AL29" s="10">
        <f>AJ29*AK29</f>
        <v/>
      </c>
      <c r="AN29" s="14">
        <f>AN28+1</f>
        <v/>
      </c>
      <c r="AO29" s="28" t="n"/>
      <c r="AP29" s="30" t="n"/>
      <c r="AQ29" s="9">
        <f>IFERROR(VLOOKUP(AO29,'Master List'!$A:$D,2,0),0)</f>
        <v/>
      </c>
      <c r="AR29" s="9">
        <f>IFERROR(VLOOKUP(AO29,'Master List'!$A:$D,3,0),0)</f>
        <v/>
      </c>
      <c r="AS29" s="9">
        <f>IFERROR(VLOOKUP(AO29,'Master List'!$A:$D,4,0),0)</f>
        <v/>
      </c>
      <c r="AT29" s="32" t="n"/>
      <c r="AU29" s="7">
        <f>IFERROR(AR29/AS29,0)</f>
        <v/>
      </c>
      <c r="AV29" s="8">
        <f>IFERROR(IF(AT29&lt;((1/2*AS29*AU29^2)*2),1/2*AS29*SQRT((AT29/2)*2/AS29)^2,1/2*AS29*AU29^2),0)</f>
        <v/>
      </c>
      <c r="AW29" s="9">
        <f>IFERROR(IF(AT29-AV29-AX29&lt;=0,0,AT29-AV29-AX29),0)</f>
        <v/>
      </c>
      <c r="AX29" s="10">
        <f>AV29</f>
        <v/>
      </c>
      <c r="AY29" s="8">
        <f>IFERROR(IF(AT29&lt;((1/2*AS29*AU29^2)*2),SQRT((AT29/2)*2/AS29),AU29),0)</f>
        <v/>
      </c>
      <c r="AZ29" s="9">
        <f>IFERROR(AW29/AR29,0)</f>
        <v/>
      </c>
      <c r="BA29" s="10">
        <f>AY29</f>
        <v/>
      </c>
      <c r="BB29" s="8">
        <f>IF(AQ29&gt;0,AQ29,SUM(AY29:BA29))</f>
        <v/>
      </c>
      <c r="BC29" s="32" t="n"/>
      <c r="BD29" s="10">
        <f>BB29*BC29</f>
        <v/>
      </c>
      <c r="BF29" s="14">
        <f>BF28+1</f>
        <v/>
      </c>
      <c r="BG29" s="28" t="n"/>
      <c r="BH29" s="30" t="n"/>
      <c r="BI29" s="9">
        <f>IFERROR(VLOOKUP(BG29,'Master List'!$A:$D,2,0),0)</f>
        <v/>
      </c>
      <c r="BJ29" s="9">
        <f>IFERROR(VLOOKUP(BG29,'Master List'!$A:$D,3,0),0)</f>
        <v/>
      </c>
      <c r="BK29" s="9">
        <f>IFERROR(VLOOKUP(BG29,'Master List'!$A:$D,4,0),0)</f>
        <v/>
      </c>
      <c r="BL29" s="32" t="n"/>
      <c r="BM29" s="7">
        <f>IFERROR(BJ29/BK29,0)</f>
        <v/>
      </c>
      <c r="BN29" s="8">
        <f>IFERROR(IF(BL29&lt;((1/2*BK29*BM29^2)*2),1/2*BK29*SQRT((BL29/2)*2/BK29)^2,1/2*BK29*BM29^2),0)</f>
        <v/>
      </c>
      <c r="BO29" s="9">
        <f>IFERROR(IF(BL29-BN29-BP29&lt;=0,0,BL29-BN29-BP29),0)</f>
        <v/>
      </c>
      <c r="BP29" s="10">
        <f>BN29</f>
        <v/>
      </c>
      <c r="BQ29" s="8">
        <f>IFERROR(IF(BL29&lt;((1/2*BK29*BM29^2)*2),SQRT((BL29/2)*2/BK29),BM29),0)</f>
        <v/>
      </c>
      <c r="BR29" s="9">
        <f>IFERROR(BO29/BJ29,0)</f>
        <v/>
      </c>
      <c r="BS29" s="10">
        <f>BQ29</f>
        <v/>
      </c>
      <c r="BT29" s="8">
        <f>IF(BI29&gt;0,BI29,SUM(BQ29:BS29))</f>
        <v/>
      </c>
      <c r="BU29" s="32" t="n"/>
      <c r="BV29" s="10">
        <f>BT29*BU29</f>
        <v/>
      </c>
      <c r="BX29" s="89" t="n"/>
    </row>
    <row r="30">
      <c r="V30" s="14">
        <f>V29+1</f>
        <v/>
      </c>
      <c r="W30" s="28" t="n"/>
      <c r="X30" s="30" t="n"/>
      <c r="Y30" s="9">
        <f>IFERROR(VLOOKUP(W30,'Master List'!$A:$D,2,0),0)</f>
        <v/>
      </c>
      <c r="Z30" s="9">
        <f>IFERROR(VLOOKUP(W30,'Master List'!$A:$D,3,0),0)</f>
        <v/>
      </c>
      <c r="AA30" s="9">
        <f>IFERROR(VLOOKUP(W30,'Master List'!$A:$D,4,0),0)</f>
        <v/>
      </c>
      <c r="AB30" s="32" t="n"/>
      <c r="AC30" s="7">
        <f>IFERROR(Z30/AA30,0)</f>
        <v/>
      </c>
      <c r="AD30" s="8">
        <f>IFERROR(IF(AB30&lt;((1/2*AA30*AC30^2)*2),1/2*AA30*SQRT((AB30/2)*2/AA30)^2,1/2*AA30*AC30^2),0)</f>
        <v/>
      </c>
      <c r="AE30" s="9">
        <f>IFERROR(IF(AB30-AD30-AF30&lt;=0,0,AB30-AD30-AF30),0)</f>
        <v/>
      </c>
      <c r="AF30" s="10">
        <f>AD30</f>
        <v/>
      </c>
      <c r="AG30" s="8">
        <f>IFERROR(IF(AB30&lt;((1/2*AA30*AC30^2)*2),SQRT((AB30/2)*2/AA30),AC30),0)</f>
        <v/>
      </c>
      <c r="AH30" s="9">
        <f>IFERROR(AE30/Z30,0)</f>
        <v/>
      </c>
      <c r="AI30" s="10">
        <f>AG30</f>
        <v/>
      </c>
      <c r="AJ30" s="8">
        <f>IF(Y30&gt;0,Y30,SUM(AG30:AI30))</f>
        <v/>
      </c>
      <c r="AK30" s="32" t="n"/>
      <c r="AL30" s="10">
        <f>AJ30*AK30</f>
        <v/>
      </c>
      <c r="AN30" s="14">
        <f>AN29+1</f>
        <v/>
      </c>
      <c r="AO30" s="28" t="n"/>
      <c r="AP30" s="30" t="n"/>
      <c r="AQ30" s="9">
        <f>IFERROR(VLOOKUP(AO30,'Master List'!$A:$D,2,0),0)</f>
        <v/>
      </c>
      <c r="AR30" s="9">
        <f>IFERROR(VLOOKUP(AO30,'Master List'!$A:$D,3,0),0)</f>
        <v/>
      </c>
      <c r="AS30" s="9">
        <f>IFERROR(VLOOKUP(AO30,'Master List'!$A:$D,4,0),0)</f>
        <v/>
      </c>
      <c r="AT30" s="32" t="n"/>
      <c r="AU30" s="7">
        <f>IFERROR(AR30/AS30,0)</f>
        <v/>
      </c>
      <c r="AV30" s="8">
        <f>IFERROR(IF(AT30&lt;((1/2*AS30*AU30^2)*2),1/2*AS30*SQRT((AT30/2)*2/AS30)^2,1/2*AS30*AU30^2),0)</f>
        <v/>
      </c>
      <c r="AW30" s="9">
        <f>IFERROR(IF(AT30-AV30-AX30&lt;=0,0,AT30-AV30-AX30),0)</f>
        <v/>
      </c>
      <c r="AX30" s="10">
        <f>AV30</f>
        <v/>
      </c>
      <c r="AY30" s="8">
        <f>IFERROR(IF(AT30&lt;((1/2*AS30*AU30^2)*2),SQRT((AT30/2)*2/AS30),AU30),0)</f>
        <v/>
      </c>
      <c r="AZ30" s="9">
        <f>IFERROR(AW30/AR30,0)</f>
        <v/>
      </c>
      <c r="BA30" s="10">
        <f>AY30</f>
        <v/>
      </c>
      <c r="BB30" s="8">
        <f>IF(AQ30&gt;0,AQ30,SUM(AY30:BA30))</f>
        <v/>
      </c>
      <c r="BC30" s="32" t="n"/>
      <c r="BD30" s="10">
        <f>BB30*BC30</f>
        <v/>
      </c>
      <c r="BF30" s="14">
        <f>BF29+1</f>
        <v/>
      </c>
      <c r="BG30" s="28" t="n"/>
      <c r="BH30" s="30" t="n"/>
      <c r="BI30" s="9">
        <f>IFERROR(VLOOKUP(BG30,'Master List'!$A:$D,2,0),0)</f>
        <v/>
      </c>
      <c r="BJ30" s="9">
        <f>IFERROR(VLOOKUP(BG30,'Master List'!$A:$D,3,0),0)</f>
        <v/>
      </c>
      <c r="BK30" s="9">
        <f>IFERROR(VLOOKUP(BG30,'Master List'!$A:$D,4,0),0)</f>
        <v/>
      </c>
      <c r="BL30" s="32" t="n"/>
      <c r="BM30" s="7">
        <f>IFERROR(BJ30/BK30,0)</f>
        <v/>
      </c>
      <c r="BN30" s="8">
        <f>IFERROR(IF(BL30&lt;((1/2*BK30*BM30^2)*2),1/2*BK30*SQRT((BL30/2)*2/BK30)^2,1/2*BK30*BM30^2),0)</f>
        <v/>
      </c>
      <c r="BO30" s="9">
        <f>IFERROR(IF(BL30-BN30-BP30&lt;=0,0,BL30-BN30-BP30),0)</f>
        <v/>
      </c>
      <c r="BP30" s="10">
        <f>BN30</f>
        <v/>
      </c>
      <c r="BQ30" s="8">
        <f>IFERROR(IF(BL30&lt;((1/2*BK30*BM30^2)*2),SQRT((BL30/2)*2/BK30),BM30),0)</f>
        <v/>
      </c>
      <c r="BR30" s="9">
        <f>IFERROR(BO30/BJ30,0)</f>
        <v/>
      </c>
      <c r="BS30" s="10">
        <f>BQ30</f>
        <v/>
      </c>
      <c r="BT30" s="8">
        <f>IF(BI30&gt;0,BI30,SUM(BQ30:BS30))</f>
        <v/>
      </c>
      <c r="BU30" s="32" t="n"/>
      <c r="BV30" s="10">
        <f>BT30*BU30</f>
        <v/>
      </c>
      <c r="BX30" s="89" t="n"/>
    </row>
    <row r="31">
      <c r="V31" s="14">
        <f>V30+1</f>
        <v/>
      </c>
      <c r="W31" s="28" t="n"/>
      <c r="X31" s="30" t="n"/>
      <c r="Y31" s="9">
        <f>IFERROR(VLOOKUP(W31,'Master List'!$A:$D,2,0),0)</f>
        <v/>
      </c>
      <c r="Z31" s="9">
        <f>IFERROR(VLOOKUP(W31,'Master List'!$A:$D,3,0),0)</f>
        <v/>
      </c>
      <c r="AA31" s="9">
        <f>IFERROR(VLOOKUP(W31,'Master List'!$A:$D,4,0),0)</f>
        <v/>
      </c>
      <c r="AB31" s="32" t="n"/>
      <c r="AC31" s="7">
        <f>IFERROR(Z31/AA31,0)</f>
        <v/>
      </c>
      <c r="AD31" s="8">
        <f>IFERROR(IF(AB31&lt;((1/2*AA31*AC31^2)*2),1/2*AA31*SQRT((AB31/2)*2/AA31)^2,1/2*AA31*AC31^2),0)</f>
        <v/>
      </c>
      <c r="AE31" s="9">
        <f>IFERROR(IF(AB31-AD31-AF31&lt;=0,0,AB31-AD31-AF31),0)</f>
        <v/>
      </c>
      <c r="AF31" s="10">
        <f>AD31</f>
        <v/>
      </c>
      <c r="AG31" s="8">
        <f>IFERROR(IF(AB31&lt;((1/2*AA31*AC31^2)*2),SQRT((AB31/2)*2/AA31),AC31),0)</f>
        <v/>
      </c>
      <c r="AH31" s="9">
        <f>IFERROR(AE31/Z31,0)</f>
        <v/>
      </c>
      <c r="AI31" s="10">
        <f>AG31</f>
        <v/>
      </c>
      <c r="AJ31" s="8">
        <f>IF(Y31&gt;0,Y31,SUM(AG31:AI31))</f>
        <v/>
      </c>
      <c r="AK31" s="32" t="n"/>
      <c r="AL31" s="10">
        <f>AJ31*AK31</f>
        <v/>
      </c>
      <c r="AN31" s="14">
        <f>AN30+1</f>
        <v/>
      </c>
      <c r="AO31" s="28" t="n"/>
      <c r="AP31" s="30" t="n"/>
      <c r="AQ31" s="9">
        <f>IFERROR(VLOOKUP(AO31,'Master List'!$A:$D,2,0),0)</f>
        <v/>
      </c>
      <c r="AR31" s="9">
        <f>IFERROR(VLOOKUP(AO31,'Master List'!$A:$D,3,0),0)</f>
        <v/>
      </c>
      <c r="AS31" s="9">
        <f>IFERROR(VLOOKUP(AO31,'Master List'!$A:$D,4,0),0)</f>
        <v/>
      </c>
      <c r="AT31" s="32" t="n"/>
      <c r="AU31" s="7">
        <f>IFERROR(AR31/AS31,0)</f>
        <v/>
      </c>
      <c r="AV31" s="8">
        <f>IFERROR(IF(AT31&lt;((1/2*AS31*AU31^2)*2),1/2*AS31*SQRT((AT31/2)*2/AS31)^2,1/2*AS31*AU31^2),0)</f>
        <v/>
      </c>
      <c r="AW31" s="9">
        <f>IFERROR(IF(AT31-AV31-AX31&lt;=0,0,AT31-AV31-AX31),0)</f>
        <v/>
      </c>
      <c r="AX31" s="10">
        <f>AV31</f>
        <v/>
      </c>
      <c r="AY31" s="8">
        <f>IFERROR(IF(AT31&lt;((1/2*AS31*AU31^2)*2),SQRT((AT31/2)*2/AS31),AU31),0)</f>
        <v/>
      </c>
      <c r="AZ31" s="9">
        <f>IFERROR(AW31/AR31,0)</f>
        <v/>
      </c>
      <c r="BA31" s="10">
        <f>AY31</f>
        <v/>
      </c>
      <c r="BB31" s="8">
        <f>IF(AQ31&gt;0,AQ31,SUM(AY31:BA31))</f>
        <v/>
      </c>
      <c r="BC31" s="32" t="n"/>
      <c r="BD31" s="10">
        <f>BB31*BC31</f>
        <v/>
      </c>
      <c r="BF31" s="14">
        <f>BF30+1</f>
        <v/>
      </c>
      <c r="BG31" s="28" t="n"/>
      <c r="BH31" s="30" t="n"/>
      <c r="BI31" s="9">
        <f>IFERROR(VLOOKUP(BG31,'Master List'!$A:$D,2,0),0)</f>
        <v/>
      </c>
      <c r="BJ31" s="9">
        <f>IFERROR(VLOOKUP(BG31,'Master List'!$A:$D,3,0),0)</f>
        <v/>
      </c>
      <c r="BK31" s="9">
        <f>IFERROR(VLOOKUP(BG31,'Master List'!$A:$D,4,0),0)</f>
        <v/>
      </c>
      <c r="BL31" s="32" t="n"/>
      <c r="BM31" s="7">
        <f>IFERROR(BJ31/BK31,0)</f>
        <v/>
      </c>
      <c r="BN31" s="8">
        <f>IFERROR(IF(BL31&lt;((1/2*BK31*BM31^2)*2),1/2*BK31*SQRT((BL31/2)*2/BK31)^2,1/2*BK31*BM31^2),0)</f>
        <v/>
      </c>
      <c r="BO31" s="9">
        <f>IFERROR(IF(BL31-BN31-BP31&lt;=0,0,BL31-BN31-BP31),0)</f>
        <v/>
      </c>
      <c r="BP31" s="10">
        <f>BN31</f>
        <v/>
      </c>
      <c r="BQ31" s="8">
        <f>IFERROR(IF(BL31&lt;((1/2*BK31*BM31^2)*2),SQRT((BL31/2)*2/BK31),BM31),0)</f>
        <v/>
      </c>
      <c r="BR31" s="9">
        <f>IFERROR(BO31/BJ31,0)</f>
        <v/>
      </c>
      <c r="BS31" s="10">
        <f>BQ31</f>
        <v/>
      </c>
      <c r="BT31" s="8">
        <f>IF(BI31&gt;0,BI31,SUM(BQ31:BS31))</f>
        <v/>
      </c>
      <c r="BU31" s="32" t="n"/>
      <c r="BV31" s="10">
        <f>BT31*BU31</f>
        <v/>
      </c>
      <c r="BX31" s="89" t="n"/>
    </row>
    <row r="32">
      <c r="V32" s="14" t="n"/>
      <c r="BL32" s="32" t="n"/>
    </row>
    <row r="48">
      <c r="D48" s="31" t="n"/>
    </row>
  </sheetData>
  <sheetProtection selectLockedCells="0" selectUnlockedCells="0" algorithmName="SHA-512" sheet="1" objects="1" insertRows="1" insertHyperlinks="1" autoFilter="1" scenarios="1" formatColumns="1" deleteColumns="1" insertColumns="1" pivotTables="1" deleteRows="1" formatCells="1" saltValue="5qJBwoY2ENuv+KtkI5Hlag==" formatRows="1" sort="1" spinCount="100000" hashValue="ILx4tEAB7GkX9BjZ/KFaqbsUpbtz8PtLYjnN1H1yWTW+FRtep7gg3DWVWv4cynnwXmmyTjdIKnmRsUzaugT16g=="/>
  <mergeCells count="24">
    <mergeCell ref="BF5:BV5"/>
    <mergeCell ref="E9:S9"/>
    <mergeCell ref="V5:AL5"/>
    <mergeCell ref="AN5:BD5"/>
    <mergeCell ref="BG9:BU9"/>
    <mergeCell ref="W7:AK7"/>
    <mergeCell ref="E6:S6"/>
    <mergeCell ref="BG6:BU6"/>
    <mergeCell ref="W9:AK9"/>
    <mergeCell ref="AO9:BC9"/>
    <mergeCell ref="AN6:AN10"/>
    <mergeCell ref="E7:S7"/>
    <mergeCell ref="W8:AK8"/>
    <mergeCell ref="BF6:BF10"/>
    <mergeCell ref="BG7:BU7"/>
    <mergeCell ref="AO6:BC6"/>
    <mergeCell ref="D6:D10"/>
    <mergeCell ref="AO8:BC8"/>
    <mergeCell ref="AO7:BC7"/>
    <mergeCell ref="W6:AK6"/>
    <mergeCell ref="V6:V10"/>
    <mergeCell ref="E8:S8"/>
    <mergeCell ref="D5:T5"/>
    <mergeCell ref="BG8:BU8"/>
  </mergeCells>
  <dataValidations disablePrompts="1" count="3">
    <dataValidation sqref="B13" showDropDown="0" showInputMessage="1" showErrorMessage="1" allowBlank="1" type="list">
      <formula1>$CS$7:$CS$8</formula1>
    </dataValidation>
    <dataValidation sqref="B14:B15" showDropDown="0" showInputMessage="1" showErrorMessage="1" allowBlank="1" type="list">
      <formula1>$CU$7:$CU$8</formula1>
    </dataValidation>
    <dataValidation sqref="B12" showDropDown="0" showInputMessage="1" showErrorMessage="1" allowBlank="1" type="list">
      <formula1>$CV$7:$CV$8</formula1>
    </dataValidation>
  </dataValidations>
  <pageMargins left="0.7" right="0.7" top="0.75" bottom="0.75" header="0.3" footer="0.3"/>
  <pageSetup orientation="landscape" paperSize="9" scale="49" verticalDpi="0"/>
  <drawing r:id="rId1"/>
</worksheet>
</file>

<file path=xl/worksheets/sheet14.xml><?xml version="1.0" encoding="utf-8"?>
<worksheet xmlns:r="http://schemas.openxmlformats.org/officeDocument/2006/relationships" xmlns="http://schemas.openxmlformats.org/spreadsheetml/2006/main">
  <sheetPr codeName="Sheet14">
    <tabColor theme="7"/>
    <outlinePr summaryBelow="1" summaryRight="1"/>
    <pageSetUpPr fitToPage="1"/>
  </sheetPr>
  <dimension ref="A1:BY47"/>
  <sheetViews>
    <sheetView showGridLines="0" zoomScale="70" zoomScaleNormal="70" workbookViewId="0">
      <selection activeCell="G14" sqref="G14"/>
    </sheetView>
  </sheetViews>
  <sheetFormatPr baseColWidth="10" defaultColWidth="8.6640625" defaultRowHeight="15"/>
  <cols>
    <col width="37.5" customWidth="1" style="516" min="1" max="1"/>
    <col width="19" customWidth="1" style="516" min="2" max="2"/>
    <col width="19.1640625" customWidth="1" style="516" min="3" max="3"/>
    <col width="8.5" customWidth="1" style="1" min="4" max="4"/>
    <col width="59.5" bestFit="1" customWidth="1" style="31" min="5" max="5"/>
    <col width="35.6640625" customWidth="1" style="31" min="6" max="6"/>
    <col hidden="1" width="11.5" customWidth="1" style="1" min="7" max="7"/>
    <col hidden="1" width="6.5" customWidth="1" style="1" min="8" max="8"/>
    <col hidden="1" width="11.6640625" customWidth="1" style="1" min="9" max="9"/>
    <col hidden="1" width="9.33203125" customWidth="1" style="31" min="10" max="10"/>
    <col hidden="1" width="10.6640625" customWidth="1" style="1" min="11" max="11"/>
    <col hidden="1" width="12.5" customWidth="1" style="1" min="12" max="12"/>
    <col hidden="1" width="9.5" customWidth="1" style="1" min="13" max="13"/>
    <col hidden="1" width="11.6640625" customWidth="1" style="1" min="14" max="14"/>
    <col hidden="1" width="11.5" customWidth="1" style="1" min="15" max="15"/>
    <col hidden="1" width="8.6640625" customWidth="1" style="1" min="16" max="16"/>
    <col hidden="1" width="11.33203125" customWidth="1" style="1" min="17" max="17"/>
    <col width="8.6640625" customWidth="1" style="1" min="18" max="18"/>
    <col width="9.33203125" bestFit="1" customWidth="1" style="31" min="19" max="19"/>
    <col width="14.33203125" bestFit="1" customWidth="1" style="1" min="20" max="20"/>
    <col width="8.6640625" customWidth="1" style="1" min="21" max="21"/>
    <col hidden="1" width="13" customWidth="1" style="1" min="22" max="22"/>
    <col hidden="1" width="24.6640625" customWidth="1" style="31" min="23" max="23"/>
    <col hidden="1" width="27.6640625" customWidth="1" style="31" min="24" max="24"/>
    <col hidden="1" width="13" customWidth="1" style="1" min="25" max="27"/>
    <col hidden="1" width="13" customWidth="1" style="31" min="28" max="28"/>
    <col hidden="1" width="13" customWidth="1" style="1" min="29" max="36"/>
    <col hidden="1" width="13" customWidth="1" style="31" min="37" max="37"/>
    <col hidden="1" width="13" customWidth="1" style="1" min="38" max="40"/>
    <col hidden="1" width="24.6640625" customWidth="1" style="31" min="41" max="41"/>
    <col hidden="1" width="32.6640625" customWidth="1" style="31" min="42" max="42"/>
    <col hidden="1" width="13" customWidth="1" style="1" min="43" max="45"/>
    <col hidden="1" width="13" customWidth="1" style="31" min="46" max="46"/>
    <col hidden="1" width="13" customWidth="1" style="1" min="47" max="54"/>
    <col hidden="1" width="13" customWidth="1" style="31" min="55" max="55"/>
    <col hidden="1" width="13" customWidth="1" style="1" min="56" max="57"/>
    <col hidden="1" width="8.6640625" customWidth="1" style="1" min="58" max="58"/>
    <col hidden="1" width="24.6640625" customWidth="1" style="31" min="59" max="59"/>
    <col hidden="1" width="23.83203125" customWidth="1" style="31" min="60" max="60"/>
    <col hidden="1" width="8.6640625" customWidth="1" style="1" min="61" max="63"/>
    <col hidden="1" width="8.6640625" customWidth="1" style="31" min="64" max="64"/>
    <col hidden="1" width="8.6640625" customWidth="1" style="1" min="65" max="72"/>
    <col hidden="1" width="8.6640625" customWidth="1" style="31" min="73" max="73"/>
    <col hidden="1" width="8.6640625" customWidth="1" style="1" min="74" max="74"/>
    <col width="33.83203125" bestFit="1" customWidth="1" style="1" min="75" max="75"/>
    <col width="12.6640625" bestFit="1" customWidth="1" style="1" min="76" max="76"/>
    <col width="10.5" bestFit="1" customWidth="1" style="1" min="77" max="77"/>
    <col width="8.6640625" customWidth="1" style="1" min="78" max="78"/>
    <col width="8.6640625" customWidth="1" style="1" min="79" max="16384"/>
  </cols>
  <sheetData>
    <row r="1" ht="47" customFormat="1" customHeight="1" s="24">
      <c r="B1" s="1">
        <f>'Master List'!$F$2</f>
        <v/>
      </c>
      <c r="D1" s="1" t="n"/>
      <c r="E1" s="23" t="n"/>
    </row>
    <row r="2" ht="20" customHeight="1" s="516">
      <c r="D2" s="22" t="n"/>
      <c r="E2" s="22" t="n"/>
      <c r="F2" s="22" t="n"/>
      <c r="G2" s="22" t="n"/>
      <c r="H2" s="22" t="n"/>
      <c r="I2" s="22" t="n"/>
      <c r="J2" s="22" t="n"/>
      <c r="K2" s="22" t="n"/>
      <c r="L2" s="22" t="n"/>
      <c r="M2" s="22" t="n"/>
      <c r="N2" s="22" t="n"/>
      <c r="O2" s="22" t="n"/>
      <c r="P2" s="22" t="n"/>
      <c r="Q2" s="22" t="n"/>
      <c r="R2" s="22" t="n"/>
      <c r="S2" s="22" t="n"/>
      <c r="T2" s="22" t="n"/>
      <c r="W2" s="1" t="n"/>
      <c r="X2" s="1" t="n"/>
      <c r="AB2" s="1" t="n"/>
      <c r="AK2" s="1" t="n"/>
      <c r="AO2" s="1" t="n"/>
      <c r="AP2" s="1" t="n"/>
      <c r="AT2" s="1" t="n"/>
      <c r="BC2" s="1" t="n"/>
      <c r="BG2" s="1" t="n"/>
      <c r="BH2" s="1" t="n"/>
      <c r="BL2" s="1" t="n"/>
      <c r="BU2" s="1" t="n"/>
    </row>
    <row r="3" ht="22.25" customHeight="1" s="516">
      <c r="A3" s="34" t="inlineStr">
        <is>
          <t>Equipment</t>
        </is>
      </c>
      <c r="B3" s="33" t="inlineStr">
        <is>
          <t>Decanting Station</t>
        </is>
      </c>
      <c r="D3" s="22" t="n"/>
      <c r="E3" s="22" t="n"/>
      <c r="F3" s="22" t="n"/>
      <c r="G3" s="22" t="n"/>
      <c r="H3" s="22" t="n"/>
      <c r="I3" s="22" t="n"/>
      <c r="J3" s="22" t="n"/>
      <c r="K3" s="22" t="n"/>
      <c r="L3" s="22" t="n"/>
      <c r="M3" s="22" t="n"/>
      <c r="N3" s="22" t="n"/>
      <c r="O3" s="22" t="n"/>
      <c r="P3" s="22" t="n"/>
      <c r="Q3" s="22" t="n"/>
      <c r="R3" s="22" t="n"/>
      <c r="S3" s="22" t="n"/>
      <c r="T3" s="22" t="n"/>
      <c r="W3" s="1" t="n"/>
      <c r="X3" s="1" t="n"/>
      <c r="AB3" s="1" t="n"/>
      <c r="AK3" s="1" t="n"/>
      <c r="AO3" s="1" t="n"/>
      <c r="AP3" s="1" t="n"/>
      <c r="AT3" s="1" t="n"/>
      <c r="BC3" s="1" t="n"/>
      <c r="BG3" s="1" t="n"/>
      <c r="BH3" s="1" t="n"/>
      <c r="BL3" s="1" t="n"/>
      <c r="BU3" s="1" t="n"/>
    </row>
    <row r="4" ht="22.25" customHeight="1" s="516">
      <c r="A4" s="34" t="inlineStr">
        <is>
          <t>Utilization</t>
        </is>
      </c>
      <c r="B4" s="402">
        <f>T8</f>
        <v/>
      </c>
      <c r="D4" s="22" t="n"/>
      <c r="E4" s="22" t="n"/>
      <c r="F4" s="22" t="n"/>
      <c r="G4" s="22" t="n"/>
      <c r="H4" s="22" t="n"/>
      <c r="I4" s="22" t="n"/>
      <c r="J4" s="22" t="n"/>
      <c r="K4" s="22" t="n"/>
      <c r="L4" s="22" t="n"/>
      <c r="M4" s="22" t="n"/>
      <c r="N4" s="22" t="n"/>
      <c r="O4" s="22" t="n"/>
      <c r="P4" s="22" t="n"/>
      <c r="Q4" s="22" t="n"/>
      <c r="R4" s="22" t="n"/>
      <c r="S4" s="22" t="n"/>
      <c r="T4" s="22" t="n"/>
      <c r="W4" s="1" t="n"/>
      <c r="X4" s="1" t="n"/>
      <c r="AB4" s="1" t="n"/>
      <c r="AK4" s="1" t="n"/>
      <c r="AO4" s="1" t="n"/>
      <c r="AP4" s="1" t="n"/>
      <c r="AT4" s="1" t="n"/>
      <c r="BC4" s="1" t="n"/>
      <c r="BG4" s="1" t="n"/>
      <c r="BH4" s="1" t="n"/>
      <c r="BL4" s="1" t="n"/>
      <c r="BU4" s="1" t="n"/>
    </row>
    <row r="5" ht="22.25" customHeight="1" s="516">
      <c r="A5" s="180" t="inlineStr">
        <is>
          <t>Project name</t>
        </is>
      </c>
      <c r="B5" s="181" t="n"/>
      <c r="D5" s="551" t="inlineStr">
        <is>
          <t>Decanting</t>
        </is>
      </c>
      <c r="E5" s="552" t="n"/>
      <c r="F5" s="552" t="n"/>
      <c r="G5" s="552" t="n"/>
      <c r="H5" s="552" t="n"/>
      <c r="I5" s="552" t="n"/>
      <c r="J5" s="552" t="n"/>
      <c r="K5" s="552" t="n"/>
      <c r="L5" s="552" t="n"/>
      <c r="M5" s="552" t="n"/>
      <c r="N5" s="552" t="n"/>
      <c r="O5" s="552" t="n"/>
      <c r="P5" s="552" t="n"/>
      <c r="Q5" s="552" t="n"/>
      <c r="R5" s="552" t="n"/>
      <c r="S5" s="552" t="n"/>
      <c r="T5" s="553" t="n"/>
      <c r="V5" s="551" t="inlineStr">
        <is>
          <t>Process Name</t>
        </is>
      </c>
      <c r="W5" s="552" t="n"/>
      <c r="X5" s="552" t="n"/>
      <c r="Y5" s="552" t="n"/>
      <c r="Z5" s="552" t="n"/>
      <c r="AA5" s="552" t="n"/>
      <c r="AB5" s="552" t="n"/>
      <c r="AC5" s="552" t="n"/>
      <c r="AD5" s="552" t="n"/>
      <c r="AE5" s="552" t="n"/>
      <c r="AF5" s="552" t="n"/>
      <c r="AG5" s="552" t="n"/>
      <c r="AH5" s="552" t="n"/>
      <c r="AI5" s="552" t="n"/>
      <c r="AJ5" s="552" t="n"/>
      <c r="AK5" s="552" t="n"/>
      <c r="AL5" s="553" t="n"/>
      <c r="AN5" s="551" t="inlineStr">
        <is>
          <t>Process Name</t>
        </is>
      </c>
      <c r="AO5" s="552" t="n"/>
      <c r="AP5" s="552" t="n"/>
      <c r="AQ5" s="552" t="n"/>
      <c r="AR5" s="552" t="n"/>
      <c r="AS5" s="552" t="n"/>
      <c r="AT5" s="552" t="n"/>
      <c r="AU5" s="552" t="n"/>
      <c r="AV5" s="552" t="n"/>
      <c r="AW5" s="552" t="n"/>
      <c r="AX5" s="552" t="n"/>
      <c r="AY5" s="552" t="n"/>
      <c r="AZ5" s="552" t="n"/>
      <c r="BA5" s="552" t="n"/>
      <c r="BB5" s="552" t="n"/>
      <c r="BC5" s="552" t="n"/>
      <c r="BD5" s="553" t="n"/>
      <c r="BF5" s="551" t="inlineStr">
        <is>
          <t>Process Name</t>
        </is>
      </c>
      <c r="BG5" s="552" t="n"/>
      <c r="BH5" s="552" t="n"/>
      <c r="BI5" s="552" t="n"/>
      <c r="BJ5" s="552" t="n"/>
      <c r="BK5" s="552" t="n"/>
      <c r="BL5" s="552" t="n"/>
      <c r="BM5" s="552" t="n"/>
      <c r="BN5" s="552" t="n"/>
      <c r="BO5" s="552" t="n"/>
      <c r="BP5" s="552" t="n"/>
      <c r="BQ5" s="552" t="n"/>
      <c r="BR5" s="552" t="n"/>
      <c r="BS5" s="552" t="n"/>
      <c r="BT5" s="552" t="n"/>
      <c r="BU5" s="552" t="n"/>
      <c r="BV5" s="553" t="n"/>
    </row>
    <row r="6" ht="22.25" customHeight="1" s="516">
      <c r="A6" s="180" t="inlineStr">
        <is>
          <t>Revision</t>
        </is>
      </c>
      <c r="B6" s="181" t="n"/>
      <c r="D6" s="554" t="inlineStr">
        <is>
          <t>S.No</t>
        </is>
      </c>
      <c r="E6" s="533" t="inlineStr">
        <is>
          <t>Cycles / Hour</t>
        </is>
      </c>
      <c r="F6" s="546" t="n"/>
      <c r="G6" s="546" t="n"/>
      <c r="H6" s="546" t="n"/>
      <c r="I6" s="546" t="n"/>
      <c r="J6" s="546" t="n"/>
      <c r="K6" s="546" t="n"/>
      <c r="L6" s="546" t="n"/>
      <c r="M6" s="546" t="n"/>
      <c r="N6" s="546" t="n"/>
      <c r="O6" s="546" t="n"/>
      <c r="P6" s="546" t="n"/>
      <c r="Q6" s="546" t="n"/>
      <c r="R6" s="546" t="n"/>
      <c r="S6" s="534" t="n"/>
      <c r="T6" s="27">
        <f>3600/T7</f>
        <v/>
      </c>
      <c r="V6" s="554" t="inlineStr">
        <is>
          <t>S.No</t>
        </is>
      </c>
      <c r="W6" s="533" t="inlineStr">
        <is>
          <t>Cycles / Hour</t>
        </is>
      </c>
      <c r="X6" s="546" t="n"/>
      <c r="Y6" s="546" t="n"/>
      <c r="Z6" s="546" t="n"/>
      <c r="AA6" s="546" t="n"/>
      <c r="AB6" s="546" t="n"/>
      <c r="AC6" s="546" t="n"/>
      <c r="AD6" s="546" t="n"/>
      <c r="AE6" s="546" t="n"/>
      <c r="AF6" s="546" t="n"/>
      <c r="AG6" s="546" t="n"/>
      <c r="AH6" s="546" t="n"/>
      <c r="AI6" s="546" t="n"/>
      <c r="AJ6" s="546" t="n"/>
      <c r="AK6" s="534" t="n"/>
      <c r="AL6" s="17">
        <f>3600/AL7</f>
        <v/>
      </c>
      <c r="AN6" s="554" t="inlineStr">
        <is>
          <t>S.No</t>
        </is>
      </c>
      <c r="AO6" s="533" t="inlineStr">
        <is>
          <t>Cycles / Hour</t>
        </is>
      </c>
      <c r="AP6" s="546" t="n"/>
      <c r="AQ6" s="546" t="n"/>
      <c r="AR6" s="546" t="n"/>
      <c r="AS6" s="546" t="n"/>
      <c r="AT6" s="546" t="n"/>
      <c r="AU6" s="546" t="n"/>
      <c r="AV6" s="546" t="n"/>
      <c r="AW6" s="546" t="n"/>
      <c r="AX6" s="546" t="n"/>
      <c r="AY6" s="546" t="n"/>
      <c r="AZ6" s="546" t="n"/>
      <c r="BA6" s="546" t="n"/>
      <c r="BB6" s="546" t="n"/>
      <c r="BC6" s="534" t="n"/>
      <c r="BD6" s="17">
        <f>3600/BD7</f>
        <v/>
      </c>
      <c r="BF6" s="554" t="inlineStr">
        <is>
          <t>S.No</t>
        </is>
      </c>
      <c r="BG6" s="533" t="inlineStr">
        <is>
          <t>Cycles / Hour</t>
        </is>
      </c>
      <c r="BH6" s="546" t="n"/>
      <c r="BI6" s="546" t="n"/>
      <c r="BJ6" s="546" t="n"/>
      <c r="BK6" s="546" t="n"/>
      <c r="BL6" s="546" t="n"/>
      <c r="BM6" s="546" t="n"/>
      <c r="BN6" s="546" t="n"/>
      <c r="BO6" s="546" t="n"/>
      <c r="BP6" s="546" t="n"/>
      <c r="BQ6" s="546" t="n"/>
      <c r="BR6" s="546" t="n"/>
      <c r="BS6" s="546" t="n"/>
      <c r="BT6" s="546" t="n"/>
      <c r="BU6" s="534" t="n"/>
      <c r="BV6" s="17">
        <f>3600/BV7</f>
        <v/>
      </c>
    </row>
    <row r="7" ht="18" customHeight="1" s="516">
      <c r="D7" s="555" t="n"/>
      <c r="E7" s="533" t="inlineStr">
        <is>
          <t>Effective Cycle Time</t>
        </is>
      </c>
      <c r="F7" s="546" t="n"/>
      <c r="G7" s="546" t="n"/>
      <c r="H7" s="546" t="n"/>
      <c r="I7" s="546" t="n"/>
      <c r="J7" s="546" t="n"/>
      <c r="K7" s="546" t="n"/>
      <c r="L7" s="546" t="n"/>
      <c r="M7" s="546" t="n"/>
      <c r="N7" s="546" t="n"/>
      <c r="O7" s="546" t="n"/>
      <c r="P7" s="546" t="n"/>
      <c r="Q7" s="546" t="n"/>
      <c r="R7" s="546" t="n"/>
      <c r="S7" s="534" t="n"/>
      <c r="T7" s="11">
        <f>T9/T8</f>
        <v/>
      </c>
      <c r="V7" s="555" t="n"/>
      <c r="W7" s="533" t="inlineStr">
        <is>
          <t>Effective Cycle Time</t>
        </is>
      </c>
      <c r="X7" s="546" t="n"/>
      <c r="Y7" s="546" t="n"/>
      <c r="Z7" s="546" t="n"/>
      <c r="AA7" s="546" t="n"/>
      <c r="AB7" s="546" t="n"/>
      <c r="AC7" s="546" t="n"/>
      <c r="AD7" s="546" t="n"/>
      <c r="AE7" s="546" t="n"/>
      <c r="AF7" s="546" t="n"/>
      <c r="AG7" s="546" t="n"/>
      <c r="AH7" s="546" t="n"/>
      <c r="AI7" s="546" t="n"/>
      <c r="AJ7" s="546" t="n"/>
      <c r="AK7" s="534" t="n"/>
      <c r="AL7" s="11">
        <f>AL9/AL8</f>
        <v/>
      </c>
      <c r="AN7" s="555" t="n"/>
      <c r="AO7" s="533" t="inlineStr">
        <is>
          <t>Effective Cycle Time</t>
        </is>
      </c>
      <c r="AP7" s="546" t="n"/>
      <c r="AQ7" s="546" t="n"/>
      <c r="AR7" s="546" t="n"/>
      <c r="AS7" s="546" t="n"/>
      <c r="AT7" s="546" t="n"/>
      <c r="AU7" s="546" t="n"/>
      <c r="AV7" s="546" t="n"/>
      <c r="AW7" s="546" t="n"/>
      <c r="AX7" s="546" t="n"/>
      <c r="AY7" s="546" t="n"/>
      <c r="AZ7" s="546" t="n"/>
      <c r="BA7" s="546" t="n"/>
      <c r="BB7" s="546" t="n"/>
      <c r="BC7" s="534" t="n"/>
      <c r="BD7" s="11">
        <f>BD9/BD8</f>
        <v/>
      </c>
      <c r="BF7" s="555" t="n"/>
      <c r="BG7" s="533" t="inlineStr">
        <is>
          <t>Effective Cycle Time</t>
        </is>
      </c>
      <c r="BH7" s="546" t="n"/>
      <c r="BI7" s="546" t="n"/>
      <c r="BJ7" s="546" t="n"/>
      <c r="BK7" s="546" t="n"/>
      <c r="BL7" s="546" t="n"/>
      <c r="BM7" s="546" t="n"/>
      <c r="BN7" s="546" t="n"/>
      <c r="BO7" s="546" t="n"/>
      <c r="BP7" s="546" t="n"/>
      <c r="BQ7" s="546" t="n"/>
      <c r="BR7" s="546" t="n"/>
      <c r="BS7" s="546" t="n"/>
      <c r="BT7" s="546" t="n"/>
      <c r="BU7" s="534" t="n"/>
      <c r="BV7" s="11">
        <f>BV9/BV8</f>
        <v/>
      </c>
    </row>
    <row r="8" ht="18" customHeight="1" s="516">
      <c r="D8" s="555" t="n"/>
      <c r="E8" s="533" t="inlineStr">
        <is>
          <t>Equipment Utilization</t>
        </is>
      </c>
      <c r="F8" s="546" t="n"/>
      <c r="G8" s="546" t="n"/>
      <c r="H8" s="546" t="n"/>
      <c r="I8" s="546" t="n"/>
      <c r="J8" s="546" t="n"/>
      <c r="K8" s="546" t="n"/>
      <c r="L8" s="546" t="n"/>
      <c r="M8" s="546" t="n"/>
      <c r="N8" s="546" t="n"/>
      <c r="O8" s="546" t="n"/>
      <c r="P8" s="546" t="n"/>
      <c r="Q8" s="546" t="n"/>
      <c r="R8" s="546" t="n"/>
      <c r="S8" s="534" t="n"/>
      <c r="T8" s="12">
        <f>'Master List'!$G$1</f>
        <v/>
      </c>
      <c r="V8" s="555" t="n"/>
      <c r="W8" s="533" t="inlineStr">
        <is>
          <t>Equipment Utilization</t>
        </is>
      </c>
      <c r="X8" s="546" t="n"/>
      <c r="Y8" s="546" t="n"/>
      <c r="Z8" s="546" t="n"/>
      <c r="AA8" s="546" t="n"/>
      <c r="AB8" s="546" t="n"/>
      <c r="AC8" s="546" t="n"/>
      <c r="AD8" s="546" t="n"/>
      <c r="AE8" s="546" t="n"/>
      <c r="AF8" s="546" t="n"/>
      <c r="AG8" s="546" t="n"/>
      <c r="AH8" s="546" t="n"/>
      <c r="AI8" s="546" t="n"/>
      <c r="AJ8" s="546" t="n"/>
      <c r="AK8" s="534" t="n"/>
      <c r="AL8" s="12" t="n">
        <v>0.85</v>
      </c>
      <c r="AN8" s="555" t="n"/>
      <c r="AO8" s="533" t="inlineStr">
        <is>
          <t>Equipment Utilization</t>
        </is>
      </c>
      <c r="AP8" s="546" t="n"/>
      <c r="AQ8" s="546" t="n"/>
      <c r="AR8" s="546" t="n"/>
      <c r="AS8" s="546" t="n"/>
      <c r="AT8" s="546" t="n"/>
      <c r="AU8" s="546" t="n"/>
      <c r="AV8" s="546" t="n"/>
      <c r="AW8" s="546" t="n"/>
      <c r="AX8" s="546" t="n"/>
      <c r="AY8" s="546" t="n"/>
      <c r="AZ8" s="546" t="n"/>
      <c r="BA8" s="546" t="n"/>
      <c r="BB8" s="546" t="n"/>
      <c r="BC8" s="534" t="n"/>
      <c r="BD8" s="12" t="n">
        <v>0.85</v>
      </c>
      <c r="BF8" s="555" t="n"/>
      <c r="BG8" s="533" t="inlineStr">
        <is>
          <t>Equipment Utilization</t>
        </is>
      </c>
      <c r="BH8" s="546" t="n"/>
      <c r="BI8" s="546" t="n"/>
      <c r="BJ8" s="546" t="n"/>
      <c r="BK8" s="546" t="n"/>
      <c r="BL8" s="546" t="n"/>
      <c r="BM8" s="546" t="n"/>
      <c r="BN8" s="546" t="n"/>
      <c r="BO8" s="546" t="n"/>
      <c r="BP8" s="546" t="n"/>
      <c r="BQ8" s="546" t="n"/>
      <c r="BR8" s="546" t="n"/>
      <c r="BS8" s="546" t="n"/>
      <c r="BT8" s="546" t="n"/>
      <c r="BU8" s="534" t="n"/>
      <c r="BV8" s="12" t="n">
        <v>0.85</v>
      </c>
      <c r="BY8" s="66" t="n"/>
    </row>
    <row r="9" ht="18" customHeight="1" s="516">
      <c r="A9" s="92" t="inlineStr">
        <is>
          <t>Totes/ Hr per person</t>
        </is>
      </c>
      <c r="B9" s="92">
        <f>T6</f>
        <v/>
      </c>
      <c r="D9" s="555" t="n"/>
      <c r="E9" s="533" t="inlineStr">
        <is>
          <t>Cycle Time</t>
        </is>
      </c>
      <c r="F9" s="546" t="n"/>
      <c r="G9" s="546" t="n"/>
      <c r="H9" s="546" t="n"/>
      <c r="I9" s="546" t="n"/>
      <c r="J9" s="546" t="n"/>
      <c r="K9" s="546" t="n"/>
      <c r="L9" s="546" t="n"/>
      <c r="M9" s="546" t="n"/>
      <c r="N9" s="546" t="n"/>
      <c r="O9" s="546" t="n"/>
      <c r="P9" s="546" t="n"/>
      <c r="Q9" s="546" t="n"/>
      <c r="R9" s="546" t="n"/>
      <c r="S9" s="534" t="n"/>
      <c r="T9" s="13">
        <f>SUM(T11:T97)</f>
        <v/>
      </c>
      <c r="V9" s="555" t="n"/>
      <c r="W9" s="533" t="inlineStr">
        <is>
          <t>Cycle Time</t>
        </is>
      </c>
      <c r="X9" s="546" t="n"/>
      <c r="Y9" s="546" t="n"/>
      <c r="Z9" s="546" t="n"/>
      <c r="AA9" s="546" t="n"/>
      <c r="AB9" s="546" t="n"/>
      <c r="AC9" s="546" t="n"/>
      <c r="AD9" s="546" t="n"/>
      <c r="AE9" s="546" t="n"/>
      <c r="AF9" s="546" t="n"/>
      <c r="AG9" s="546" t="n"/>
      <c r="AH9" s="546" t="n"/>
      <c r="AI9" s="546" t="n"/>
      <c r="AJ9" s="546" t="n"/>
      <c r="AK9" s="534" t="n"/>
      <c r="AL9" s="13">
        <f>SUM(AL11:AL97)</f>
        <v/>
      </c>
      <c r="AN9" s="555" t="n"/>
      <c r="AO9" s="533" t="inlineStr">
        <is>
          <t>Cycle Time</t>
        </is>
      </c>
      <c r="AP9" s="546" t="n"/>
      <c r="AQ9" s="546" t="n"/>
      <c r="AR9" s="546" t="n"/>
      <c r="AS9" s="546" t="n"/>
      <c r="AT9" s="546" t="n"/>
      <c r="AU9" s="546" t="n"/>
      <c r="AV9" s="546" t="n"/>
      <c r="AW9" s="546" t="n"/>
      <c r="AX9" s="546" t="n"/>
      <c r="AY9" s="546" t="n"/>
      <c r="AZ9" s="546" t="n"/>
      <c r="BA9" s="546" t="n"/>
      <c r="BB9" s="546" t="n"/>
      <c r="BC9" s="534" t="n"/>
      <c r="BD9" s="13">
        <f>SUM(BD11:BD97)</f>
        <v/>
      </c>
      <c r="BF9" s="555" t="n"/>
      <c r="BG9" s="533" t="inlineStr">
        <is>
          <t>Cycle Time</t>
        </is>
      </c>
      <c r="BH9" s="546" t="n"/>
      <c r="BI9" s="546" t="n"/>
      <c r="BJ9" s="546" t="n"/>
      <c r="BK9" s="546" t="n"/>
      <c r="BL9" s="546" t="n"/>
      <c r="BM9" s="546" t="n"/>
      <c r="BN9" s="546" t="n"/>
      <c r="BO9" s="546" t="n"/>
      <c r="BP9" s="546" t="n"/>
      <c r="BQ9" s="546" t="n"/>
      <c r="BR9" s="546" t="n"/>
      <c r="BS9" s="546" t="n"/>
      <c r="BT9" s="546" t="n"/>
      <c r="BU9" s="534" t="n"/>
      <c r="BV9" s="13">
        <f>SUM(BV11:BV97)</f>
        <v/>
      </c>
    </row>
    <row r="10" ht="84" customFormat="1" customHeight="1" s="6">
      <c r="A10" s="1" t="n"/>
      <c r="B10" s="1" t="n"/>
      <c r="D10" s="556" t="n"/>
      <c r="E10" s="16" t="inlineStr">
        <is>
          <t>Activity Type</t>
        </is>
      </c>
      <c r="F10" s="2" t="inlineStr">
        <is>
          <t>Steps</t>
        </is>
      </c>
      <c r="G10" s="21" t="inlineStr">
        <is>
          <t>Time to consider in absence of data (sec)</t>
        </is>
      </c>
      <c r="H10" s="21" t="inlineStr">
        <is>
          <t>Speed (m / sec)</t>
        </is>
      </c>
      <c r="I10" s="21" t="inlineStr">
        <is>
          <t>Acceleration (m / sec^2)</t>
        </is>
      </c>
      <c r="J10" s="18" t="inlineStr">
        <is>
          <t>Total Distance (m)</t>
        </is>
      </c>
      <c r="K10" s="3" t="inlineStr">
        <is>
          <t>Time to Reach Max Speed (sec)</t>
        </is>
      </c>
      <c r="L10" s="4" t="inlineStr">
        <is>
          <t>Distance in accerlaration (m)</t>
        </is>
      </c>
      <c r="M10" s="2" t="inlineStr">
        <is>
          <t>Distance in Max speed (m)</t>
        </is>
      </c>
      <c r="N10" s="5" t="inlineStr">
        <is>
          <t>Distance in de-acceleration (m)</t>
        </is>
      </c>
      <c r="O10" s="4" t="inlineStr">
        <is>
          <t>Time in acceleration (sec)</t>
        </is>
      </c>
      <c r="P10" s="2" t="inlineStr">
        <is>
          <t>Time in full speed (sec)</t>
        </is>
      </c>
      <c r="Q10" s="5" t="inlineStr">
        <is>
          <t>Time in de-acceleration (sec)</t>
        </is>
      </c>
      <c r="R10" s="19" t="inlineStr">
        <is>
          <t>Time (sec)</t>
        </is>
      </c>
      <c r="S10" s="18" t="inlineStr">
        <is>
          <t>Units</t>
        </is>
      </c>
      <c r="T10" s="20" t="inlineStr">
        <is>
          <t>Total Time</t>
        </is>
      </c>
      <c r="V10" s="556" t="n"/>
      <c r="W10" s="16" t="inlineStr">
        <is>
          <t>Activity Type</t>
        </is>
      </c>
      <c r="X10" s="2" t="inlineStr">
        <is>
          <t>Steps</t>
        </is>
      </c>
      <c r="Y10" s="21" t="inlineStr">
        <is>
          <t>Time to consider in absence of data (sec)</t>
        </is>
      </c>
      <c r="Z10" s="21" t="inlineStr">
        <is>
          <t>Speed (m / sec)</t>
        </is>
      </c>
      <c r="AA10" s="21" t="inlineStr">
        <is>
          <t>Acceleration (m / sec^2)</t>
        </is>
      </c>
      <c r="AB10" s="18" t="inlineStr">
        <is>
          <t>Total Distance (m)</t>
        </is>
      </c>
      <c r="AC10" s="3" t="inlineStr">
        <is>
          <t>Time to Reach Max Speed (sec)</t>
        </is>
      </c>
      <c r="AD10" s="4" t="inlineStr">
        <is>
          <t>Distance in accerlaration (m)</t>
        </is>
      </c>
      <c r="AE10" s="2" t="inlineStr">
        <is>
          <t>Distance in Max speed (m)</t>
        </is>
      </c>
      <c r="AF10" s="5" t="inlineStr">
        <is>
          <t>Distance in de-acceleration (m)</t>
        </is>
      </c>
      <c r="AG10" s="4" t="inlineStr">
        <is>
          <t>Time in acceleration (sec)</t>
        </is>
      </c>
      <c r="AH10" s="2" t="inlineStr">
        <is>
          <t>Time in full speed (sec)</t>
        </is>
      </c>
      <c r="AI10" s="5" t="inlineStr">
        <is>
          <t>Time in de-acceleration (sec)</t>
        </is>
      </c>
      <c r="AJ10" s="19" t="inlineStr">
        <is>
          <t>Time (sec)</t>
        </is>
      </c>
      <c r="AK10" s="18" t="inlineStr">
        <is>
          <t>Units</t>
        </is>
      </c>
      <c r="AL10" s="20" t="inlineStr">
        <is>
          <t>Total Time</t>
        </is>
      </c>
      <c r="AN10" s="556" t="n"/>
      <c r="AO10" s="16" t="inlineStr">
        <is>
          <t>Activity Type</t>
        </is>
      </c>
      <c r="AP10" s="2" t="inlineStr">
        <is>
          <t>Steps</t>
        </is>
      </c>
      <c r="AQ10" s="21" t="inlineStr">
        <is>
          <t>Time to consider in absence of data (sec)</t>
        </is>
      </c>
      <c r="AR10" s="21" t="inlineStr">
        <is>
          <t>Speed (m / sec)</t>
        </is>
      </c>
      <c r="AS10" s="21" t="inlineStr">
        <is>
          <t>Acceleration (m / sec^2)</t>
        </is>
      </c>
      <c r="AT10" s="18" t="inlineStr">
        <is>
          <t>Total Distance (m)</t>
        </is>
      </c>
      <c r="AU10" s="3" t="inlineStr">
        <is>
          <t>Time to Reach Max Speed (sec)</t>
        </is>
      </c>
      <c r="AV10" s="4" t="inlineStr">
        <is>
          <t>Distance in accerlaration (m)</t>
        </is>
      </c>
      <c r="AW10" s="2" t="inlineStr">
        <is>
          <t>Distance in Max speed (m)</t>
        </is>
      </c>
      <c r="AX10" s="5" t="inlineStr">
        <is>
          <t>Distance in de-acceleration (m)</t>
        </is>
      </c>
      <c r="AY10" s="4" t="inlineStr">
        <is>
          <t>Time in acceleration (sec)</t>
        </is>
      </c>
      <c r="AZ10" s="2" t="inlineStr">
        <is>
          <t>Time in full speed (sec)</t>
        </is>
      </c>
      <c r="BA10" s="5" t="inlineStr">
        <is>
          <t>Time in de-acceleration (sec)</t>
        </is>
      </c>
      <c r="BB10" s="19" t="inlineStr">
        <is>
          <t>Time (sec)</t>
        </is>
      </c>
      <c r="BC10" s="18" t="inlineStr">
        <is>
          <t>Units</t>
        </is>
      </c>
      <c r="BD10" s="20" t="inlineStr">
        <is>
          <t>Total Time</t>
        </is>
      </c>
      <c r="BF10" s="556" t="n"/>
      <c r="BG10" s="16" t="inlineStr">
        <is>
          <t>Activity Type</t>
        </is>
      </c>
      <c r="BH10" s="2" t="inlineStr">
        <is>
          <t>Steps</t>
        </is>
      </c>
      <c r="BI10" s="21" t="inlineStr">
        <is>
          <t>Time to consider in absence of data (sec)</t>
        </is>
      </c>
      <c r="BJ10" s="21" t="inlineStr">
        <is>
          <t>Speed (m / sec)</t>
        </is>
      </c>
      <c r="BK10" s="21" t="inlineStr">
        <is>
          <t>Acceleration (m / sec^2)</t>
        </is>
      </c>
      <c r="BL10" s="18" t="inlineStr">
        <is>
          <t>Total Distance (m)</t>
        </is>
      </c>
      <c r="BM10" s="3" t="inlineStr">
        <is>
          <t>Time to Reach Max Speed (sec)</t>
        </is>
      </c>
      <c r="BN10" s="4" t="inlineStr">
        <is>
          <t>Distance in accerlaration (m)</t>
        </is>
      </c>
      <c r="BO10" s="2" t="inlineStr">
        <is>
          <t>Distance in Max speed (m)</t>
        </is>
      </c>
      <c r="BP10" s="5" t="inlineStr">
        <is>
          <t>Distance in de-acceleration (m)</t>
        </is>
      </c>
      <c r="BQ10" s="4" t="inlineStr">
        <is>
          <t>Time in acceleration (sec)</t>
        </is>
      </c>
      <c r="BR10" s="2" t="inlineStr">
        <is>
          <t>Time in full speed (sec)</t>
        </is>
      </c>
      <c r="BS10" s="5" t="inlineStr">
        <is>
          <t>Time in de-acceleration (sec)</t>
        </is>
      </c>
      <c r="BT10" s="19" t="inlineStr">
        <is>
          <t>Time (sec)</t>
        </is>
      </c>
      <c r="BU10" s="18" t="inlineStr">
        <is>
          <t>Units</t>
        </is>
      </c>
      <c r="BV10" s="20" t="inlineStr">
        <is>
          <t>Total Time</t>
        </is>
      </c>
    </row>
    <row r="11">
      <c r="A11" s="85" t="inlineStr">
        <is>
          <t>Inputs</t>
        </is>
      </c>
      <c r="B11" s="85" t="inlineStr">
        <is>
          <t>Value</t>
        </is>
      </c>
      <c r="D11" s="14" t="n">
        <v>1</v>
      </c>
      <c r="E11" s="28" t="inlineStr">
        <is>
          <t>Pick and place Cases within reach - Shoulder or knee level</t>
        </is>
      </c>
      <c r="F11" s="29" t="inlineStr">
        <is>
          <t>Get empty tote on workstation</t>
        </is>
      </c>
      <c r="G11" s="9">
        <f>IFERROR(VLOOKUP(E11,'Master List'!$A:$D,2,0),0)</f>
        <v/>
      </c>
      <c r="H11" s="9">
        <f>IFERROR(VLOOKUP(E11,'Master List'!$A:$D,3,0),0)</f>
        <v/>
      </c>
      <c r="I11" s="9">
        <f>IFERROR(VLOOKUP(E11,'Master List'!$A:$D,4,0),0)</f>
        <v/>
      </c>
      <c r="J11" s="32" t="n"/>
      <c r="K11" s="7">
        <f>IFERROR(H11/I11,0)</f>
        <v/>
      </c>
      <c r="L11" s="8">
        <f>IFERROR(IF(J11&lt;((1/2*I11*K11^2)*2),1/2*I11*SQRT((J11/2)*2/I11)^2,1/2*I11*K11^2),0)</f>
        <v/>
      </c>
      <c r="M11" s="9">
        <f>IFERROR(IF(J11-L11-N11&lt;=0,0,J11-L11-N11),0)</f>
        <v/>
      </c>
      <c r="N11" s="10">
        <f>L11</f>
        <v/>
      </c>
      <c r="O11" s="8">
        <f>IFERROR(IF(J11&lt;((1/2*I11*K11^2)*2),SQRT((J11/2)*2/I11),K11),0)</f>
        <v/>
      </c>
      <c r="P11" s="9">
        <f>IFERROR(M11/H11,0)</f>
        <v/>
      </c>
      <c r="Q11" s="10">
        <f>O11</f>
        <v/>
      </c>
      <c r="R11" s="8">
        <f>IF(G11&gt;0,G11,SUM(O11:Q11))</f>
        <v/>
      </c>
      <c r="S11" s="32">
        <f>B13/B12</f>
        <v/>
      </c>
      <c r="T11" s="10">
        <f>R11*S11</f>
        <v/>
      </c>
      <c r="V11" s="14" t="n">
        <v>1</v>
      </c>
      <c r="W11" s="28" t="n"/>
      <c r="X11" s="30" t="n"/>
      <c r="Y11" s="9">
        <f>IFERROR(VLOOKUP(W11,'Master List'!$A:$D,2,0),0)</f>
        <v/>
      </c>
      <c r="Z11" s="9">
        <f>IFERROR(VLOOKUP(W11,'Master List'!$A:$D,3,0),0)</f>
        <v/>
      </c>
      <c r="AA11" s="9">
        <f>IFERROR(VLOOKUP(W11,'Master List'!$A:$D,4,0),0)</f>
        <v/>
      </c>
      <c r="AB11" s="32" t="n"/>
      <c r="AC11" s="7">
        <f>IFERROR(Z11/AA11,0)</f>
        <v/>
      </c>
      <c r="AD11" s="8">
        <f>IFERROR(IF(AB11&lt;((1/2*AA11*AC11^2)*2),1/2*AA11*SQRT((AB11/2)*2/AA11)^2,1/2*AA11*AC11^2),0)</f>
        <v/>
      </c>
      <c r="AE11" s="9">
        <f>IFERROR(IF(AB11-AD11-AF11&lt;=0,0,AB11-AD11-AF11),0)</f>
        <v/>
      </c>
      <c r="AF11" s="10">
        <f>AD11</f>
        <v/>
      </c>
      <c r="AG11" s="8">
        <f>IFERROR(IF(AB11&lt;((1/2*AA11*AC11^2)*2),SQRT((AB11/2)*2/AA11),AC11),0)</f>
        <v/>
      </c>
      <c r="AH11" s="9">
        <f>IFERROR(AE11/Z11,0)</f>
        <v/>
      </c>
      <c r="AI11" s="10">
        <f>AG11</f>
        <v/>
      </c>
      <c r="AJ11" s="8">
        <f>IF(Y11&gt;0,Y11,SUM(AG11:AI11))</f>
        <v/>
      </c>
      <c r="AK11" s="32" t="n"/>
      <c r="AL11" s="10">
        <f>AJ11*AK11</f>
        <v/>
      </c>
      <c r="AN11" s="14" t="n">
        <v>1</v>
      </c>
      <c r="AO11" s="28" t="n"/>
      <c r="AP11" s="30" t="n"/>
      <c r="AQ11" s="9">
        <f>IFERROR(VLOOKUP(AO11,'Master List'!$A:$D,2,0),0)</f>
        <v/>
      </c>
      <c r="AR11" s="9">
        <f>IFERROR(VLOOKUP(AO11,'Master List'!$A:$D,3,0),0)</f>
        <v/>
      </c>
      <c r="AS11" s="9">
        <f>IFERROR(VLOOKUP(AO11,'Master List'!$A:$D,4,0),0)</f>
        <v/>
      </c>
      <c r="AT11" s="32" t="n"/>
      <c r="AU11" s="7">
        <f>IFERROR(AR11/AS11,0)</f>
        <v/>
      </c>
      <c r="AV11" s="8">
        <f>IFERROR(IF(AT11&lt;((1/2*AS11*AU11^2)*2),1/2*AS11*SQRT((AT11/2)*2/AS11)^2,1/2*AS11*AU11^2),0)</f>
        <v/>
      </c>
      <c r="AW11" s="9">
        <f>IFERROR(IF(AT11-AV11-AX11&lt;=0,0,AT11-AV11-AX11),0)</f>
        <v/>
      </c>
      <c r="AX11" s="10">
        <f>AV11</f>
        <v/>
      </c>
      <c r="AY11" s="8">
        <f>IFERROR(IF(AT11&lt;((1/2*AS11*AU11^2)*2),SQRT((AT11/2)*2/AS11),AU11),0)</f>
        <v/>
      </c>
      <c r="AZ11" s="9">
        <f>IFERROR(AW11/AR11,0)</f>
        <v/>
      </c>
      <c r="BA11" s="10">
        <f>AY11</f>
        <v/>
      </c>
      <c r="BB11" s="8">
        <f>IF(AQ11&gt;0,AQ11,SUM(AY11:BA11))</f>
        <v/>
      </c>
      <c r="BC11" s="32" t="n"/>
      <c r="BD11" s="10">
        <f>BB11*BC11</f>
        <v/>
      </c>
      <c r="BF11" s="14" t="n">
        <v>1</v>
      </c>
      <c r="BG11" s="28" t="n"/>
      <c r="BH11" s="30" t="n"/>
      <c r="BI11" s="9">
        <f>IFERROR(VLOOKUP(BG11,'Master List'!$A:$D,2,0),0)</f>
        <v/>
      </c>
      <c r="BJ11" s="9">
        <f>IFERROR(VLOOKUP(BG11,'Master List'!$A:$D,3,0),0)</f>
        <v/>
      </c>
      <c r="BK11" s="9">
        <f>IFERROR(VLOOKUP(BG11,'Master List'!$A:$D,4,0),0)</f>
        <v/>
      </c>
      <c r="BL11" s="32" t="n"/>
      <c r="BM11" s="7">
        <f>IFERROR(BJ11/BK11,0)</f>
        <v/>
      </c>
      <c r="BN11" s="8">
        <f>IFERROR(IF(BL11&lt;((1/2*BK11*BM11^2)*2),1/2*BK11*SQRT((BL11/2)*2/BK11)^2,1/2*BK11*BM11^2),0)</f>
        <v/>
      </c>
      <c r="BO11" s="9">
        <f>IFERROR(IF(BL11-BN11-BP11&lt;=0,0,BL11-BN11-BP11),0)</f>
        <v/>
      </c>
      <c r="BP11" s="10">
        <f>BN11</f>
        <v/>
      </c>
      <c r="BQ11" s="8">
        <f>IFERROR(IF(BL11&lt;((1/2*BK11*BM11^2)*2),SQRT((BL11/2)*2/BK11),BM11),0)</f>
        <v/>
      </c>
      <c r="BR11" s="9">
        <f>IFERROR(BO11/BJ11,0)</f>
        <v/>
      </c>
      <c r="BS11" s="10">
        <f>BQ11</f>
        <v/>
      </c>
      <c r="BT11" s="8">
        <f>IF(BI11&gt;0,BI11,SUM(BQ11:BS11))</f>
        <v/>
      </c>
      <c r="BU11" s="32" t="n"/>
      <c r="BV11" s="10">
        <f>BT11*BU11</f>
        <v/>
      </c>
    </row>
    <row r="12">
      <c r="A12" s="45" t="inlineStr">
        <is>
          <t>Units per inbound carton</t>
        </is>
      </c>
      <c r="B12" s="93" t="n">
        <v>44</v>
      </c>
      <c r="D12" s="14">
        <f>D11+1</f>
        <v/>
      </c>
      <c r="E12" s="28" t="inlineStr">
        <is>
          <t>Pick and place Cases within reach - Waist level</t>
        </is>
      </c>
      <c r="F12" s="29" t="inlineStr">
        <is>
          <t>Pick SKU tote and put inside the empty tote</t>
        </is>
      </c>
      <c r="G12" s="9">
        <f>IFERROR(VLOOKUP(E12,'Master List'!$A:$D,2,0),0)</f>
        <v/>
      </c>
      <c r="H12" s="9">
        <f>IFERROR(VLOOKUP(E12,'Master List'!$A:$D,3,0),0)</f>
        <v/>
      </c>
      <c r="I12" s="9">
        <f>IFERROR(VLOOKUP(E12,'Master List'!$A:$D,4,0),0)</f>
        <v/>
      </c>
      <c r="J12" s="32" t="n"/>
      <c r="K12" s="7">
        <f>IFERROR(H12/I12,0)</f>
        <v/>
      </c>
      <c r="L12" s="8">
        <f>IFERROR(IF(J12&lt;((1/2*I12*K12^2)*2),1/2*I12*SQRT((J12/2)*2/I12)^2,1/2*I12*K12^2),0)</f>
        <v/>
      </c>
      <c r="M12" s="9">
        <f>IFERROR(IF(J12-L12-N12&lt;=0,0,J12-L12-N12),0)</f>
        <v/>
      </c>
      <c r="N12" s="10">
        <f>L12</f>
        <v/>
      </c>
      <c r="O12" s="8">
        <f>IFERROR(IF(J12&lt;((1/2*I12*K12^2)*2),SQRT((J12/2)*2/I12),K12),0)</f>
        <v/>
      </c>
      <c r="P12" s="9">
        <f>IFERROR(M12/H12,0)</f>
        <v/>
      </c>
      <c r="Q12" s="10">
        <f>O12</f>
        <v/>
      </c>
      <c r="R12" s="8">
        <f>IF(G12&gt;0,G12,SUM(O12:Q12))</f>
        <v/>
      </c>
      <c r="S12" s="32" t="n">
        <v>1</v>
      </c>
      <c r="T12" s="10">
        <f>R12*S12</f>
        <v/>
      </c>
      <c r="V12" s="14">
        <f>V11+1</f>
        <v/>
      </c>
      <c r="W12" s="28" t="n"/>
      <c r="X12" s="30" t="n"/>
      <c r="Y12" s="9">
        <f>IFERROR(VLOOKUP(W12,'Master List'!$A:$D,2,0),0)</f>
        <v/>
      </c>
      <c r="Z12" s="9">
        <f>IFERROR(VLOOKUP(W12,'Master List'!$A:$D,3,0),0)</f>
        <v/>
      </c>
      <c r="AA12" s="9">
        <f>IFERROR(VLOOKUP(W12,'Master List'!$A:$D,4,0),0)</f>
        <v/>
      </c>
      <c r="AB12" s="32" t="n"/>
      <c r="AC12" s="7">
        <f>IFERROR(Z12/AA12,0)</f>
        <v/>
      </c>
      <c r="AD12" s="8">
        <f>IFERROR(IF(AB12&lt;((1/2*AA12*AC12^2)*2),1/2*AA12*SQRT((AB12/2)*2/AA12)^2,1/2*AA12*AC12^2),0)</f>
        <v/>
      </c>
      <c r="AE12" s="9">
        <f>IFERROR(IF(AB12-AD12-AF12&lt;=0,0,AB12-AD12-AF12),0)</f>
        <v/>
      </c>
      <c r="AF12" s="10">
        <f>AD12</f>
        <v/>
      </c>
      <c r="AG12" s="8">
        <f>IFERROR(IF(AB12&lt;((1/2*AA12*AC12^2)*2),SQRT((AB12/2)*2/AA12),AC12),0)</f>
        <v/>
      </c>
      <c r="AH12" s="9">
        <f>IFERROR(AE12/Z12,0)</f>
        <v/>
      </c>
      <c r="AI12" s="10">
        <f>AG12</f>
        <v/>
      </c>
      <c r="AJ12" s="8">
        <f>IF(Y12&gt;0,Y12,SUM(AG12:AI12))</f>
        <v/>
      </c>
      <c r="AK12" s="32" t="n"/>
      <c r="AL12" s="10">
        <f>AJ12*AK12</f>
        <v/>
      </c>
      <c r="AN12" s="14">
        <f>AN11+1</f>
        <v/>
      </c>
      <c r="AO12" s="28" t="n"/>
      <c r="AP12" s="30" t="n"/>
      <c r="AQ12" s="9">
        <f>IFERROR(VLOOKUP(AO12,'Master List'!$A:$D,2,0),0)</f>
        <v/>
      </c>
      <c r="AR12" s="9">
        <f>IFERROR(VLOOKUP(AO12,'Master List'!$A:$D,3,0),0)</f>
        <v/>
      </c>
      <c r="AS12" s="9">
        <f>IFERROR(VLOOKUP(AO12,'Master List'!$A:$D,4,0),0)</f>
        <v/>
      </c>
      <c r="AT12" s="32" t="n"/>
      <c r="AU12" s="7">
        <f>IFERROR(AR12/AS12,0)</f>
        <v/>
      </c>
      <c r="AV12" s="8">
        <f>IFERROR(IF(AT12&lt;((1/2*AS12*AU12^2)*2),1/2*AS12*SQRT((AT12/2)*2/AS12)^2,1/2*AS12*AU12^2),0)</f>
        <v/>
      </c>
      <c r="AW12" s="9">
        <f>IFERROR(IF(AT12-AV12-AX12&lt;=0,0,AT12-AV12-AX12),0)</f>
        <v/>
      </c>
      <c r="AX12" s="10">
        <f>AV12</f>
        <v/>
      </c>
      <c r="AY12" s="8">
        <f>IFERROR(IF(AT12&lt;((1/2*AS12*AU12^2)*2),SQRT((AT12/2)*2/AS12),AU12),0)</f>
        <v/>
      </c>
      <c r="AZ12" s="9">
        <f>IFERROR(AW12/AR12,0)</f>
        <v/>
      </c>
      <c r="BA12" s="10">
        <f>AY12</f>
        <v/>
      </c>
      <c r="BB12" s="8">
        <f>IF(AQ12&gt;0,AQ12,SUM(AY12:BA12))</f>
        <v/>
      </c>
      <c r="BC12" s="32" t="n"/>
      <c r="BD12" s="10">
        <f>BB12*BC12</f>
        <v/>
      </c>
      <c r="BF12" s="14">
        <f>BF11+1</f>
        <v/>
      </c>
      <c r="BG12" s="28" t="n"/>
      <c r="BH12" s="30" t="n"/>
      <c r="BI12" s="9">
        <f>IFERROR(VLOOKUP(BG12,'Master List'!$A:$D,2,0),0)</f>
        <v/>
      </c>
      <c r="BJ12" s="9">
        <f>IFERROR(VLOOKUP(BG12,'Master List'!$A:$D,3,0),0)</f>
        <v/>
      </c>
      <c r="BK12" s="9">
        <f>IFERROR(VLOOKUP(BG12,'Master List'!$A:$D,4,0),0)</f>
        <v/>
      </c>
      <c r="BL12" s="32" t="n"/>
      <c r="BM12" s="7">
        <f>IFERROR(BJ12/BK12,0)</f>
        <v/>
      </c>
      <c r="BN12" s="8">
        <f>IFERROR(IF(BL12&lt;((1/2*BK12*BM12^2)*2),1/2*BK12*SQRT((BL12/2)*2/BK12)^2,1/2*BK12*BM12^2),0)</f>
        <v/>
      </c>
      <c r="BO12" s="9">
        <f>IFERROR(IF(BL12-BN12-BP12&lt;=0,0,BL12-BN12-BP12),0)</f>
        <v/>
      </c>
      <c r="BP12" s="10">
        <f>BN12</f>
        <v/>
      </c>
      <c r="BQ12" s="8">
        <f>IFERROR(IF(BL12&lt;((1/2*BK12*BM12^2)*2),SQRT((BL12/2)*2/BK12),BM12),0)</f>
        <v/>
      </c>
      <c r="BR12" s="9">
        <f>IFERROR(BO12/BJ12,0)</f>
        <v/>
      </c>
      <c r="BS12" s="10">
        <f>BQ12</f>
        <v/>
      </c>
      <c r="BT12" s="8">
        <f>IF(BI12&gt;0,BI12,SUM(BQ12:BS12))</f>
        <v/>
      </c>
      <c r="BU12" s="32" t="n"/>
      <c r="BV12" s="10">
        <f>BT12*BU12</f>
        <v/>
      </c>
    </row>
    <row r="13">
      <c r="A13" s="45" t="inlineStr">
        <is>
          <t>Units per storage tote</t>
        </is>
      </c>
      <c r="B13" s="93" t="n">
        <v>13.4</v>
      </c>
      <c r="D13" s="14">
        <f>D12+1</f>
        <v/>
      </c>
      <c r="E13" s="28" t="inlineStr">
        <is>
          <t>Manual: Carton Opening/ Taping(600x400x400)</t>
        </is>
      </c>
      <c r="F13" s="29" t="inlineStr">
        <is>
          <t>Cut open the SKU case</t>
        </is>
      </c>
      <c r="G13" s="9">
        <f>IFERROR(VLOOKUP(E13,'Master List'!$A:$D,2,0),0)</f>
        <v/>
      </c>
      <c r="H13" s="9">
        <f>IFERROR(VLOOKUP(E13,'Master List'!$A:$D,3,0),0)</f>
        <v/>
      </c>
      <c r="I13" s="9">
        <f>IFERROR(VLOOKUP(E13,'Master List'!$A:$D,4,0),0)</f>
        <v/>
      </c>
      <c r="J13" s="32" t="n"/>
      <c r="K13" s="7">
        <f>IFERROR(H13/I13,0)</f>
        <v/>
      </c>
      <c r="L13" s="8">
        <f>IFERROR(IF(J13&lt;((1/2*I13*K13^2)*2),1/2*I13*SQRT((J13/2)*2/I13)^2,1/2*I13*K13^2),0)</f>
        <v/>
      </c>
      <c r="M13" s="9">
        <f>IFERROR(IF(J13-L13-N13&lt;=0,0,J13-L13-N13),0)</f>
        <v/>
      </c>
      <c r="N13" s="10">
        <f>L13</f>
        <v/>
      </c>
      <c r="O13" s="8">
        <f>IFERROR(IF(J13&lt;((1/2*I13*K13^2)*2),SQRT((J13/2)*2/I13),K13),0)</f>
        <v/>
      </c>
      <c r="P13" s="9">
        <f>IFERROR(M13/H13,0)</f>
        <v/>
      </c>
      <c r="Q13" s="10">
        <f>O13</f>
        <v/>
      </c>
      <c r="R13" s="8">
        <f>IF(G13&gt;0,G13,SUM(O13:Q13))</f>
        <v/>
      </c>
      <c r="S13" s="32">
        <f>S11</f>
        <v/>
      </c>
      <c r="T13" s="10">
        <f>R13*S13</f>
        <v/>
      </c>
      <c r="V13" s="14">
        <f>V12+1</f>
        <v/>
      </c>
      <c r="W13" s="28" t="n"/>
      <c r="X13" s="30" t="n"/>
      <c r="Y13" s="9">
        <f>IFERROR(VLOOKUP(W13,'Master List'!$A:$D,2,0),0)</f>
        <v/>
      </c>
      <c r="Z13" s="9">
        <f>IFERROR(VLOOKUP(W13,'Master List'!$A:$D,3,0),0)</f>
        <v/>
      </c>
      <c r="AA13" s="9">
        <f>IFERROR(VLOOKUP(W13,'Master List'!$A:$D,4,0),0)</f>
        <v/>
      </c>
      <c r="AB13" s="32" t="n"/>
      <c r="AC13" s="7">
        <f>IFERROR(Z13/AA13,0)</f>
        <v/>
      </c>
      <c r="AD13" s="8">
        <f>IFERROR(IF(AB13&lt;((1/2*AA13*AC13^2)*2),1/2*AA13*SQRT((AB13/2)*2/AA13)^2,1/2*AA13*AC13^2),0)</f>
        <v/>
      </c>
      <c r="AE13" s="9">
        <f>IFERROR(IF(AB13-AD13-AF13&lt;=0,0,AB13-AD13-AF13),0)</f>
        <v/>
      </c>
      <c r="AF13" s="10">
        <f>AD13</f>
        <v/>
      </c>
      <c r="AG13" s="8">
        <f>IFERROR(IF(AB13&lt;((1/2*AA13*AC13^2)*2),SQRT((AB13/2)*2/AA13),AC13),0)</f>
        <v/>
      </c>
      <c r="AH13" s="9">
        <f>IFERROR(AE13/Z13,0)</f>
        <v/>
      </c>
      <c r="AI13" s="10">
        <f>AG13</f>
        <v/>
      </c>
      <c r="AJ13" s="8">
        <f>IF(Y13&gt;0,Y13,SUM(AG13:AI13))</f>
        <v/>
      </c>
      <c r="AK13" s="32" t="n"/>
      <c r="AL13" s="10">
        <f>AJ13*AK13</f>
        <v/>
      </c>
      <c r="AN13" s="14">
        <f>AN12+1</f>
        <v/>
      </c>
      <c r="AO13" s="28" t="n"/>
      <c r="AP13" s="30" t="n"/>
      <c r="AQ13" s="9">
        <f>IFERROR(VLOOKUP(AO13,'Master List'!$A:$D,2,0),0)</f>
        <v/>
      </c>
      <c r="AR13" s="9">
        <f>IFERROR(VLOOKUP(AO13,'Master List'!$A:$D,3,0),0)</f>
        <v/>
      </c>
      <c r="AS13" s="9">
        <f>IFERROR(VLOOKUP(AO13,'Master List'!$A:$D,4,0),0)</f>
        <v/>
      </c>
      <c r="AT13" s="32" t="n"/>
      <c r="AU13" s="7">
        <f>IFERROR(AR13/AS13,0)</f>
        <v/>
      </c>
      <c r="AV13" s="8">
        <f>IFERROR(IF(AT13&lt;((1/2*AS13*AU13^2)*2),1/2*AS13*SQRT((AT13/2)*2/AS13)^2,1/2*AS13*AU13^2),0)</f>
        <v/>
      </c>
      <c r="AW13" s="9">
        <f>IFERROR(IF(AT13-AV13-AX13&lt;=0,0,AT13-AV13-AX13),0)</f>
        <v/>
      </c>
      <c r="AX13" s="10">
        <f>AV13</f>
        <v/>
      </c>
      <c r="AY13" s="8">
        <f>IFERROR(IF(AT13&lt;((1/2*AS13*AU13^2)*2),SQRT((AT13/2)*2/AS13),AU13),0)</f>
        <v/>
      </c>
      <c r="AZ13" s="9">
        <f>IFERROR(AW13/AR13,0)</f>
        <v/>
      </c>
      <c r="BA13" s="10">
        <f>AY13</f>
        <v/>
      </c>
      <c r="BB13" s="8">
        <f>IF(AQ13&gt;0,AQ13,SUM(AY13:BA13))</f>
        <v/>
      </c>
      <c r="BC13" s="32" t="n"/>
      <c r="BD13" s="10">
        <f>BB13*BC13</f>
        <v/>
      </c>
      <c r="BF13" s="14">
        <f>BF12+1</f>
        <v/>
      </c>
      <c r="BG13" s="28" t="n"/>
      <c r="BH13" s="30" t="n"/>
      <c r="BI13" s="9">
        <f>IFERROR(VLOOKUP(BG13,'Master List'!$A:$D,2,0),0)</f>
        <v/>
      </c>
      <c r="BJ13" s="9">
        <f>IFERROR(VLOOKUP(BG13,'Master List'!$A:$D,3,0),0)</f>
        <v/>
      </c>
      <c r="BK13" s="9">
        <f>IFERROR(VLOOKUP(BG13,'Master List'!$A:$D,4,0),0)</f>
        <v/>
      </c>
      <c r="BL13" s="32" t="n"/>
      <c r="BM13" s="7">
        <f>IFERROR(BJ13/BK13,0)</f>
        <v/>
      </c>
      <c r="BN13" s="8">
        <f>IFERROR(IF(BL13&lt;((1/2*BK13*BM13^2)*2),1/2*BK13*SQRT((BL13/2)*2/BK13)^2,1/2*BK13*BM13^2),0)</f>
        <v/>
      </c>
      <c r="BO13" s="9">
        <f>IFERROR(IF(BL13-BN13-BP13&lt;=0,0,BL13-BN13-BP13),0)</f>
        <v/>
      </c>
      <c r="BP13" s="10">
        <f>BN13</f>
        <v/>
      </c>
      <c r="BQ13" s="8">
        <f>IFERROR(IF(BL13&lt;((1/2*BK13*BM13^2)*2),SQRT((BL13/2)*2/BK13),BM13),0)</f>
        <v/>
      </c>
      <c r="BR13" s="9">
        <f>IFERROR(BO13/BJ13,0)</f>
        <v/>
      </c>
      <c r="BS13" s="10">
        <f>BQ13</f>
        <v/>
      </c>
      <c r="BT13" s="8">
        <f>IF(BI13&gt;0,BI13,SUM(BQ13:BS13))</f>
        <v/>
      </c>
      <c r="BU13" s="32" t="n"/>
      <c r="BV13" s="10">
        <f>BT13*BU13</f>
        <v/>
      </c>
    </row>
    <row r="14">
      <c r="A14" s="45" t="inlineStr">
        <is>
          <t>Units per grab</t>
        </is>
      </c>
      <c r="B14" s="93" t="n">
        <v>5</v>
      </c>
      <c r="D14" s="14">
        <f>D13+1</f>
        <v/>
      </c>
      <c r="E14" s="28" t="inlineStr">
        <is>
          <t>Scanning</t>
        </is>
      </c>
      <c r="F14" s="29" t="inlineStr">
        <is>
          <t>Scan SKU case</t>
        </is>
      </c>
      <c r="G14" s="9">
        <f>IFERROR(VLOOKUP(E14,'Master List'!$A:$D,2,0),0)</f>
        <v/>
      </c>
      <c r="H14" s="9">
        <f>IFERROR(VLOOKUP(E14,'Master List'!$A:$D,3,0),0)</f>
        <v/>
      </c>
      <c r="I14" s="9">
        <f>IFERROR(VLOOKUP(E14,'Master List'!$A:$D,4,0),0)</f>
        <v/>
      </c>
      <c r="J14" s="32" t="n"/>
      <c r="K14" s="7">
        <f>IFERROR(H14/I14,0)</f>
        <v/>
      </c>
      <c r="L14" s="8">
        <f>IFERROR(IF(J14&lt;((1/2*I14*K14^2)*2),1/2*I14*SQRT((J14/2)*2/I14)^2,1/2*I14*K14^2),0)</f>
        <v/>
      </c>
      <c r="M14" s="9">
        <f>IFERROR(IF(J14-L14-N14&lt;=0,0,J14-L14-N14),0)</f>
        <v/>
      </c>
      <c r="N14" s="10">
        <f>L14</f>
        <v/>
      </c>
      <c r="O14" s="8">
        <f>IFERROR(IF(J14&lt;((1/2*I14*K14^2)*2),SQRT((J14/2)*2/I14),K14),0)</f>
        <v/>
      </c>
      <c r="P14" s="9">
        <f>IFERROR(M14/H14,0)</f>
        <v/>
      </c>
      <c r="Q14" s="10">
        <f>O14</f>
        <v/>
      </c>
      <c r="R14" s="8">
        <f>IF(G14&gt;0,G14,SUM(O14:Q14))</f>
        <v/>
      </c>
      <c r="S14" s="32">
        <f>S11*0.5</f>
        <v/>
      </c>
      <c r="T14" s="10">
        <f>R14*S14</f>
        <v/>
      </c>
      <c r="V14" s="14">
        <f>V13+1</f>
        <v/>
      </c>
      <c r="W14" s="28" t="n"/>
      <c r="X14" s="30" t="n"/>
      <c r="Y14" s="9">
        <f>IFERROR(VLOOKUP(W14,'Master List'!$A:$D,2,0),0)</f>
        <v/>
      </c>
      <c r="Z14" s="9">
        <f>IFERROR(VLOOKUP(W14,'Master List'!$A:$D,3,0),0)</f>
        <v/>
      </c>
      <c r="AA14" s="9">
        <f>IFERROR(VLOOKUP(W14,'Master List'!$A:$D,4,0),0)</f>
        <v/>
      </c>
      <c r="AB14" s="32" t="n"/>
      <c r="AC14" s="7">
        <f>IFERROR(Z14/AA14,0)</f>
        <v/>
      </c>
      <c r="AD14" s="8">
        <f>IFERROR(IF(AB14&lt;((1/2*AA14*AC14^2)*2),1/2*AA14*SQRT((AB14/2)*2/AA14)^2,1/2*AA14*AC14^2),0)</f>
        <v/>
      </c>
      <c r="AE14" s="9">
        <f>IFERROR(IF(AB14-AD14-AF14&lt;=0,0,AB14-AD14-AF14),0)</f>
        <v/>
      </c>
      <c r="AF14" s="10">
        <f>AD14</f>
        <v/>
      </c>
      <c r="AG14" s="8">
        <f>IFERROR(IF(AB14&lt;((1/2*AA14*AC14^2)*2),SQRT((AB14/2)*2/AA14),AC14),0)</f>
        <v/>
      </c>
      <c r="AH14" s="9">
        <f>IFERROR(AE14/Z14,0)</f>
        <v/>
      </c>
      <c r="AI14" s="10">
        <f>AG14</f>
        <v/>
      </c>
      <c r="AJ14" s="8">
        <f>IF(Y14&gt;0,Y14,SUM(AG14:AI14))</f>
        <v/>
      </c>
      <c r="AK14" s="32" t="n"/>
      <c r="AL14" s="10">
        <f>AJ14*AK14</f>
        <v/>
      </c>
      <c r="AN14" s="14">
        <f>AN13+1</f>
        <v/>
      </c>
      <c r="AO14" s="28" t="n"/>
      <c r="AP14" s="30" t="n"/>
      <c r="AQ14" s="9">
        <f>IFERROR(VLOOKUP(AO14,'Master List'!$A:$D,2,0),0)</f>
        <v/>
      </c>
      <c r="AR14" s="9">
        <f>IFERROR(VLOOKUP(AO14,'Master List'!$A:$D,3,0),0)</f>
        <v/>
      </c>
      <c r="AS14" s="9">
        <f>IFERROR(VLOOKUP(AO14,'Master List'!$A:$D,4,0),0)</f>
        <v/>
      </c>
      <c r="AT14" s="32" t="n"/>
      <c r="AU14" s="7">
        <f>IFERROR(AR14/AS14,0)</f>
        <v/>
      </c>
      <c r="AV14" s="8">
        <f>IFERROR(IF(AT14&lt;((1/2*AS14*AU14^2)*2),1/2*AS14*SQRT((AT14/2)*2/AS14)^2,1/2*AS14*AU14^2),0)</f>
        <v/>
      </c>
      <c r="AW14" s="9">
        <f>IFERROR(IF(AT14-AV14-AX14&lt;=0,0,AT14-AV14-AX14),0)</f>
        <v/>
      </c>
      <c r="AX14" s="10">
        <f>AV14</f>
        <v/>
      </c>
      <c r="AY14" s="8">
        <f>IFERROR(IF(AT14&lt;((1/2*AS14*AU14^2)*2),SQRT((AT14/2)*2/AS14),AU14),0)</f>
        <v/>
      </c>
      <c r="AZ14" s="9">
        <f>IFERROR(AW14/AR14,0)</f>
        <v/>
      </c>
      <c r="BA14" s="10">
        <f>AY14</f>
        <v/>
      </c>
      <c r="BB14" s="8">
        <f>IF(AQ14&gt;0,AQ14,SUM(AY14:BA14))</f>
        <v/>
      </c>
      <c r="BC14" s="32" t="n"/>
      <c r="BD14" s="10">
        <f>BB14*BC14</f>
        <v/>
      </c>
      <c r="BF14" s="14">
        <f>BF13+1</f>
        <v/>
      </c>
      <c r="BG14" s="28" t="n"/>
      <c r="BH14" s="30" t="n"/>
      <c r="BI14" s="9">
        <f>IFERROR(VLOOKUP(BG14,'Master List'!$A:$D,2,0),0)</f>
        <v/>
      </c>
      <c r="BJ14" s="9">
        <f>IFERROR(VLOOKUP(BG14,'Master List'!$A:$D,3,0),0)</f>
        <v/>
      </c>
      <c r="BK14" s="9">
        <f>IFERROR(VLOOKUP(BG14,'Master List'!$A:$D,4,0),0)</f>
        <v/>
      </c>
      <c r="BL14" s="32" t="n"/>
      <c r="BM14" s="7">
        <f>IFERROR(BJ14/BK14,0)</f>
        <v/>
      </c>
      <c r="BN14" s="8">
        <f>IFERROR(IF(BL14&lt;((1/2*BK14*BM14^2)*2),1/2*BK14*SQRT((BL14/2)*2/BK14)^2,1/2*BK14*BM14^2),0)</f>
        <v/>
      </c>
      <c r="BO14" s="9">
        <f>IFERROR(IF(BL14-BN14-BP14&lt;=0,0,BL14-BN14-BP14),0)</f>
        <v/>
      </c>
      <c r="BP14" s="10">
        <f>BN14</f>
        <v/>
      </c>
      <c r="BQ14" s="8">
        <f>IFERROR(IF(BL14&lt;((1/2*BK14*BM14^2)*2),SQRT((BL14/2)*2/BK14),BM14),0)</f>
        <v/>
      </c>
      <c r="BR14" s="9">
        <f>IFERROR(BO14/BJ14,0)</f>
        <v/>
      </c>
      <c r="BS14" s="10">
        <f>BQ14</f>
        <v/>
      </c>
      <c r="BT14" s="8">
        <f>IF(BI14&gt;0,BI14,SUM(BQ14:BS14))</f>
        <v/>
      </c>
      <c r="BU14" s="32" t="n"/>
      <c r="BV14" s="10">
        <f>BT14*BU14</f>
        <v/>
      </c>
    </row>
    <row r="15">
      <c r="D15" s="14">
        <f>D14+1</f>
        <v/>
      </c>
      <c r="E15" s="28" t="inlineStr">
        <is>
          <t>Scanning</t>
        </is>
      </c>
      <c r="F15" s="29" t="inlineStr">
        <is>
          <t>Scan Decant tote</t>
        </is>
      </c>
      <c r="G15" s="9">
        <f>IFERROR(VLOOKUP(E15,'Master List'!$A:$D,2,0),0)</f>
        <v/>
      </c>
      <c r="H15" s="9">
        <f>IFERROR(VLOOKUP(E15,'Master List'!$A:$D,3,0),0)</f>
        <v/>
      </c>
      <c r="I15" s="9">
        <f>IFERROR(VLOOKUP(E15,'Master List'!$A:$D,4,0),0)</f>
        <v/>
      </c>
      <c r="J15" s="32" t="n"/>
      <c r="K15" s="7">
        <f>IFERROR(H15/I15,0)</f>
        <v/>
      </c>
      <c r="L15" s="8">
        <f>IFERROR(IF(J15&lt;((1/2*I15*K15^2)*2),1/2*I15*SQRT((J15/2)*2/I15)^2,1/2*I15*K15^2),0)</f>
        <v/>
      </c>
      <c r="M15" s="9">
        <f>IFERROR(IF(J15-L15-N15&lt;=0,0,J15-L15-N15),0)</f>
        <v/>
      </c>
      <c r="N15" s="10">
        <f>L15</f>
        <v/>
      </c>
      <c r="O15" s="8">
        <f>IFERROR(IF(J15&lt;((1/2*I15*K15^2)*2),SQRT((J15/2)*2/I15),K15),0)</f>
        <v/>
      </c>
      <c r="P15" s="9">
        <f>IFERROR(M15/H15,0)</f>
        <v/>
      </c>
      <c r="Q15" s="10">
        <f>O15</f>
        <v/>
      </c>
      <c r="R15" s="8">
        <f>IF(G15&gt;0,G15,SUM(O15:Q15))</f>
        <v/>
      </c>
      <c r="S15" s="32">
        <f>S14</f>
        <v/>
      </c>
      <c r="T15" s="10">
        <f>R15*S15</f>
        <v/>
      </c>
      <c r="V15" s="14">
        <f>V14+1</f>
        <v/>
      </c>
      <c r="W15" s="28" t="n"/>
      <c r="X15" s="30" t="n"/>
      <c r="Y15" s="9">
        <f>IFERROR(VLOOKUP(W15,'Master List'!$A:$D,2,0),0)</f>
        <v/>
      </c>
      <c r="Z15" s="9">
        <f>IFERROR(VLOOKUP(W15,'Master List'!$A:$D,3,0),0)</f>
        <v/>
      </c>
      <c r="AA15" s="9">
        <f>IFERROR(VLOOKUP(W15,'Master List'!$A:$D,4,0),0)</f>
        <v/>
      </c>
      <c r="AB15" s="32" t="n"/>
      <c r="AC15" s="7">
        <f>IFERROR(Z15/AA15,0)</f>
        <v/>
      </c>
      <c r="AD15" s="8">
        <f>IFERROR(IF(AB15&lt;((1/2*AA15*AC15^2)*2),1/2*AA15*SQRT((AB15/2)*2/AA15)^2,1/2*AA15*AC15^2),0)</f>
        <v/>
      </c>
      <c r="AE15" s="9">
        <f>IFERROR(IF(AB15-AD15-AF15&lt;=0,0,AB15-AD15-AF15),0)</f>
        <v/>
      </c>
      <c r="AF15" s="10">
        <f>AD15</f>
        <v/>
      </c>
      <c r="AG15" s="8">
        <f>IFERROR(IF(AB15&lt;((1/2*AA15*AC15^2)*2),SQRT((AB15/2)*2/AA15),AC15),0)</f>
        <v/>
      </c>
      <c r="AH15" s="9">
        <f>IFERROR(AE15/Z15,0)</f>
        <v/>
      </c>
      <c r="AI15" s="10">
        <f>AG15</f>
        <v/>
      </c>
      <c r="AJ15" s="8">
        <f>IF(Y15&gt;0,Y15,SUM(AG15:AI15))</f>
        <v/>
      </c>
      <c r="AK15" s="32" t="n"/>
      <c r="AL15" s="10">
        <f>AJ15*AK15</f>
        <v/>
      </c>
      <c r="AN15" s="14">
        <f>AN14+1</f>
        <v/>
      </c>
      <c r="AO15" s="28" t="n"/>
      <c r="AP15" s="30" t="n"/>
      <c r="AQ15" s="9">
        <f>IFERROR(VLOOKUP(AO15,'Master List'!$A:$D,2,0),0)</f>
        <v/>
      </c>
      <c r="AR15" s="9">
        <f>IFERROR(VLOOKUP(AO15,'Master List'!$A:$D,3,0),0)</f>
        <v/>
      </c>
      <c r="AS15" s="9">
        <f>IFERROR(VLOOKUP(AO15,'Master List'!$A:$D,4,0),0)</f>
        <v/>
      </c>
      <c r="AT15" s="32" t="n"/>
      <c r="AU15" s="7">
        <f>IFERROR(AR15/AS15,0)</f>
        <v/>
      </c>
      <c r="AV15" s="8">
        <f>IFERROR(IF(AT15&lt;((1/2*AS15*AU15^2)*2),1/2*AS15*SQRT((AT15/2)*2/AS15)^2,1/2*AS15*AU15^2),0)</f>
        <v/>
      </c>
      <c r="AW15" s="9">
        <f>IFERROR(IF(AT15-AV15-AX15&lt;=0,0,AT15-AV15-AX15),0)</f>
        <v/>
      </c>
      <c r="AX15" s="10">
        <f>AV15</f>
        <v/>
      </c>
      <c r="AY15" s="8">
        <f>IFERROR(IF(AT15&lt;((1/2*AS15*AU15^2)*2),SQRT((AT15/2)*2/AS15),AU15),0)</f>
        <v/>
      </c>
      <c r="AZ15" s="9">
        <f>IFERROR(AW15/AR15,0)</f>
        <v/>
      </c>
      <c r="BA15" s="10">
        <f>AY15</f>
        <v/>
      </c>
      <c r="BB15" s="8">
        <f>IF(AQ15&gt;0,AQ15,SUM(AY15:BA15))</f>
        <v/>
      </c>
      <c r="BC15" s="32" t="n"/>
      <c r="BD15" s="10">
        <f>BB15*BC15</f>
        <v/>
      </c>
      <c r="BF15" s="14">
        <f>BF14+1</f>
        <v/>
      </c>
      <c r="BG15" s="28" t="n"/>
      <c r="BH15" s="30" t="n"/>
      <c r="BI15" s="9">
        <f>IFERROR(VLOOKUP(BG15,'Master List'!$A:$D,2,0),0)</f>
        <v/>
      </c>
      <c r="BJ15" s="9">
        <f>IFERROR(VLOOKUP(BG15,'Master List'!$A:$D,3,0),0)</f>
        <v/>
      </c>
      <c r="BK15" s="9">
        <f>IFERROR(VLOOKUP(BG15,'Master List'!$A:$D,4,0),0)</f>
        <v/>
      </c>
      <c r="BL15" s="32" t="n"/>
      <c r="BM15" s="7">
        <f>IFERROR(BJ15/BK15,0)</f>
        <v/>
      </c>
      <c r="BN15" s="8">
        <f>IFERROR(IF(BL15&lt;((1/2*BK15*BM15^2)*2),1/2*BK15*SQRT((BL15/2)*2/BK15)^2,1/2*BK15*BM15^2),0)</f>
        <v/>
      </c>
      <c r="BO15" s="9">
        <f>IFERROR(IF(BL15-BN15-BP15&lt;=0,0,BL15-BN15-BP15),0)</f>
        <v/>
      </c>
      <c r="BP15" s="10">
        <f>BN15</f>
        <v/>
      </c>
      <c r="BQ15" s="8">
        <f>IFERROR(IF(BL15&lt;((1/2*BK15*BM15^2)*2),SQRT((BL15/2)*2/BK15),BM15),0)</f>
        <v/>
      </c>
      <c r="BR15" s="9">
        <f>IFERROR(BO15/BJ15,0)</f>
        <v/>
      </c>
      <c r="BS15" s="10">
        <f>BQ15</f>
        <v/>
      </c>
      <c r="BT15" s="8">
        <f>IF(BI15&gt;0,BI15,SUM(BQ15:BS15))</f>
        <v/>
      </c>
      <c r="BU15" s="32" t="n"/>
      <c r="BV15" s="10">
        <f>BT15*BU15</f>
        <v/>
      </c>
    </row>
    <row r="16">
      <c r="A16" s="89" t="n"/>
      <c r="D16" s="14">
        <f>D15+1</f>
        <v/>
      </c>
      <c r="E16" s="28" t="inlineStr">
        <is>
          <t>Unit pick: Pick and place Unit within reach - Waist level</t>
        </is>
      </c>
      <c r="F16" s="29" t="inlineStr">
        <is>
          <t>Pick and place units from case to tote</t>
        </is>
      </c>
      <c r="G16" s="9">
        <f>IFERROR(VLOOKUP(E16,'Master List'!$A:$D,2,0),0)</f>
        <v/>
      </c>
      <c r="H16" s="9">
        <f>IFERROR(VLOOKUP(E16,'Master List'!$A:$D,3,0),0)</f>
        <v/>
      </c>
      <c r="I16" s="9">
        <f>IFERROR(VLOOKUP(E16,'Master List'!$A:$D,4,0),0)</f>
        <v/>
      </c>
      <c r="J16" s="32" t="n"/>
      <c r="K16" s="7">
        <f>IFERROR(H16/I16,0)</f>
        <v/>
      </c>
      <c r="L16" s="8">
        <f>IFERROR(IF(J16&lt;((1/2*I16*K16^2)*2),1/2*I16*SQRT((J16/2)*2/I16)^2,1/2*I16*K16^2),0)</f>
        <v/>
      </c>
      <c r="M16" s="9">
        <f>IFERROR(IF(J16-L16-N16&lt;=0,0,J16-L16-N16),0)</f>
        <v/>
      </c>
      <c r="N16" s="10">
        <f>L16</f>
        <v/>
      </c>
      <c r="O16" s="8">
        <f>IFERROR(IF(J16&lt;((1/2*I16*K16^2)*2),SQRT((J16/2)*2/I16),K16),0)</f>
        <v/>
      </c>
      <c r="P16" s="9">
        <f>IFERROR(M16/H16,0)</f>
        <v/>
      </c>
      <c r="Q16" s="10">
        <f>O16</f>
        <v/>
      </c>
      <c r="R16" s="8">
        <f>IF(G16&gt;0,G16,SUM(O16:Q16))</f>
        <v/>
      </c>
      <c r="S16" s="32">
        <f>B13/B14</f>
        <v/>
      </c>
      <c r="T16" s="10">
        <f>R16*S16</f>
        <v/>
      </c>
      <c r="V16" s="14">
        <f>V15+1</f>
        <v/>
      </c>
      <c r="W16" s="28" t="n"/>
      <c r="X16" s="30" t="n"/>
      <c r="Y16" s="9">
        <f>IFERROR(VLOOKUP(W16,'Master List'!$A:$D,2,0),0)</f>
        <v/>
      </c>
      <c r="Z16" s="9">
        <f>IFERROR(VLOOKUP(W16,'Master List'!$A:$D,3,0),0)</f>
        <v/>
      </c>
      <c r="AA16" s="9">
        <f>IFERROR(VLOOKUP(W16,'Master List'!$A:$D,4,0),0)</f>
        <v/>
      </c>
      <c r="AB16" s="32" t="n"/>
      <c r="AC16" s="7">
        <f>IFERROR(Z16/AA16,0)</f>
        <v/>
      </c>
      <c r="AD16" s="8">
        <f>IFERROR(IF(AB16&lt;((1/2*AA16*AC16^2)*2),1/2*AA16*SQRT((AB16/2)*2/AA16)^2,1/2*AA16*AC16^2),0)</f>
        <v/>
      </c>
      <c r="AE16" s="9">
        <f>IFERROR(IF(AB16-AD16-AF16&lt;=0,0,AB16-AD16-AF16),0)</f>
        <v/>
      </c>
      <c r="AF16" s="10">
        <f>AD16</f>
        <v/>
      </c>
      <c r="AG16" s="8">
        <f>IFERROR(IF(AB16&lt;((1/2*AA16*AC16^2)*2),SQRT((AB16/2)*2/AA16),AC16),0)</f>
        <v/>
      </c>
      <c r="AH16" s="9">
        <f>IFERROR(AE16/Z16,0)</f>
        <v/>
      </c>
      <c r="AI16" s="10">
        <f>AG16</f>
        <v/>
      </c>
      <c r="AJ16" s="8">
        <f>IF(Y16&gt;0,Y16,SUM(AG16:AI16))</f>
        <v/>
      </c>
      <c r="AK16" s="32" t="n"/>
      <c r="AL16" s="10">
        <f>AJ16*AK16</f>
        <v/>
      </c>
      <c r="AN16" s="14">
        <f>AN15+1</f>
        <v/>
      </c>
      <c r="AO16" s="28" t="n"/>
      <c r="AP16" s="30" t="n"/>
      <c r="AQ16" s="9">
        <f>IFERROR(VLOOKUP(AO16,'Master List'!$A:$D,2,0),0)</f>
        <v/>
      </c>
      <c r="AR16" s="9">
        <f>IFERROR(VLOOKUP(AO16,'Master List'!$A:$D,3,0),0)</f>
        <v/>
      </c>
      <c r="AS16" s="9">
        <f>IFERROR(VLOOKUP(AO16,'Master List'!$A:$D,4,0),0)</f>
        <v/>
      </c>
      <c r="AT16" s="32" t="n"/>
      <c r="AU16" s="7">
        <f>IFERROR(AR16/AS16,0)</f>
        <v/>
      </c>
      <c r="AV16" s="8">
        <f>IFERROR(IF(AT16&lt;((1/2*AS16*AU16^2)*2),1/2*AS16*SQRT((AT16/2)*2/AS16)^2,1/2*AS16*AU16^2),0)</f>
        <v/>
      </c>
      <c r="AW16" s="9">
        <f>IFERROR(IF(AT16-AV16-AX16&lt;=0,0,AT16-AV16-AX16),0)</f>
        <v/>
      </c>
      <c r="AX16" s="10">
        <f>AV16</f>
        <v/>
      </c>
      <c r="AY16" s="8">
        <f>IFERROR(IF(AT16&lt;((1/2*AS16*AU16^2)*2),SQRT((AT16/2)*2/AS16),AU16),0)</f>
        <v/>
      </c>
      <c r="AZ16" s="9">
        <f>IFERROR(AW16/AR16,0)</f>
        <v/>
      </c>
      <c r="BA16" s="10">
        <f>AY16</f>
        <v/>
      </c>
      <c r="BB16" s="8">
        <f>IF(AQ16&gt;0,AQ16,SUM(AY16:BA16))</f>
        <v/>
      </c>
      <c r="BC16" s="32" t="n"/>
      <c r="BD16" s="10">
        <f>BB16*BC16</f>
        <v/>
      </c>
      <c r="BF16" s="14">
        <f>BF15+1</f>
        <v/>
      </c>
      <c r="BG16" s="28" t="n"/>
      <c r="BH16" s="30" t="n"/>
      <c r="BI16" s="9">
        <f>IFERROR(VLOOKUP(BG16,'Master List'!$A:$D,2,0),0)</f>
        <v/>
      </c>
      <c r="BJ16" s="9">
        <f>IFERROR(VLOOKUP(BG16,'Master List'!$A:$D,3,0),0)</f>
        <v/>
      </c>
      <c r="BK16" s="9">
        <f>IFERROR(VLOOKUP(BG16,'Master List'!$A:$D,4,0),0)</f>
        <v/>
      </c>
      <c r="BL16" s="32" t="n"/>
      <c r="BM16" s="7">
        <f>IFERROR(BJ16/BK16,0)</f>
        <v/>
      </c>
      <c r="BN16" s="8">
        <f>IFERROR(IF(BL16&lt;((1/2*BK16*BM16^2)*2),1/2*BK16*SQRT((BL16/2)*2/BK16)^2,1/2*BK16*BM16^2),0)</f>
        <v/>
      </c>
      <c r="BO16" s="9">
        <f>IFERROR(IF(BL16-BN16-BP16&lt;=0,0,BL16-BN16-BP16),0)</f>
        <v/>
      </c>
      <c r="BP16" s="10">
        <f>BN16</f>
        <v/>
      </c>
      <c r="BQ16" s="8">
        <f>IFERROR(IF(BL16&lt;((1/2*BK16*BM16^2)*2),SQRT((BL16/2)*2/BK16),BM16),0)</f>
        <v/>
      </c>
      <c r="BR16" s="9">
        <f>IFERROR(BO16/BJ16,0)</f>
        <v/>
      </c>
      <c r="BS16" s="10">
        <f>BQ16</f>
        <v/>
      </c>
      <c r="BT16" s="8">
        <f>IF(BI16&gt;0,BI16,SUM(BQ16:BS16))</f>
        <v/>
      </c>
      <c r="BU16" s="32" t="n"/>
      <c r="BV16" s="10">
        <f>BT16*BU16</f>
        <v/>
      </c>
    </row>
    <row r="17">
      <c r="D17" s="14">
        <f>D16+1</f>
        <v/>
      </c>
      <c r="E17" s="28" t="inlineStr">
        <is>
          <t>Drag or push tote/ carton on conveyor</t>
        </is>
      </c>
      <c r="F17" s="29" t="inlineStr">
        <is>
          <t>Push decant tote on conveyor</t>
        </is>
      </c>
      <c r="G17" s="9">
        <f>IFERROR(VLOOKUP(E17,'Master List'!$A:$D,2,0),0)</f>
        <v/>
      </c>
      <c r="H17" s="9">
        <f>IFERROR(VLOOKUP(E17,'Master List'!$A:$D,3,0),0)</f>
        <v/>
      </c>
      <c r="I17" s="9">
        <f>IFERROR(VLOOKUP(E17,'Master List'!$A:$D,4,0),0)</f>
        <v/>
      </c>
      <c r="J17" s="32" t="n"/>
      <c r="K17" s="7">
        <f>IFERROR(H17/I17,0)</f>
        <v/>
      </c>
      <c r="L17" s="8">
        <f>IFERROR(IF(J17&lt;((1/2*I17*K17^2)*2),1/2*I17*SQRT((J17/2)*2/I17)^2,1/2*I17*K17^2),0)</f>
        <v/>
      </c>
      <c r="M17" s="9">
        <f>IFERROR(IF(J17-L17-N17&lt;=0,0,J17-L17-N17),0)</f>
        <v/>
      </c>
      <c r="N17" s="10">
        <f>L17</f>
        <v/>
      </c>
      <c r="O17" s="8">
        <f>IFERROR(IF(J17&lt;((1/2*I17*K17^2)*2),SQRT((J17/2)*2/I17),K17),0)</f>
        <v/>
      </c>
      <c r="P17" s="9">
        <f>IFERROR(M17/H17,0)</f>
        <v/>
      </c>
      <c r="Q17" s="10">
        <f>O17</f>
        <v/>
      </c>
      <c r="R17" s="8">
        <f>IF(G17&gt;0,G17,SUM(O17:Q17))</f>
        <v/>
      </c>
      <c r="S17" s="32">
        <f>S12</f>
        <v/>
      </c>
      <c r="T17" s="10">
        <f>R17*S17</f>
        <v/>
      </c>
      <c r="V17" s="14">
        <f>V16+1</f>
        <v/>
      </c>
      <c r="W17" s="28" t="n"/>
      <c r="X17" s="30" t="n"/>
      <c r="Y17" s="9">
        <f>IFERROR(VLOOKUP(W17,'Master List'!$A:$D,2,0),0)</f>
        <v/>
      </c>
      <c r="Z17" s="9">
        <f>IFERROR(VLOOKUP(W17,'Master List'!$A:$D,3,0),0)</f>
        <v/>
      </c>
      <c r="AA17" s="9">
        <f>IFERROR(VLOOKUP(W17,'Master List'!$A:$D,4,0),0)</f>
        <v/>
      </c>
      <c r="AB17" s="32" t="n"/>
      <c r="AC17" s="7">
        <f>IFERROR(Z17/AA17,0)</f>
        <v/>
      </c>
      <c r="AD17" s="8">
        <f>IFERROR(IF(AB17&lt;((1/2*AA17*AC17^2)*2),1/2*AA17*SQRT((AB17/2)*2/AA17)^2,1/2*AA17*AC17^2),0)</f>
        <v/>
      </c>
      <c r="AE17" s="9">
        <f>IFERROR(IF(AB17-AD17-AF17&lt;=0,0,AB17-AD17-AF17),0)</f>
        <v/>
      </c>
      <c r="AF17" s="10">
        <f>AD17</f>
        <v/>
      </c>
      <c r="AG17" s="8">
        <f>IFERROR(IF(AB17&lt;((1/2*AA17*AC17^2)*2),SQRT((AB17/2)*2/AA17),AC17),0)</f>
        <v/>
      </c>
      <c r="AH17" s="9">
        <f>IFERROR(AE17/Z17,0)</f>
        <v/>
      </c>
      <c r="AI17" s="10">
        <f>AG17</f>
        <v/>
      </c>
      <c r="AJ17" s="8">
        <f>IF(Y17&gt;0,Y17,SUM(AG17:AI17))</f>
        <v/>
      </c>
      <c r="AK17" s="32" t="n"/>
      <c r="AL17" s="10">
        <f>AJ17*AK17</f>
        <v/>
      </c>
      <c r="AN17" s="14">
        <f>AN16+1</f>
        <v/>
      </c>
      <c r="AO17" s="28" t="n"/>
      <c r="AP17" s="30" t="n"/>
      <c r="AQ17" s="9">
        <f>IFERROR(VLOOKUP(AO17,'Master List'!$A:$D,2,0),0)</f>
        <v/>
      </c>
      <c r="AR17" s="9">
        <f>IFERROR(VLOOKUP(AO17,'Master List'!$A:$D,3,0),0)</f>
        <v/>
      </c>
      <c r="AS17" s="9">
        <f>IFERROR(VLOOKUP(AO17,'Master List'!$A:$D,4,0),0)</f>
        <v/>
      </c>
      <c r="AT17" s="32" t="n"/>
      <c r="AU17" s="7">
        <f>IFERROR(AR17/AS17,0)</f>
        <v/>
      </c>
      <c r="AV17" s="8">
        <f>IFERROR(IF(AT17&lt;((1/2*AS17*AU17^2)*2),1/2*AS17*SQRT((AT17/2)*2/AS17)^2,1/2*AS17*AU17^2),0)</f>
        <v/>
      </c>
      <c r="AW17" s="9">
        <f>IFERROR(IF(AT17-AV17-AX17&lt;=0,0,AT17-AV17-AX17),0)</f>
        <v/>
      </c>
      <c r="AX17" s="10">
        <f>AV17</f>
        <v/>
      </c>
      <c r="AY17" s="8">
        <f>IFERROR(IF(AT17&lt;((1/2*AS17*AU17^2)*2),SQRT((AT17/2)*2/AS17),AU17),0)</f>
        <v/>
      </c>
      <c r="AZ17" s="9">
        <f>IFERROR(AW17/AR17,0)</f>
        <v/>
      </c>
      <c r="BA17" s="10">
        <f>AY17</f>
        <v/>
      </c>
      <c r="BB17" s="8">
        <f>IF(AQ17&gt;0,AQ17,SUM(AY17:BA17))</f>
        <v/>
      </c>
      <c r="BC17" s="32" t="n"/>
      <c r="BD17" s="10">
        <f>BB17*BC17</f>
        <v/>
      </c>
      <c r="BF17" s="14">
        <f>BF16+1</f>
        <v/>
      </c>
      <c r="BG17" s="28" t="n"/>
      <c r="BH17" s="30" t="n"/>
      <c r="BI17" s="9">
        <f>IFERROR(VLOOKUP(BG17,'Master List'!$A:$D,2,0),0)</f>
        <v/>
      </c>
      <c r="BJ17" s="9">
        <f>IFERROR(VLOOKUP(BG17,'Master List'!$A:$D,3,0),0)</f>
        <v/>
      </c>
      <c r="BK17" s="9">
        <f>IFERROR(VLOOKUP(BG17,'Master List'!$A:$D,4,0),0)</f>
        <v/>
      </c>
      <c r="BL17" s="32" t="n"/>
      <c r="BM17" s="7">
        <f>IFERROR(BJ17/BK17,0)</f>
        <v/>
      </c>
      <c r="BN17" s="8">
        <f>IFERROR(IF(BL17&lt;((1/2*BK17*BM17^2)*2),1/2*BK17*SQRT((BL17/2)*2/BK17)^2,1/2*BK17*BM17^2),0)</f>
        <v/>
      </c>
      <c r="BO17" s="9">
        <f>IFERROR(IF(BL17-BN17-BP17&lt;=0,0,BL17-BN17-BP17),0)</f>
        <v/>
      </c>
      <c r="BP17" s="10">
        <f>BN17</f>
        <v/>
      </c>
      <c r="BQ17" s="8">
        <f>IFERROR(IF(BL17&lt;((1/2*BK17*BM17^2)*2),SQRT((BL17/2)*2/BK17),BM17),0)</f>
        <v/>
      </c>
      <c r="BR17" s="9">
        <f>IFERROR(BO17/BJ17,0)</f>
        <v/>
      </c>
      <c r="BS17" s="10">
        <f>BQ17</f>
        <v/>
      </c>
      <c r="BT17" s="8">
        <f>IF(BI17&gt;0,BI17,SUM(BQ17:BS17))</f>
        <v/>
      </c>
      <c r="BU17" s="32" t="n"/>
      <c r="BV17" s="10">
        <f>BT17*BU17</f>
        <v/>
      </c>
      <c r="BX17" s="94" t="n"/>
    </row>
    <row r="18">
      <c r="D18" s="14">
        <f>D17+1</f>
        <v/>
      </c>
      <c r="E18" s="28" t="inlineStr">
        <is>
          <t>Enter Qty in RF</t>
        </is>
      </c>
      <c r="F18" s="29" t="inlineStr">
        <is>
          <t>Enter SKU qty in RF</t>
        </is>
      </c>
      <c r="G18" s="9">
        <f>IFERROR(VLOOKUP(E18,'Master List'!$A:$D,2,0),0)</f>
        <v/>
      </c>
      <c r="H18" s="9">
        <f>IFERROR(VLOOKUP(E18,'Master List'!$A:$D,3,0),0)</f>
        <v/>
      </c>
      <c r="I18" s="9">
        <f>IFERROR(VLOOKUP(E18,'Master List'!$A:$D,4,0),0)</f>
        <v/>
      </c>
      <c r="J18" s="32" t="n"/>
      <c r="K18" s="7">
        <f>IFERROR(H18/I18,0)</f>
        <v/>
      </c>
      <c r="L18" s="8">
        <f>IFERROR(IF(J18&lt;((1/2*I18*K18^2)*2),1/2*I18*SQRT((J18/2)*2/I18)^2,1/2*I18*K18^2),0)</f>
        <v/>
      </c>
      <c r="M18" s="9">
        <f>IFERROR(IF(J18-L18-N18&lt;=0,0,J18-L18-N18),0)</f>
        <v/>
      </c>
      <c r="N18" s="10">
        <f>L18</f>
        <v/>
      </c>
      <c r="O18" s="8">
        <f>IFERROR(IF(J18&lt;((1/2*I18*K18^2)*2),SQRT((J18/2)*2/I18),K18),0)</f>
        <v/>
      </c>
      <c r="P18" s="9">
        <f>IFERROR(M18/H18,0)</f>
        <v/>
      </c>
      <c r="Q18" s="10">
        <f>O18</f>
        <v/>
      </c>
      <c r="R18" s="8">
        <f>IF(G18&gt;0,G18,SUM(O18:Q18))</f>
        <v/>
      </c>
      <c r="S18" s="32">
        <f>S11</f>
        <v/>
      </c>
      <c r="T18" s="10">
        <f>R18*S18</f>
        <v/>
      </c>
      <c r="V18" s="14">
        <f>V17+1</f>
        <v/>
      </c>
      <c r="W18" s="28" t="n"/>
      <c r="X18" s="30" t="n"/>
      <c r="Y18" s="9">
        <f>IFERROR(VLOOKUP(W18,'Master List'!$A:$D,2,0),0)</f>
        <v/>
      </c>
      <c r="Z18" s="9">
        <f>IFERROR(VLOOKUP(W18,'Master List'!$A:$D,3,0),0)</f>
        <v/>
      </c>
      <c r="AA18" s="9">
        <f>IFERROR(VLOOKUP(W18,'Master List'!$A:$D,4,0),0)</f>
        <v/>
      </c>
      <c r="AB18" s="32" t="n"/>
      <c r="AC18" s="7">
        <f>IFERROR(Z18/AA18,0)</f>
        <v/>
      </c>
      <c r="AD18" s="8">
        <f>IFERROR(IF(AB18&lt;((1/2*AA18*AC18^2)*2),1/2*AA18*SQRT((AB18/2)*2/AA18)^2,1/2*AA18*AC18^2),0)</f>
        <v/>
      </c>
      <c r="AE18" s="9">
        <f>IFERROR(IF(AB18-AD18-AF18&lt;=0,0,AB18-AD18-AF18),0)</f>
        <v/>
      </c>
      <c r="AF18" s="10">
        <f>AD18</f>
        <v/>
      </c>
      <c r="AG18" s="8">
        <f>IFERROR(IF(AB18&lt;((1/2*AA18*AC18^2)*2),SQRT((AB18/2)*2/AA18),AC18),0)</f>
        <v/>
      </c>
      <c r="AH18" s="9">
        <f>IFERROR(AE18/Z18,0)</f>
        <v/>
      </c>
      <c r="AI18" s="10">
        <f>AG18</f>
        <v/>
      </c>
      <c r="AJ18" s="8">
        <f>IF(Y18&gt;0,Y18,SUM(AG18:AI18))</f>
        <v/>
      </c>
      <c r="AK18" s="32" t="n"/>
      <c r="AL18" s="10">
        <f>AJ18*AK18</f>
        <v/>
      </c>
      <c r="AN18" s="14">
        <f>AN17+1</f>
        <v/>
      </c>
      <c r="AO18" s="28" t="n"/>
      <c r="AP18" s="30" t="n"/>
      <c r="AQ18" s="9">
        <f>IFERROR(VLOOKUP(AO18,'Master List'!$A:$D,2,0),0)</f>
        <v/>
      </c>
      <c r="AR18" s="9">
        <f>IFERROR(VLOOKUP(AO18,'Master List'!$A:$D,3,0),0)</f>
        <v/>
      </c>
      <c r="AS18" s="9">
        <f>IFERROR(VLOOKUP(AO18,'Master List'!$A:$D,4,0),0)</f>
        <v/>
      </c>
      <c r="AT18" s="32" t="n"/>
      <c r="AU18" s="7">
        <f>IFERROR(AR18/AS18,0)</f>
        <v/>
      </c>
      <c r="AV18" s="8">
        <f>IFERROR(IF(AT18&lt;((1/2*AS18*AU18^2)*2),1/2*AS18*SQRT((AT18/2)*2/AS18)^2,1/2*AS18*AU18^2),0)</f>
        <v/>
      </c>
      <c r="AW18" s="9">
        <f>IFERROR(IF(AT18-AV18-AX18&lt;=0,0,AT18-AV18-AX18),0)</f>
        <v/>
      </c>
      <c r="AX18" s="10">
        <f>AV18</f>
        <v/>
      </c>
      <c r="AY18" s="8">
        <f>IFERROR(IF(AT18&lt;((1/2*AS18*AU18^2)*2),SQRT((AT18/2)*2/AS18),AU18),0)</f>
        <v/>
      </c>
      <c r="AZ18" s="9">
        <f>IFERROR(AW18/AR18,0)</f>
        <v/>
      </c>
      <c r="BA18" s="10">
        <f>AY18</f>
        <v/>
      </c>
      <c r="BB18" s="8">
        <f>IF(AQ18&gt;0,AQ18,SUM(AY18:BA18))</f>
        <v/>
      </c>
      <c r="BC18" s="32" t="n"/>
      <c r="BD18" s="10">
        <f>BB18*BC18</f>
        <v/>
      </c>
      <c r="BF18" s="14">
        <f>BF17+1</f>
        <v/>
      </c>
      <c r="BG18" s="28" t="n"/>
      <c r="BH18" s="30" t="n"/>
      <c r="BI18" s="9">
        <f>IFERROR(VLOOKUP(BG18,'Master List'!$A:$D,2,0),0)</f>
        <v/>
      </c>
      <c r="BJ18" s="9">
        <f>IFERROR(VLOOKUP(BG18,'Master List'!$A:$D,3,0),0)</f>
        <v/>
      </c>
      <c r="BK18" s="9">
        <f>IFERROR(VLOOKUP(BG18,'Master List'!$A:$D,4,0),0)</f>
        <v/>
      </c>
      <c r="BL18" s="32" t="n"/>
      <c r="BM18" s="7">
        <f>IFERROR(BJ18/BK18,0)</f>
        <v/>
      </c>
      <c r="BN18" s="8">
        <f>IFERROR(IF(BL18&lt;((1/2*BK18*BM18^2)*2),1/2*BK18*SQRT((BL18/2)*2/BK18)^2,1/2*BK18*BM18^2),0)</f>
        <v/>
      </c>
      <c r="BO18" s="9">
        <f>IFERROR(IF(BL18-BN18-BP18&lt;=0,0,BL18-BN18-BP18),0)</f>
        <v/>
      </c>
      <c r="BP18" s="10">
        <f>BN18</f>
        <v/>
      </c>
      <c r="BQ18" s="8">
        <f>IFERROR(IF(BL18&lt;((1/2*BK18*BM18^2)*2),SQRT((BL18/2)*2/BK18),BM18),0)</f>
        <v/>
      </c>
      <c r="BR18" s="9">
        <f>IFERROR(BO18/BJ18,0)</f>
        <v/>
      </c>
      <c r="BS18" s="10">
        <f>BQ18</f>
        <v/>
      </c>
      <c r="BT18" s="8">
        <f>IF(BI18&gt;0,BI18,SUM(BQ18:BS18))</f>
        <v/>
      </c>
      <c r="BU18" s="32" t="n"/>
      <c r="BV18" s="10">
        <f>BT18*BU18</f>
        <v/>
      </c>
    </row>
    <row r="19">
      <c r="D19" s="14">
        <f>D18+1</f>
        <v/>
      </c>
      <c r="E19" s="28" t="inlineStr">
        <is>
          <t>Pick and place Cases within reach - Waist level</t>
        </is>
      </c>
      <c r="F19" s="29" t="inlineStr">
        <is>
          <t>Throw trash on trash conveyor</t>
        </is>
      </c>
      <c r="G19" s="9">
        <f>IFERROR(VLOOKUP(E19,'Master List'!$A:$D,2,0),0)</f>
        <v/>
      </c>
      <c r="H19" s="9">
        <f>IFERROR(VLOOKUP(E19,'Master List'!$A:$D,3,0),0)</f>
        <v/>
      </c>
      <c r="I19" s="9">
        <f>IFERROR(VLOOKUP(E19,'Master List'!$A:$D,4,0),0)</f>
        <v/>
      </c>
      <c r="J19" s="32" t="n"/>
      <c r="K19" s="7">
        <f>IFERROR(H19/I19,0)</f>
        <v/>
      </c>
      <c r="L19" s="8">
        <f>IFERROR(IF(J19&lt;((1/2*I19*K19^2)*2),1/2*I19*SQRT((J19/2)*2/I19)^2,1/2*I19*K19^2),0)</f>
        <v/>
      </c>
      <c r="M19" s="9">
        <f>IFERROR(IF(J19-L19-N19&lt;=0,0,J19-L19-N19),0)</f>
        <v/>
      </c>
      <c r="N19" s="10">
        <f>L19</f>
        <v/>
      </c>
      <c r="O19" s="8">
        <f>IFERROR(IF(J19&lt;((1/2*I19*K19^2)*2),SQRT((J19/2)*2/I19),K19),0)</f>
        <v/>
      </c>
      <c r="P19" s="9">
        <f>IFERROR(M19/H19,0)</f>
        <v/>
      </c>
      <c r="Q19" s="10">
        <f>O19</f>
        <v/>
      </c>
      <c r="R19" s="8">
        <f>IF(G19&gt;0,G19,SUM(O19:Q19))</f>
        <v/>
      </c>
      <c r="S19" s="32">
        <f>S18</f>
        <v/>
      </c>
      <c r="T19" s="10">
        <f>R19*S19</f>
        <v/>
      </c>
      <c r="V19" s="14">
        <f>V18+1</f>
        <v/>
      </c>
      <c r="W19" s="28" t="n"/>
      <c r="X19" s="30" t="n"/>
      <c r="Y19" s="9">
        <f>IFERROR(VLOOKUP(W19,'Master List'!$A:$D,2,0),0)</f>
        <v/>
      </c>
      <c r="Z19" s="9">
        <f>IFERROR(VLOOKUP(W19,'Master List'!$A:$D,3,0),0)</f>
        <v/>
      </c>
      <c r="AA19" s="9">
        <f>IFERROR(VLOOKUP(W19,'Master List'!$A:$D,4,0),0)</f>
        <v/>
      </c>
      <c r="AB19" s="32" t="n"/>
      <c r="AC19" s="7">
        <f>IFERROR(Z19/AA19,0)</f>
        <v/>
      </c>
      <c r="AD19" s="8">
        <f>IFERROR(IF(AB19&lt;((1/2*AA19*AC19^2)*2),1/2*AA19*SQRT((AB19/2)*2/AA19)^2,1/2*AA19*AC19^2),0)</f>
        <v/>
      </c>
      <c r="AE19" s="9">
        <f>IFERROR(IF(AB19-AD19-AF19&lt;=0,0,AB19-AD19-AF19),0)</f>
        <v/>
      </c>
      <c r="AF19" s="10">
        <f>AD19</f>
        <v/>
      </c>
      <c r="AG19" s="8">
        <f>IFERROR(IF(AB19&lt;((1/2*AA19*AC19^2)*2),SQRT((AB19/2)*2/AA19),AC19),0)</f>
        <v/>
      </c>
      <c r="AH19" s="9">
        <f>IFERROR(AE19/Z19,0)</f>
        <v/>
      </c>
      <c r="AI19" s="10">
        <f>AG19</f>
        <v/>
      </c>
      <c r="AJ19" s="8">
        <f>IF(Y19&gt;0,Y19,SUM(AG19:AI19))</f>
        <v/>
      </c>
      <c r="AK19" s="32" t="n"/>
      <c r="AL19" s="10">
        <f>AJ19*AK19</f>
        <v/>
      </c>
      <c r="AN19" s="14">
        <f>AN18+1</f>
        <v/>
      </c>
      <c r="AO19" s="28" t="n"/>
      <c r="AP19" s="30" t="n"/>
      <c r="AQ19" s="9">
        <f>IFERROR(VLOOKUP(AO19,'Master List'!$A:$D,2,0),0)</f>
        <v/>
      </c>
      <c r="AR19" s="9">
        <f>IFERROR(VLOOKUP(AO19,'Master List'!$A:$D,3,0),0)</f>
        <v/>
      </c>
      <c r="AS19" s="9">
        <f>IFERROR(VLOOKUP(AO19,'Master List'!$A:$D,4,0),0)</f>
        <v/>
      </c>
      <c r="AT19" s="32" t="n"/>
      <c r="AU19" s="7">
        <f>IFERROR(AR19/AS19,0)</f>
        <v/>
      </c>
      <c r="AV19" s="8">
        <f>IFERROR(IF(AT19&lt;((1/2*AS19*AU19^2)*2),1/2*AS19*SQRT((AT19/2)*2/AS19)^2,1/2*AS19*AU19^2),0)</f>
        <v/>
      </c>
      <c r="AW19" s="9">
        <f>IFERROR(IF(AT19-AV19-AX19&lt;=0,0,AT19-AV19-AX19),0)</f>
        <v/>
      </c>
      <c r="AX19" s="10">
        <f>AV19</f>
        <v/>
      </c>
      <c r="AY19" s="8">
        <f>IFERROR(IF(AT19&lt;((1/2*AS19*AU19^2)*2),SQRT((AT19/2)*2/AS19),AU19),0)</f>
        <v/>
      </c>
      <c r="AZ19" s="9">
        <f>IFERROR(AW19/AR19,0)</f>
        <v/>
      </c>
      <c r="BA19" s="10">
        <f>AY19</f>
        <v/>
      </c>
      <c r="BB19" s="8">
        <f>IF(AQ19&gt;0,AQ19,SUM(AY19:BA19))</f>
        <v/>
      </c>
      <c r="BC19" s="32" t="n"/>
      <c r="BD19" s="10">
        <f>BB19*BC19</f>
        <v/>
      </c>
      <c r="BF19" s="14">
        <f>BF18+1</f>
        <v/>
      </c>
      <c r="BG19" s="28" t="n"/>
      <c r="BH19" s="30" t="n"/>
      <c r="BI19" s="9">
        <f>IFERROR(VLOOKUP(BG19,'Master List'!$A:$D,2,0),0)</f>
        <v/>
      </c>
      <c r="BJ19" s="9">
        <f>IFERROR(VLOOKUP(BG19,'Master List'!$A:$D,3,0),0)</f>
        <v/>
      </c>
      <c r="BK19" s="9">
        <f>IFERROR(VLOOKUP(BG19,'Master List'!$A:$D,4,0),0)</f>
        <v/>
      </c>
      <c r="BL19" s="32" t="n"/>
      <c r="BM19" s="7">
        <f>IFERROR(BJ19/BK19,0)</f>
        <v/>
      </c>
      <c r="BN19" s="8">
        <f>IFERROR(IF(BL19&lt;((1/2*BK19*BM19^2)*2),1/2*BK19*SQRT((BL19/2)*2/BK19)^2,1/2*BK19*BM19^2),0)</f>
        <v/>
      </c>
      <c r="BO19" s="9">
        <f>IFERROR(IF(BL19-BN19-BP19&lt;=0,0,BL19-BN19-BP19),0)</f>
        <v/>
      </c>
      <c r="BP19" s="10">
        <f>BN19</f>
        <v/>
      </c>
      <c r="BQ19" s="8">
        <f>IFERROR(IF(BL19&lt;((1/2*BK19*BM19^2)*2),SQRT((BL19/2)*2/BK19),BM19),0)</f>
        <v/>
      </c>
      <c r="BR19" s="9">
        <f>IFERROR(BO19/BJ19,0)</f>
        <v/>
      </c>
      <c r="BS19" s="10">
        <f>BQ19</f>
        <v/>
      </c>
      <c r="BT19" s="8">
        <f>IF(BI19&gt;0,BI19,SUM(BQ19:BS19))</f>
        <v/>
      </c>
      <c r="BU19" s="32" t="n"/>
      <c r="BV19" s="10">
        <f>BT19*BU19</f>
        <v/>
      </c>
    </row>
    <row r="20">
      <c r="V20" s="14">
        <f>V19+1</f>
        <v/>
      </c>
      <c r="W20" s="28" t="n"/>
      <c r="X20" s="30" t="n"/>
      <c r="Y20" s="9">
        <f>IFERROR(VLOOKUP(W20,'Master List'!$A:$D,2,0),0)</f>
        <v/>
      </c>
      <c r="Z20" s="9">
        <f>IFERROR(VLOOKUP(W20,'Master List'!$A:$D,3,0),0)</f>
        <v/>
      </c>
      <c r="AA20" s="9">
        <f>IFERROR(VLOOKUP(W20,'Master List'!$A:$D,4,0),0)</f>
        <v/>
      </c>
      <c r="AB20" s="32" t="n"/>
      <c r="AC20" s="7">
        <f>IFERROR(Z20/AA20,0)</f>
        <v/>
      </c>
      <c r="AD20" s="8">
        <f>IFERROR(IF(AB20&lt;((1/2*AA20*AC20^2)*2),1/2*AA20*SQRT((AB20/2)*2/AA20)^2,1/2*AA20*AC20^2),0)</f>
        <v/>
      </c>
      <c r="AE20" s="9">
        <f>IFERROR(IF(AB20-AD20-AF20&lt;=0,0,AB20-AD20-AF20),0)</f>
        <v/>
      </c>
      <c r="AF20" s="10">
        <f>AD20</f>
        <v/>
      </c>
      <c r="AG20" s="8">
        <f>IFERROR(IF(AB20&lt;((1/2*AA20*AC20^2)*2),SQRT((AB20/2)*2/AA20),AC20),0)</f>
        <v/>
      </c>
      <c r="AH20" s="9">
        <f>IFERROR(AE20/Z20,0)</f>
        <v/>
      </c>
      <c r="AI20" s="10">
        <f>AG20</f>
        <v/>
      </c>
      <c r="AJ20" s="8">
        <f>IF(Y20&gt;0,Y20,SUM(AG20:AI20))</f>
        <v/>
      </c>
      <c r="AK20" s="32" t="n"/>
      <c r="AL20" s="10">
        <f>AJ20*AK20</f>
        <v/>
      </c>
      <c r="AN20" s="14">
        <f>AN19+1</f>
        <v/>
      </c>
      <c r="AO20" s="28" t="n"/>
      <c r="AP20" s="30" t="n"/>
      <c r="AQ20" s="9">
        <f>IFERROR(VLOOKUP(AO20,'Master List'!$A:$D,2,0),0)</f>
        <v/>
      </c>
      <c r="AR20" s="9">
        <f>IFERROR(VLOOKUP(AO20,'Master List'!$A:$D,3,0),0)</f>
        <v/>
      </c>
      <c r="AS20" s="9">
        <f>IFERROR(VLOOKUP(AO20,'Master List'!$A:$D,4,0),0)</f>
        <v/>
      </c>
      <c r="AT20" s="32" t="n"/>
      <c r="AU20" s="7">
        <f>IFERROR(AR20/AS20,0)</f>
        <v/>
      </c>
      <c r="AV20" s="8">
        <f>IFERROR(IF(AT20&lt;((1/2*AS20*AU20^2)*2),1/2*AS20*SQRT((AT20/2)*2/AS20)^2,1/2*AS20*AU20^2),0)</f>
        <v/>
      </c>
      <c r="AW20" s="9">
        <f>IFERROR(IF(AT20-AV20-AX20&lt;=0,0,AT20-AV20-AX20),0)</f>
        <v/>
      </c>
      <c r="AX20" s="10">
        <f>AV20</f>
        <v/>
      </c>
      <c r="AY20" s="8">
        <f>IFERROR(IF(AT20&lt;((1/2*AS20*AU20^2)*2),SQRT((AT20/2)*2/AS20),AU20),0)</f>
        <v/>
      </c>
      <c r="AZ20" s="9">
        <f>IFERROR(AW20/AR20,0)</f>
        <v/>
      </c>
      <c r="BA20" s="10">
        <f>AY20</f>
        <v/>
      </c>
      <c r="BB20" s="8">
        <f>IF(AQ20&gt;0,AQ20,SUM(AY20:BA20))</f>
        <v/>
      </c>
      <c r="BC20" s="32" t="n"/>
      <c r="BD20" s="10">
        <f>BB20*BC20</f>
        <v/>
      </c>
      <c r="BF20" s="14">
        <f>BF19+1</f>
        <v/>
      </c>
      <c r="BG20" s="28" t="n"/>
      <c r="BH20" s="30" t="n"/>
      <c r="BI20" s="9">
        <f>IFERROR(VLOOKUP(BG20,'Master List'!$A:$D,2,0),0)</f>
        <v/>
      </c>
      <c r="BJ20" s="9">
        <f>IFERROR(VLOOKUP(BG20,'Master List'!$A:$D,3,0),0)</f>
        <v/>
      </c>
      <c r="BK20" s="9">
        <f>IFERROR(VLOOKUP(BG20,'Master List'!$A:$D,4,0),0)</f>
        <v/>
      </c>
      <c r="BL20" s="32" t="n"/>
      <c r="BM20" s="7">
        <f>IFERROR(BJ20/BK20,0)</f>
        <v/>
      </c>
      <c r="BN20" s="8">
        <f>IFERROR(IF(BL20&lt;((1/2*BK20*BM20^2)*2),1/2*BK20*SQRT((BL20/2)*2/BK20)^2,1/2*BK20*BM20^2),0)</f>
        <v/>
      </c>
      <c r="BO20" s="9">
        <f>IFERROR(IF(BL20-BN20-BP20&lt;=0,0,BL20-BN20-BP20),0)</f>
        <v/>
      </c>
      <c r="BP20" s="10">
        <f>BN20</f>
        <v/>
      </c>
      <c r="BQ20" s="8">
        <f>IFERROR(IF(BL20&lt;((1/2*BK20*BM20^2)*2),SQRT((BL20/2)*2/BK20),BM20),0)</f>
        <v/>
      </c>
      <c r="BR20" s="9">
        <f>IFERROR(BO20/BJ20,0)</f>
        <v/>
      </c>
      <c r="BS20" s="10">
        <f>BQ20</f>
        <v/>
      </c>
      <c r="BT20" s="8">
        <f>IF(BI20&gt;0,BI20,SUM(BQ20:BS20))</f>
        <v/>
      </c>
      <c r="BU20" s="32" t="n"/>
      <c r="BV20" s="10">
        <f>BT20*BU20</f>
        <v/>
      </c>
    </row>
    <row r="21">
      <c r="V21" s="14">
        <f>V20+1</f>
        <v/>
      </c>
      <c r="W21" s="28" t="n"/>
      <c r="X21" s="30" t="n"/>
      <c r="Y21" s="9">
        <f>IFERROR(VLOOKUP(W21,'Master List'!$A:$D,2,0),0)</f>
        <v/>
      </c>
      <c r="Z21" s="9">
        <f>IFERROR(VLOOKUP(W21,'Master List'!$A:$D,3,0),0)</f>
        <v/>
      </c>
      <c r="AA21" s="9">
        <f>IFERROR(VLOOKUP(W21,'Master List'!$A:$D,4,0),0)</f>
        <v/>
      </c>
      <c r="AB21" s="32" t="n"/>
      <c r="AC21" s="7">
        <f>IFERROR(Z21/AA21,0)</f>
        <v/>
      </c>
      <c r="AD21" s="8">
        <f>IFERROR(IF(AB21&lt;((1/2*AA21*AC21^2)*2),1/2*AA21*SQRT((AB21/2)*2/AA21)^2,1/2*AA21*AC21^2),0)</f>
        <v/>
      </c>
      <c r="AE21" s="9">
        <f>IFERROR(IF(AB21-AD21-AF21&lt;=0,0,AB21-AD21-AF21),0)</f>
        <v/>
      </c>
      <c r="AF21" s="10">
        <f>AD21</f>
        <v/>
      </c>
      <c r="AG21" s="8">
        <f>IFERROR(IF(AB21&lt;((1/2*AA21*AC21^2)*2),SQRT((AB21/2)*2/AA21),AC21),0)</f>
        <v/>
      </c>
      <c r="AH21" s="9">
        <f>IFERROR(AE21/Z21,0)</f>
        <v/>
      </c>
      <c r="AI21" s="10">
        <f>AG21</f>
        <v/>
      </c>
      <c r="AJ21" s="8">
        <f>IF(Y21&gt;0,Y21,SUM(AG21:AI21))</f>
        <v/>
      </c>
      <c r="AK21" s="32" t="n"/>
      <c r="AL21" s="10">
        <f>AJ21*AK21</f>
        <v/>
      </c>
      <c r="AN21" s="14">
        <f>AN20+1</f>
        <v/>
      </c>
      <c r="AO21" s="28" t="n"/>
      <c r="AP21" s="30" t="n"/>
      <c r="AQ21" s="9">
        <f>IFERROR(VLOOKUP(AO21,'Master List'!$A:$D,2,0),0)</f>
        <v/>
      </c>
      <c r="AR21" s="9">
        <f>IFERROR(VLOOKUP(AO21,'Master List'!$A:$D,3,0),0)</f>
        <v/>
      </c>
      <c r="AS21" s="9">
        <f>IFERROR(VLOOKUP(AO21,'Master List'!$A:$D,4,0),0)</f>
        <v/>
      </c>
      <c r="AT21" s="32" t="n"/>
      <c r="AU21" s="7">
        <f>IFERROR(AR21/AS21,0)</f>
        <v/>
      </c>
      <c r="AV21" s="8">
        <f>IFERROR(IF(AT21&lt;((1/2*AS21*AU21^2)*2),1/2*AS21*SQRT((AT21/2)*2/AS21)^2,1/2*AS21*AU21^2),0)</f>
        <v/>
      </c>
      <c r="AW21" s="9">
        <f>IFERROR(IF(AT21-AV21-AX21&lt;=0,0,AT21-AV21-AX21),0)</f>
        <v/>
      </c>
      <c r="AX21" s="10">
        <f>AV21</f>
        <v/>
      </c>
      <c r="AY21" s="8">
        <f>IFERROR(IF(AT21&lt;((1/2*AS21*AU21^2)*2),SQRT((AT21/2)*2/AS21),AU21),0)</f>
        <v/>
      </c>
      <c r="AZ21" s="9">
        <f>IFERROR(AW21/AR21,0)</f>
        <v/>
      </c>
      <c r="BA21" s="10">
        <f>AY21</f>
        <v/>
      </c>
      <c r="BB21" s="8">
        <f>IF(AQ21&gt;0,AQ21,SUM(AY21:BA21))</f>
        <v/>
      </c>
      <c r="BC21" s="32" t="n"/>
      <c r="BD21" s="10">
        <f>BB21*BC21</f>
        <v/>
      </c>
      <c r="BF21" s="14">
        <f>BF20+1</f>
        <v/>
      </c>
      <c r="BG21" s="28" t="n"/>
      <c r="BH21" s="30" t="n"/>
      <c r="BI21" s="9">
        <f>IFERROR(VLOOKUP(BG21,'Master List'!$A:$D,2,0),0)</f>
        <v/>
      </c>
      <c r="BJ21" s="9">
        <f>IFERROR(VLOOKUP(BG21,'Master List'!$A:$D,3,0),0)</f>
        <v/>
      </c>
      <c r="BK21" s="9">
        <f>IFERROR(VLOOKUP(BG21,'Master List'!$A:$D,4,0),0)</f>
        <v/>
      </c>
      <c r="BL21" s="32" t="n"/>
      <c r="BM21" s="7">
        <f>IFERROR(BJ21/BK21,0)</f>
        <v/>
      </c>
      <c r="BN21" s="8">
        <f>IFERROR(IF(BL21&lt;((1/2*BK21*BM21^2)*2),1/2*BK21*SQRT((BL21/2)*2/BK21)^2,1/2*BK21*BM21^2),0)</f>
        <v/>
      </c>
      <c r="BO21" s="9">
        <f>IFERROR(IF(BL21-BN21-BP21&lt;=0,0,BL21-BN21-BP21),0)</f>
        <v/>
      </c>
      <c r="BP21" s="10">
        <f>BN21</f>
        <v/>
      </c>
      <c r="BQ21" s="8">
        <f>IFERROR(IF(BL21&lt;((1/2*BK21*BM21^2)*2),SQRT((BL21/2)*2/BK21),BM21),0)</f>
        <v/>
      </c>
      <c r="BR21" s="9">
        <f>IFERROR(BO21/BJ21,0)</f>
        <v/>
      </c>
      <c r="BS21" s="10">
        <f>BQ21</f>
        <v/>
      </c>
      <c r="BT21" s="8">
        <f>IF(BI21&gt;0,BI21,SUM(BQ21:BS21))</f>
        <v/>
      </c>
      <c r="BU21" s="32" t="n"/>
      <c r="BV21" s="10">
        <f>BT21*BU21</f>
        <v/>
      </c>
    </row>
    <row r="22">
      <c r="V22" s="14">
        <f>V21+1</f>
        <v/>
      </c>
      <c r="W22" s="28" t="n"/>
      <c r="X22" s="30" t="n"/>
      <c r="Y22" s="9">
        <f>IFERROR(VLOOKUP(W22,'Master List'!$A:$D,2,0),0)</f>
        <v/>
      </c>
      <c r="Z22" s="9">
        <f>IFERROR(VLOOKUP(W22,'Master List'!$A:$D,3,0),0)</f>
        <v/>
      </c>
      <c r="AA22" s="9">
        <f>IFERROR(VLOOKUP(W22,'Master List'!$A:$D,4,0),0)</f>
        <v/>
      </c>
      <c r="AB22" s="32" t="n"/>
      <c r="AC22" s="7">
        <f>IFERROR(Z22/AA22,0)</f>
        <v/>
      </c>
      <c r="AD22" s="8">
        <f>IFERROR(IF(AB22&lt;((1/2*AA22*AC22^2)*2),1/2*AA22*SQRT((AB22/2)*2/AA22)^2,1/2*AA22*AC22^2),0)</f>
        <v/>
      </c>
      <c r="AE22" s="9">
        <f>IFERROR(IF(AB22-AD22-AF22&lt;=0,0,AB22-AD22-AF22),0)</f>
        <v/>
      </c>
      <c r="AF22" s="10">
        <f>AD22</f>
        <v/>
      </c>
      <c r="AG22" s="8">
        <f>IFERROR(IF(AB22&lt;((1/2*AA22*AC22^2)*2),SQRT((AB22/2)*2/AA22),AC22),0)</f>
        <v/>
      </c>
      <c r="AH22" s="9">
        <f>IFERROR(AE22/Z22,0)</f>
        <v/>
      </c>
      <c r="AI22" s="10">
        <f>AG22</f>
        <v/>
      </c>
      <c r="AJ22" s="8">
        <f>IF(Y22&gt;0,Y22,SUM(AG22:AI22))</f>
        <v/>
      </c>
      <c r="AK22" s="32" t="n"/>
      <c r="AL22" s="10">
        <f>AJ22*AK22</f>
        <v/>
      </c>
      <c r="AN22" s="14">
        <f>AN21+1</f>
        <v/>
      </c>
      <c r="AO22" s="28" t="n"/>
      <c r="AP22" s="30" t="n"/>
      <c r="AQ22" s="9">
        <f>IFERROR(VLOOKUP(AO22,'Master List'!$A:$D,2,0),0)</f>
        <v/>
      </c>
      <c r="AR22" s="9">
        <f>IFERROR(VLOOKUP(AO22,'Master List'!$A:$D,3,0),0)</f>
        <v/>
      </c>
      <c r="AS22" s="9">
        <f>IFERROR(VLOOKUP(AO22,'Master List'!$A:$D,4,0),0)</f>
        <v/>
      </c>
      <c r="AT22" s="32" t="n"/>
      <c r="AU22" s="7">
        <f>IFERROR(AR22/AS22,0)</f>
        <v/>
      </c>
      <c r="AV22" s="8">
        <f>IFERROR(IF(AT22&lt;((1/2*AS22*AU22^2)*2),1/2*AS22*SQRT((AT22/2)*2/AS22)^2,1/2*AS22*AU22^2),0)</f>
        <v/>
      </c>
      <c r="AW22" s="9">
        <f>IFERROR(IF(AT22-AV22-AX22&lt;=0,0,AT22-AV22-AX22),0)</f>
        <v/>
      </c>
      <c r="AX22" s="10">
        <f>AV22</f>
        <v/>
      </c>
      <c r="AY22" s="8">
        <f>IFERROR(IF(AT22&lt;((1/2*AS22*AU22^2)*2),SQRT((AT22/2)*2/AS22),AU22),0)</f>
        <v/>
      </c>
      <c r="AZ22" s="9">
        <f>IFERROR(AW22/AR22,0)</f>
        <v/>
      </c>
      <c r="BA22" s="10">
        <f>AY22</f>
        <v/>
      </c>
      <c r="BB22" s="8">
        <f>IF(AQ22&gt;0,AQ22,SUM(AY22:BA22))</f>
        <v/>
      </c>
      <c r="BC22" s="32" t="n"/>
      <c r="BD22" s="10">
        <f>BB22*BC22</f>
        <v/>
      </c>
      <c r="BF22" s="14">
        <f>BF21+1</f>
        <v/>
      </c>
      <c r="BG22" s="28" t="n"/>
      <c r="BH22" s="30" t="n"/>
      <c r="BI22" s="9">
        <f>IFERROR(VLOOKUP(BG22,'Master List'!$A:$D,2,0),0)</f>
        <v/>
      </c>
      <c r="BJ22" s="9">
        <f>IFERROR(VLOOKUP(BG22,'Master List'!$A:$D,3,0),0)</f>
        <v/>
      </c>
      <c r="BK22" s="9">
        <f>IFERROR(VLOOKUP(BG22,'Master List'!$A:$D,4,0),0)</f>
        <v/>
      </c>
      <c r="BL22" s="32" t="n"/>
      <c r="BM22" s="7">
        <f>IFERROR(BJ22/BK22,0)</f>
        <v/>
      </c>
      <c r="BN22" s="8">
        <f>IFERROR(IF(BL22&lt;((1/2*BK22*BM22^2)*2),1/2*BK22*SQRT((BL22/2)*2/BK22)^2,1/2*BK22*BM22^2),0)</f>
        <v/>
      </c>
      <c r="BO22" s="9">
        <f>IFERROR(IF(BL22-BN22-BP22&lt;=0,0,BL22-BN22-BP22),0)</f>
        <v/>
      </c>
      <c r="BP22" s="10">
        <f>BN22</f>
        <v/>
      </c>
      <c r="BQ22" s="8">
        <f>IFERROR(IF(BL22&lt;((1/2*BK22*BM22^2)*2),SQRT((BL22/2)*2/BK22),BM22),0)</f>
        <v/>
      </c>
      <c r="BR22" s="9">
        <f>IFERROR(BO22/BJ22,0)</f>
        <v/>
      </c>
      <c r="BS22" s="10">
        <f>BQ22</f>
        <v/>
      </c>
      <c r="BT22" s="8">
        <f>IF(BI22&gt;0,BI22,SUM(BQ22:BS22))</f>
        <v/>
      </c>
      <c r="BU22" s="32" t="n"/>
      <c r="BV22" s="10">
        <f>BT22*BU22</f>
        <v/>
      </c>
    </row>
    <row r="23">
      <c r="V23" s="14">
        <f>V22+1</f>
        <v/>
      </c>
      <c r="W23" s="28" t="n"/>
      <c r="X23" s="30" t="n"/>
      <c r="Y23" s="9">
        <f>IFERROR(VLOOKUP(W23,'Master List'!$A:$D,2,0),0)</f>
        <v/>
      </c>
      <c r="Z23" s="9">
        <f>IFERROR(VLOOKUP(W23,'Master List'!$A:$D,3,0),0)</f>
        <v/>
      </c>
      <c r="AA23" s="9">
        <f>IFERROR(VLOOKUP(W23,'Master List'!$A:$D,4,0),0)</f>
        <v/>
      </c>
      <c r="AB23" s="32" t="n"/>
      <c r="AC23" s="7">
        <f>IFERROR(Z23/AA23,0)</f>
        <v/>
      </c>
      <c r="AD23" s="8">
        <f>IFERROR(IF(AB23&lt;((1/2*AA23*AC23^2)*2),1/2*AA23*SQRT((AB23/2)*2/AA23)^2,1/2*AA23*AC23^2),0)</f>
        <v/>
      </c>
      <c r="AE23" s="9">
        <f>IFERROR(IF(AB23-AD23-AF23&lt;=0,0,AB23-AD23-AF23),0)</f>
        <v/>
      </c>
      <c r="AF23" s="10">
        <f>AD23</f>
        <v/>
      </c>
      <c r="AG23" s="8">
        <f>IFERROR(IF(AB23&lt;((1/2*AA23*AC23^2)*2),SQRT((AB23/2)*2/AA23),AC23),0)</f>
        <v/>
      </c>
      <c r="AH23" s="9">
        <f>IFERROR(AE23/Z23,0)</f>
        <v/>
      </c>
      <c r="AI23" s="10">
        <f>AG23</f>
        <v/>
      </c>
      <c r="AJ23" s="8">
        <f>IF(Y23&gt;0,Y23,SUM(AG23:AI23))</f>
        <v/>
      </c>
      <c r="AK23" s="32" t="n"/>
      <c r="AL23" s="10">
        <f>AJ23*AK23</f>
        <v/>
      </c>
      <c r="AN23" s="14">
        <f>AN22+1</f>
        <v/>
      </c>
      <c r="AO23" s="28" t="n"/>
      <c r="AP23" s="30" t="n"/>
      <c r="AQ23" s="9">
        <f>IFERROR(VLOOKUP(AO23,'Master List'!$A:$D,2,0),0)</f>
        <v/>
      </c>
      <c r="AR23" s="9">
        <f>IFERROR(VLOOKUP(AO23,'Master List'!$A:$D,3,0),0)</f>
        <v/>
      </c>
      <c r="AS23" s="9">
        <f>IFERROR(VLOOKUP(AO23,'Master List'!$A:$D,4,0),0)</f>
        <v/>
      </c>
      <c r="AT23" s="32" t="n"/>
      <c r="AU23" s="7">
        <f>IFERROR(AR23/AS23,0)</f>
        <v/>
      </c>
      <c r="AV23" s="8">
        <f>IFERROR(IF(AT23&lt;((1/2*AS23*AU23^2)*2),1/2*AS23*SQRT((AT23/2)*2/AS23)^2,1/2*AS23*AU23^2),0)</f>
        <v/>
      </c>
      <c r="AW23" s="9">
        <f>IFERROR(IF(AT23-AV23-AX23&lt;=0,0,AT23-AV23-AX23),0)</f>
        <v/>
      </c>
      <c r="AX23" s="10">
        <f>AV23</f>
        <v/>
      </c>
      <c r="AY23" s="8">
        <f>IFERROR(IF(AT23&lt;((1/2*AS23*AU23^2)*2),SQRT((AT23/2)*2/AS23),AU23),0)</f>
        <v/>
      </c>
      <c r="AZ23" s="9">
        <f>IFERROR(AW23/AR23,0)</f>
        <v/>
      </c>
      <c r="BA23" s="10">
        <f>AY23</f>
        <v/>
      </c>
      <c r="BB23" s="8">
        <f>IF(AQ23&gt;0,AQ23,SUM(AY23:BA23))</f>
        <v/>
      </c>
      <c r="BC23" s="32" t="n"/>
      <c r="BD23" s="10">
        <f>BB23*BC23</f>
        <v/>
      </c>
      <c r="BF23" s="14">
        <f>BF22+1</f>
        <v/>
      </c>
      <c r="BG23" s="28" t="n"/>
      <c r="BH23" s="30" t="n"/>
      <c r="BI23" s="9">
        <f>IFERROR(VLOOKUP(BG23,'Master List'!$A:$D,2,0),0)</f>
        <v/>
      </c>
      <c r="BJ23" s="9">
        <f>IFERROR(VLOOKUP(BG23,'Master List'!$A:$D,3,0),0)</f>
        <v/>
      </c>
      <c r="BK23" s="9">
        <f>IFERROR(VLOOKUP(BG23,'Master List'!$A:$D,4,0),0)</f>
        <v/>
      </c>
      <c r="BL23" s="32" t="n"/>
      <c r="BM23" s="7">
        <f>IFERROR(BJ23/BK23,0)</f>
        <v/>
      </c>
      <c r="BN23" s="8">
        <f>IFERROR(IF(BL23&lt;((1/2*BK23*BM23^2)*2),1/2*BK23*SQRT((BL23/2)*2/BK23)^2,1/2*BK23*BM23^2),0)</f>
        <v/>
      </c>
      <c r="BO23" s="9">
        <f>IFERROR(IF(BL23-BN23-BP23&lt;=0,0,BL23-BN23-BP23),0)</f>
        <v/>
      </c>
      <c r="BP23" s="10">
        <f>BN23</f>
        <v/>
      </c>
      <c r="BQ23" s="8">
        <f>IFERROR(IF(BL23&lt;((1/2*BK23*BM23^2)*2),SQRT((BL23/2)*2/BK23),BM23),0)</f>
        <v/>
      </c>
      <c r="BR23" s="9">
        <f>IFERROR(BO23/BJ23,0)</f>
        <v/>
      </c>
      <c r="BS23" s="10">
        <f>BQ23</f>
        <v/>
      </c>
      <c r="BT23" s="8">
        <f>IF(BI23&gt;0,BI23,SUM(BQ23:BS23))</f>
        <v/>
      </c>
      <c r="BU23" s="32" t="n"/>
      <c r="BV23" s="10">
        <f>BT23*BU23</f>
        <v/>
      </c>
    </row>
    <row r="24">
      <c r="V24" s="14">
        <f>V23+1</f>
        <v/>
      </c>
      <c r="W24" s="28" t="n"/>
      <c r="X24" s="30" t="n"/>
      <c r="Y24" s="9">
        <f>IFERROR(VLOOKUP(W24,'Master List'!$A:$D,2,0),0)</f>
        <v/>
      </c>
      <c r="Z24" s="9">
        <f>IFERROR(VLOOKUP(W24,'Master List'!$A:$D,3,0),0)</f>
        <v/>
      </c>
      <c r="AA24" s="9">
        <f>IFERROR(VLOOKUP(W24,'Master List'!$A:$D,4,0),0)</f>
        <v/>
      </c>
      <c r="AB24" s="32" t="n"/>
      <c r="AC24" s="7">
        <f>IFERROR(Z24/AA24,0)</f>
        <v/>
      </c>
      <c r="AD24" s="8">
        <f>IFERROR(IF(AB24&lt;((1/2*AA24*AC24^2)*2),1/2*AA24*SQRT((AB24/2)*2/AA24)^2,1/2*AA24*AC24^2),0)</f>
        <v/>
      </c>
      <c r="AE24" s="9">
        <f>IFERROR(IF(AB24-AD24-AF24&lt;=0,0,AB24-AD24-AF24),0)</f>
        <v/>
      </c>
      <c r="AF24" s="10">
        <f>AD24</f>
        <v/>
      </c>
      <c r="AG24" s="8">
        <f>IFERROR(IF(AB24&lt;((1/2*AA24*AC24^2)*2),SQRT((AB24/2)*2/AA24),AC24),0)</f>
        <v/>
      </c>
      <c r="AH24" s="9">
        <f>IFERROR(AE24/Z24,0)</f>
        <v/>
      </c>
      <c r="AI24" s="10">
        <f>AG24</f>
        <v/>
      </c>
      <c r="AJ24" s="8">
        <f>IF(Y24&gt;0,Y24,SUM(AG24:AI24))</f>
        <v/>
      </c>
      <c r="AK24" s="32" t="n"/>
      <c r="AL24" s="10">
        <f>AJ24*AK24</f>
        <v/>
      </c>
      <c r="AN24" s="14">
        <f>AN23+1</f>
        <v/>
      </c>
      <c r="AO24" s="28" t="n"/>
      <c r="AP24" s="30" t="n"/>
      <c r="AQ24" s="9">
        <f>IFERROR(VLOOKUP(AO24,'Master List'!$A:$D,2,0),0)</f>
        <v/>
      </c>
      <c r="AR24" s="9">
        <f>IFERROR(VLOOKUP(AO24,'Master List'!$A:$D,3,0),0)</f>
        <v/>
      </c>
      <c r="AS24" s="9">
        <f>IFERROR(VLOOKUP(AO24,'Master List'!$A:$D,4,0),0)</f>
        <v/>
      </c>
      <c r="AT24" s="32" t="n"/>
      <c r="AU24" s="7">
        <f>IFERROR(AR24/AS24,0)</f>
        <v/>
      </c>
      <c r="AV24" s="8">
        <f>IFERROR(IF(AT24&lt;((1/2*AS24*AU24^2)*2),1/2*AS24*SQRT((AT24/2)*2/AS24)^2,1/2*AS24*AU24^2),0)</f>
        <v/>
      </c>
      <c r="AW24" s="9">
        <f>IFERROR(IF(AT24-AV24-AX24&lt;=0,0,AT24-AV24-AX24),0)</f>
        <v/>
      </c>
      <c r="AX24" s="10">
        <f>AV24</f>
        <v/>
      </c>
      <c r="AY24" s="8">
        <f>IFERROR(IF(AT24&lt;((1/2*AS24*AU24^2)*2),SQRT((AT24/2)*2/AS24),AU24),0)</f>
        <v/>
      </c>
      <c r="AZ24" s="9">
        <f>IFERROR(AW24/AR24,0)</f>
        <v/>
      </c>
      <c r="BA24" s="10">
        <f>AY24</f>
        <v/>
      </c>
      <c r="BB24" s="8">
        <f>IF(AQ24&gt;0,AQ24,SUM(AY24:BA24))</f>
        <v/>
      </c>
      <c r="BC24" s="32" t="n"/>
      <c r="BD24" s="10">
        <f>BB24*BC24</f>
        <v/>
      </c>
      <c r="BF24" s="14">
        <f>BF23+1</f>
        <v/>
      </c>
      <c r="BG24" s="28" t="n"/>
      <c r="BH24" s="30" t="n"/>
      <c r="BI24" s="9">
        <f>IFERROR(VLOOKUP(BG24,'Master List'!$A:$D,2,0),0)</f>
        <v/>
      </c>
      <c r="BJ24" s="9">
        <f>IFERROR(VLOOKUP(BG24,'Master List'!$A:$D,3,0),0)</f>
        <v/>
      </c>
      <c r="BK24" s="9">
        <f>IFERROR(VLOOKUP(BG24,'Master List'!$A:$D,4,0),0)</f>
        <v/>
      </c>
      <c r="BL24" s="32" t="n"/>
      <c r="BM24" s="7">
        <f>IFERROR(BJ24/BK24,0)</f>
        <v/>
      </c>
      <c r="BN24" s="8">
        <f>IFERROR(IF(BL24&lt;((1/2*BK24*BM24^2)*2),1/2*BK24*SQRT((BL24/2)*2/BK24)^2,1/2*BK24*BM24^2),0)</f>
        <v/>
      </c>
      <c r="BO24" s="9">
        <f>IFERROR(IF(BL24-BN24-BP24&lt;=0,0,BL24-BN24-BP24),0)</f>
        <v/>
      </c>
      <c r="BP24" s="10">
        <f>BN24</f>
        <v/>
      </c>
      <c r="BQ24" s="8">
        <f>IFERROR(IF(BL24&lt;((1/2*BK24*BM24^2)*2),SQRT((BL24/2)*2/BK24),BM24),0)</f>
        <v/>
      </c>
      <c r="BR24" s="9">
        <f>IFERROR(BO24/BJ24,0)</f>
        <v/>
      </c>
      <c r="BS24" s="10">
        <f>BQ24</f>
        <v/>
      </c>
      <c r="BT24" s="8">
        <f>IF(BI24&gt;0,BI24,SUM(BQ24:BS24))</f>
        <v/>
      </c>
      <c r="BU24" s="32" t="n"/>
      <c r="BV24" s="10">
        <f>BT24*BU24</f>
        <v/>
      </c>
    </row>
    <row r="25">
      <c r="V25" s="14">
        <f>V24+1</f>
        <v/>
      </c>
      <c r="W25" s="28" t="n"/>
      <c r="X25" s="30" t="n"/>
      <c r="Y25" s="9">
        <f>IFERROR(VLOOKUP(W25,'Master List'!$A:$D,2,0),0)</f>
        <v/>
      </c>
      <c r="Z25" s="9">
        <f>IFERROR(VLOOKUP(W25,'Master List'!$A:$D,3,0),0)</f>
        <v/>
      </c>
      <c r="AA25" s="9">
        <f>IFERROR(VLOOKUP(W25,'Master List'!$A:$D,4,0),0)</f>
        <v/>
      </c>
      <c r="AB25" s="32" t="n"/>
      <c r="AC25" s="7">
        <f>IFERROR(Z25/AA25,0)</f>
        <v/>
      </c>
      <c r="AD25" s="8">
        <f>IFERROR(IF(AB25&lt;((1/2*AA25*AC25^2)*2),1/2*AA25*SQRT((AB25/2)*2/AA25)^2,1/2*AA25*AC25^2),0)</f>
        <v/>
      </c>
      <c r="AE25" s="9">
        <f>IFERROR(IF(AB25-AD25-AF25&lt;=0,0,AB25-AD25-AF25),0)</f>
        <v/>
      </c>
      <c r="AF25" s="10">
        <f>AD25</f>
        <v/>
      </c>
      <c r="AG25" s="8">
        <f>IFERROR(IF(AB25&lt;((1/2*AA25*AC25^2)*2),SQRT((AB25/2)*2/AA25),AC25),0)</f>
        <v/>
      </c>
      <c r="AH25" s="9">
        <f>IFERROR(AE25/Z25,0)</f>
        <v/>
      </c>
      <c r="AI25" s="10">
        <f>AG25</f>
        <v/>
      </c>
      <c r="AJ25" s="8">
        <f>IF(Y25&gt;0,Y25,SUM(AG25:AI25))</f>
        <v/>
      </c>
      <c r="AK25" s="32" t="n"/>
      <c r="AL25" s="10">
        <f>AJ25*AK25</f>
        <v/>
      </c>
      <c r="AN25" s="14">
        <f>AN24+1</f>
        <v/>
      </c>
      <c r="AO25" s="28" t="n"/>
      <c r="AP25" s="30" t="n"/>
      <c r="AQ25" s="9">
        <f>IFERROR(VLOOKUP(AO25,'Master List'!$A:$D,2,0),0)</f>
        <v/>
      </c>
      <c r="AR25" s="9">
        <f>IFERROR(VLOOKUP(AO25,'Master List'!$A:$D,3,0),0)</f>
        <v/>
      </c>
      <c r="AS25" s="9">
        <f>IFERROR(VLOOKUP(AO25,'Master List'!$A:$D,4,0),0)</f>
        <v/>
      </c>
      <c r="AT25" s="32" t="n"/>
      <c r="AU25" s="7">
        <f>IFERROR(AR25/AS25,0)</f>
        <v/>
      </c>
      <c r="AV25" s="8">
        <f>IFERROR(IF(AT25&lt;((1/2*AS25*AU25^2)*2),1/2*AS25*SQRT((AT25/2)*2/AS25)^2,1/2*AS25*AU25^2),0)</f>
        <v/>
      </c>
      <c r="AW25" s="9">
        <f>IFERROR(IF(AT25-AV25-AX25&lt;=0,0,AT25-AV25-AX25),0)</f>
        <v/>
      </c>
      <c r="AX25" s="10">
        <f>AV25</f>
        <v/>
      </c>
      <c r="AY25" s="8">
        <f>IFERROR(IF(AT25&lt;((1/2*AS25*AU25^2)*2),SQRT((AT25/2)*2/AS25),AU25),0)</f>
        <v/>
      </c>
      <c r="AZ25" s="9">
        <f>IFERROR(AW25/AR25,0)</f>
        <v/>
      </c>
      <c r="BA25" s="10">
        <f>AY25</f>
        <v/>
      </c>
      <c r="BB25" s="8">
        <f>IF(AQ25&gt;0,AQ25,SUM(AY25:BA25))</f>
        <v/>
      </c>
      <c r="BC25" s="32" t="n"/>
      <c r="BD25" s="10">
        <f>BB25*BC25</f>
        <v/>
      </c>
      <c r="BF25" s="14">
        <f>BF24+1</f>
        <v/>
      </c>
      <c r="BG25" s="28" t="n"/>
      <c r="BH25" s="30" t="n"/>
      <c r="BI25" s="9">
        <f>IFERROR(VLOOKUP(BG25,'Master List'!$A:$D,2,0),0)</f>
        <v/>
      </c>
      <c r="BJ25" s="9">
        <f>IFERROR(VLOOKUP(BG25,'Master List'!$A:$D,3,0),0)</f>
        <v/>
      </c>
      <c r="BK25" s="9">
        <f>IFERROR(VLOOKUP(BG25,'Master List'!$A:$D,4,0),0)</f>
        <v/>
      </c>
      <c r="BL25" s="32" t="n"/>
      <c r="BM25" s="7">
        <f>IFERROR(BJ25/BK25,0)</f>
        <v/>
      </c>
      <c r="BN25" s="8">
        <f>IFERROR(IF(BL25&lt;((1/2*BK25*BM25^2)*2),1/2*BK25*SQRT((BL25/2)*2/BK25)^2,1/2*BK25*BM25^2),0)</f>
        <v/>
      </c>
      <c r="BO25" s="9">
        <f>IFERROR(IF(BL25-BN25-BP25&lt;=0,0,BL25-BN25-BP25),0)</f>
        <v/>
      </c>
      <c r="BP25" s="10">
        <f>BN25</f>
        <v/>
      </c>
      <c r="BQ25" s="8">
        <f>IFERROR(IF(BL25&lt;((1/2*BK25*BM25^2)*2),SQRT((BL25/2)*2/BK25),BM25),0)</f>
        <v/>
      </c>
      <c r="BR25" s="9">
        <f>IFERROR(BO25/BJ25,0)</f>
        <v/>
      </c>
      <c r="BS25" s="10">
        <f>BQ25</f>
        <v/>
      </c>
      <c r="BT25" s="8">
        <f>IF(BI25&gt;0,BI25,SUM(BQ25:BS25))</f>
        <v/>
      </c>
      <c r="BU25" s="32" t="n"/>
      <c r="BV25" s="10">
        <f>BT25*BU25</f>
        <v/>
      </c>
    </row>
    <row r="26">
      <c r="V26" s="14">
        <f>V25+1</f>
        <v/>
      </c>
      <c r="W26" s="28" t="n"/>
      <c r="X26" s="30" t="n"/>
      <c r="Y26" s="9">
        <f>IFERROR(VLOOKUP(W26,'Master List'!$A:$D,2,0),0)</f>
        <v/>
      </c>
      <c r="Z26" s="9">
        <f>IFERROR(VLOOKUP(W26,'Master List'!$A:$D,3,0),0)</f>
        <v/>
      </c>
      <c r="AA26" s="9">
        <f>IFERROR(VLOOKUP(W26,'Master List'!$A:$D,4,0),0)</f>
        <v/>
      </c>
      <c r="AB26" s="32" t="n"/>
      <c r="AC26" s="7">
        <f>IFERROR(Z26/AA26,0)</f>
        <v/>
      </c>
      <c r="AD26" s="8">
        <f>IFERROR(IF(AB26&lt;((1/2*AA26*AC26^2)*2),1/2*AA26*SQRT((AB26/2)*2/AA26)^2,1/2*AA26*AC26^2),0)</f>
        <v/>
      </c>
      <c r="AE26" s="9">
        <f>IFERROR(IF(AB26-AD26-AF26&lt;=0,0,AB26-AD26-AF26),0)</f>
        <v/>
      </c>
      <c r="AF26" s="10">
        <f>AD26</f>
        <v/>
      </c>
      <c r="AG26" s="8">
        <f>IFERROR(IF(AB26&lt;((1/2*AA26*AC26^2)*2),SQRT((AB26/2)*2/AA26),AC26),0)</f>
        <v/>
      </c>
      <c r="AH26" s="9">
        <f>IFERROR(AE26/Z26,0)</f>
        <v/>
      </c>
      <c r="AI26" s="10">
        <f>AG26</f>
        <v/>
      </c>
      <c r="AJ26" s="8">
        <f>IF(Y26&gt;0,Y26,SUM(AG26:AI26))</f>
        <v/>
      </c>
      <c r="AK26" s="32" t="n"/>
      <c r="AL26" s="10">
        <f>AJ26*AK26</f>
        <v/>
      </c>
      <c r="AN26" s="14">
        <f>AN25+1</f>
        <v/>
      </c>
      <c r="AO26" s="28" t="n"/>
      <c r="AP26" s="30" t="n"/>
      <c r="AQ26" s="9">
        <f>IFERROR(VLOOKUP(AO26,'Master List'!$A:$D,2,0),0)</f>
        <v/>
      </c>
      <c r="AR26" s="9">
        <f>IFERROR(VLOOKUP(AO26,'Master List'!$A:$D,3,0),0)</f>
        <v/>
      </c>
      <c r="AS26" s="9">
        <f>IFERROR(VLOOKUP(AO26,'Master List'!$A:$D,4,0),0)</f>
        <v/>
      </c>
      <c r="AT26" s="32" t="n"/>
      <c r="AU26" s="7">
        <f>IFERROR(AR26/AS26,0)</f>
        <v/>
      </c>
      <c r="AV26" s="8">
        <f>IFERROR(IF(AT26&lt;((1/2*AS26*AU26^2)*2),1/2*AS26*SQRT((AT26/2)*2/AS26)^2,1/2*AS26*AU26^2),0)</f>
        <v/>
      </c>
      <c r="AW26" s="9">
        <f>IFERROR(IF(AT26-AV26-AX26&lt;=0,0,AT26-AV26-AX26),0)</f>
        <v/>
      </c>
      <c r="AX26" s="10">
        <f>AV26</f>
        <v/>
      </c>
      <c r="AY26" s="8">
        <f>IFERROR(IF(AT26&lt;((1/2*AS26*AU26^2)*2),SQRT((AT26/2)*2/AS26),AU26),0)</f>
        <v/>
      </c>
      <c r="AZ26" s="9">
        <f>IFERROR(AW26/AR26,0)</f>
        <v/>
      </c>
      <c r="BA26" s="10">
        <f>AY26</f>
        <v/>
      </c>
      <c r="BB26" s="8">
        <f>IF(AQ26&gt;0,AQ26,SUM(AY26:BA26))</f>
        <v/>
      </c>
      <c r="BC26" s="32" t="n"/>
      <c r="BD26" s="10">
        <f>BB26*BC26</f>
        <v/>
      </c>
      <c r="BF26" s="14">
        <f>BF25+1</f>
        <v/>
      </c>
      <c r="BG26" s="28" t="n"/>
      <c r="BH26" s="30" t="n"/>
      <c r="BI26" s="9">
        <f>IFERROR(VLOOKUP(BG26,'Master List'!$A:$D,2,0),0)</f>
        <v/>
      </c>
      <c r="BJ26" s="9">
        <f>IFERROR(VLOOKUP(BG26,'Master List'!$A:$D,3,0),0)</f>
        <v/>
      </c>
      <c r="BK26" s="9">
        <f>IFERROR(VLOOKUP(BG26,'Master List'!$A:$D,4,0),0)</f>
        <v/>
      </c>
      <c r="BL26" s="32" t="n"/>
      <c r="BM26" s="7">
        <f>IFERROR(BJ26/BK26,0)</f>
        <v/>
      </c>
      <c r="BN26" s="8">
        <f>IFERROR(IF(BL26&lt;((1/2*BK26*BM26^2)*2),1/2*BK26*SQRT((BL26/2)*2/BK26)^2,1/2*BK26*BM26^2),0)</f>
        <v/>
      </c>
      <c r="BO26" s="9">
        <f>IFERROR(IF(BL26-BN26-BP26&lt;=0,0,BL26-BN26-BP26),0)</f>
        <v/>
      </c>
      <c r="BP26" s="10">
        <f>BN26</f>
        <v/>
      </c>
      <c r="BQ26" s="8">
        <f>IFERROR(IF(BL26&lt;((1/2*BK26*BM26^2)*2),SQRT((BL26/2)*2/BK26),BM26),0)</f>
        <v/>
      </c>
      <c r="BR26" s="9">
        <f>IFERROR(BO26/BJ26,0)</f>
        <v/>
      </c>
      <c r="BS26" s="10">
        <f>BQ26</f>
        <v/>
      </c>
      <c r="BT26" s="8">
        <f>IF(BI26&gt;0,BI26,SUM(BQ26:BS26))</f>
        <v/>
      </c>
      <c r="BU26" s="32" t="n"/>
      <c r="BV26" s="10">
        <f>BT26*BU26</f>
        <v/>
      </c>
    </row>
    <row r="27">
      <c r="V27" s="14">
        <f>V26+1</f>
        <v/>
      </c>
      <c r="W27" s="28" t="n"/>
      <c r="X27" s="30" t="n"/>
      <c r="Y27" s="9">
        <f>IFERROR(VLOOKUP(W27,'Master List'!$A:$D,2,0),0)</f>
        <v/>
      </c>
      <c r="Z27" s="9">
        <f>IFERROR(VLOOKUP(W27,'Master List'!$A:$D,3,0),0)</f>
        <v/>
      </c>
      <c r="AA27" s="9">
        <f>IFERROR(VLOOKUP(W27,'Master List'!$A:$D,4,0),0)</f>
        <v/>
      </c>
      <c r="AB27" s="32" t="n"/>
      <c r="AC27" s="7">
        <f>IFERROR(Z27/AA27,0)</f>
        <v/>
      </c>
      <c r="AD27" s="8">
        <f>IFERROR(IF(AB27&lt;((1/2*AA27*AC27^2)*2),1/2*AA27*SQRT((AB27/2)*2/AA27)^2,1/2*AA27*AC27^2),0)</f>
        <v/>
      </c>
      <c r="AE27" s="9">
        <f>IFERROR(IF(AB27-AD27-AF27&lt;=0,0,AB27-AD27-AF27),0)</f>
        <v/>
      </c>
      <c r="AF27" s="10">
        <f>AD27</f>
        <v/>
      </c>
      <c r="AG27" s="8">
        <f>IFERROR(IF(AB27&lt;((1/2*AA27*AC27^2)*2),SQRT((AB27/2)*2/AA27),AC27),0)</f>
        <v/>
      </c>
      <c r="AH27" s="9">
        <f>IFERROR(AE27/Z27,0)</f>
        <v/>
      </c>
      <c r="AI27" s="10">
        <f>AG27</f>
        <v/>
      </c>
      <c r="AJ27" s="8">
        <f>IF(Y27&gt;0,Y27,SUM(AG27:AI27))</f>
        <v/>
      </c>
      <c r="AK27" s="32" t="n"/>
      <c r="AL27" s="10">
        <f>AJ27*AK27</f>
        <v/>
      </c>
      <c r="AN27" s="14">
        <f>AN26+1</f>
        <v/>
      </c>
      <c r="AO27" s="28" t="n"/>
      <c r="AP27" s="30" t="n"/>
      <c r="AQ27" s="9">
        <f>IFERROR(VLOOKUP(AO27,'Master List'!$A:$D,2,0),0)</f>
        <v/>
      </c>
      <c r="AR27" s="9">
        <f>IFERROR(VLOOKUP(AO27,'Master List'!$A:$D,3,0),0)</f>
        <v/>
      </c>
      <c r="AS27" s="9">
        <f>IFERROR(VLOOKUP(AO27,'Master List'!$A:$D,4,0),0)</f>
        <v/>
      </c>
      <c r="AT27" s="32" t="n"/>
      <c r="AU27" s="7">
        <f>IFERROR(AR27/AS27,0)</f>
        <v/>
      </c>
      <c r="AV27" s="8">
        <f>IFERROR(IF(AT27&lt;((1/2*AS27*AU27^2)*2),1/2*AS27*SQRT((AT27/2)*2/AS27)^2,1/2*AS27*AU27^2),0)</f>
        <v/>
      </c>
      <c r="AW27" s="9">
        <f>IFERROR(IF(AT27-AV27-AX27&lt;=0,0,AT27-AV27-AX27),0)</f>
        <v/>
      </c>
      <c r="AX27" s="10">
        <f>AV27</f>
        <v/>
      </c>
      <c r="AY27" s="8">
        <f>IFERROR(IF(AT27&lt;((1/2*AS27*AU27^2)*2),SQRT((AT27/2)*2/AS27),AU27),0)</f>
        <v/>
      </c>
      <c r="AZ27" s="9">
        <f>IFERROR(AW27/AR27,0)</f>
        <v/>
      </c>
      <c r="BA27" s="10">
        <f>AY27</f>
        <v/>
      </c>
      <c r="BB27" s="8">
        <f>IF(AQ27&gt;0,AQ27,SUM(AY27:BA27))</f>
        <v/>
      </c>
      <c r="BC27" s="32" t="n"/>
      <c r="BD27" s="10">
        <f>BB27*BC27</f>
        <v/>
      </c>
      <c r="BF27" s="14">
        <f>BF26+1</f>
        <v/>
      </c>
      <c r="BG27" s="28" t="n"/>
      <c r="BH27" s="30" t="n"/>
      <c r="BI27" s="9">
        <f>IFERROR(VLOOKUP(BG27,'Master List'!$A:$D,2,0),0)</f>
        <v/>
      </c>
      <c r="BJ27" s="9">
        <f>IFERROR(VLOOKUP(BG27,'Master List'!$A:$D,3,0),0)</f>
        <v/>
      </c>
      <c r="BK27" s="9">
        <f>IFERROR(VLOOKUP(BG27,'Master List'!$A:$D,4,0),0)</f>
        <v/>
      </c>
      <c r="BL27" s="32" t="n"/>
      <c r="BM27" s="7">
        <f>IFERROR(BJ27/BK27,0)</f>
        <v/>
      </c>
      <c r="BN27" s="8">
        <f>IFERROR(IF(BL27&lt;((1/2*BK27*BM27^2)*2),1/2*BK27*SQRT((BL27/2)*2/BK27)^2,1/2*BK27*BM27^2),0)</f>
        <v/>
      </c>
      <c r="BO27" s="9">
        <f>IFERROR(IF(BL27-BN27-BP27&lt;=0,0,BL27-BN27-BP27),0)</f>
        <v/>
      </c>
      <c r="BP27" s="10">
        <f>BN27</f>
        <v/>
      </c>
      <c r="BQ27" s="8">
        <f>IFERROR(IF(BL27&lt;((1/2*BK27*BM27^2)*2),SQRT((BL27/2)*2/BK27),BM27),0)</f>
        <v/>
      </c>
      <c r="BR27" s="9">
        <f>IFERROR(BO27/BJ27,0)</f>
        <v/>
      </c>
      <c r="BS27" s="10">
        <f>BQ27</f>
        <v/>
      </c>
      <c r="BT27" s="8">
        <f>IF(BI27&gt;0,BI27,SUM(BQ27:BS27))</f>
        <v/>
      </c>
      <c r="BU27" s="32" t="n"/>
      <c r="BV27" s="10">
        <f>BT27*BU27</f>
        <v/>
      </c>
    </row>
    <row r="28">
      <c r="V28" s="14">
        <f>V27+1</f>
        <v/>
      </c>
      <c r="W28" s="28" t="n"/>
      <c r="X28" s="30" t="n"/>
      <c r="Y28" s="9">
        <f>IFERROR(VLOOKUP(W28,'Master List'!$A:$D,2,0),0)</f>
        <v/>
      </c>
      <c r="Z28" s="9">
        <f>IFERROR(VLOOKUP(W28,'Master List'!$A:$D,3,0),0)</f>
        <v/>
      </c>
      <c r="AA28" s="9">
        <f>IFERROR(VLOOKUP(W28,'Master List'!$A:$D,4,0),0)</f>
        <v/>
      </c>
      <c r="AB28" s="32" t="n"/>
      <c r="AC28" s="7">
        <f>IFERROR(Z28/AA28,0)</f>
        <v/>
      </c>
      <c r="AD28" s="8">
        <f>IFERROR(IF(AB28&lt;((1/2*AA28*AC28^2)*2),1/2*AA28*SQRT((AB28/2)*2/AA28)^2,1/2*AA28*AC28^2),0)</f>
        <v/>
      </c>
      <c r="AE28" s="9">
        <f>IFERROR(IF(AB28-AD28-AF28&lt;=0,0,AB28-AD28-AF28),0)</f>
        <v/>
      </c>
      <c r="AF28" s="10">
        <f>AD28</f>
        <v/>
      </c>
      <c r="AG28" s="8">
        <f>IFERROR(IF(AB28&lt;((1/2*AA28*AC28^2)*2),SQRT((AB28/2)*2/AA28),AC28),0)</f>
        <v/>
      </c>
      <c r="AH28" s="9">
        <f>IFERROR(AE28/Z28,0)</f>
        <v/>
      </c>
      <c r="AI28" s="10">
        <f>AG28</f>
        <v/>
      </c>
      <c r="AJ28" s="8">
        <f>IF(Y28&gt;0,Y28,SUM(AG28:AI28))</f>
        <v/>
      </c>
      <c r="AK28" s="32" t="n"/>
      <c r="AL28" s="10">
        <f>AJ28*AK28</f>
        <v/>
      </c>
      <c r="AN28" s="14">
        <f>AN27+1</f>
        <v/>
      </c>
      <c r="AO28" s="28" t="n"/>
      <c r="AP28" s="30" t="n"/>
      <c r="AQ28" s="9">
        <f>IFERROR(VLOOKUP(AO28,'Master List'!$A:$D,2,0),0)</f>
        <v/>
      </c>
      <c r="AR28" s="9">
        <f>IFERROR(VLOOKUP(AO28,'Master List'!$A:$D,3,0),0)</f>
        <v/>
      </c>
      <c r="AS28" s="9">
        <f>IFERROR(VLOOKUP(AO28,'Master List'!$A:$D,4,0),0)</f>
        <v/>
      </c>
      <c r="AT28" s="32" t="n"/>
      <c r="AU28" s="7">
        <f>IFERROR(AR28/AS28,0)</f>
        <v/>
      </c>
      <c r="AV28" s="8">
        <f>IFERROR(IF(AT28&lt;((1/2*AS28*AU28^2)*2),1/2*AS28*SQRT((AT28/2)*2/AS28)^2,1/2*AS28*AU28^2),0)</f>
        <v/>
      </c>
      <c r="AW28" s="9">
        <f>IFERROR(IF(AT28-AV28-AX28&lt;=0,0,AT28-AV28-AX28),0)</f>
        <v/>
      </c>
      <c r="AX28" s="10">
        <f>AV28</f>
        <v/>
      </c>
      <c r="AY28" s="8">
        <f>IFERROR(IF(AT28&lt;((1/2*AS28*AU28^2)*2),SQRT((AT28/2)*2/AS28),AU28),0)</f>
        <v/>
      </c>
      <c r="AZ28" s="9">
        <f>IFERROR(AW28/AR28,0)</f>
        <v/>
      </c>
      <c r="BA28" s="10">
        <f>AY28</f>
        <v/>
      </c>
      <c r="BB28" s="8">
        <f>IF(AQ28&gt;0,AQ28,SUM(AY28:BA28))</f>
        <v/>
      </c>
      <c r="BC28" s="32" t="n"/>
      <c r="BD28" s="10">
        <f>BB28*BC28</f>
        <v/>
      </c>
      <c r="BF28" s="14">
        <f>BF27+1</f>
        <v/>
      </c>
      <c r="BG28" s="28" t="n"/>
      <c r="BH28" s="30" t="n"/>
      <c r="BI28" s="9">
        <f>IFERROR(VLOOKUP(BG28,'Master List'!$A:$D,2,0),0)</f>
        <v/>
      </c>
      <c r="BJ28" s="9">
        <f>IFERROR(VLOOKUP(BG28,'Master List'!$A:$D,3,0),0)</f>
        <v/>
      </c>
      <c r="BK28" s="9">
        <f>IFERROR(VLOOKUP(BG28,'Master List'!$A:$D,4,0),0)</f>
        <v/>
      </c>
      <c r="BL28" s="32" t="n"/>
      <c r="BM28" s="7">
        <f>IFERROR(BJ28/BK28,0)</f>
        <v/>
      </c>
      <c r="BN28" s="8">
        <f>IFERROR(IF(BL28&lt;((1/2*BK28*BM28^2)*2),1/2*BK28*SQRT((BL28/2)*2/BK28)^2,1/2*BK28*BM28^2),0)</f>
        <v/>
      </c>
      <c r="BO28" s="9">
        <f>IFERROR(IF(BL28-BN28-BP28&lt;=0,0,BL28-BN28-BP28),0)</f>
        <v/>
      </c>
      <c r="BP28" s="10">
        <f>BN28</f>
        <v/>
      </c>
      <c r="BQ28" s="8">
        <f>IFERROR(IF(BL28&lt;((1/2*BK28*BM28^2)*2),SQRT((BL28/2)*2/BK28),BM28),0)</f>
        <v/>
      </c>
      <c r="BR28" s="9">
        <f>IFERROR(BO28/BJ28,0)</f>
        <v/>
      </c>
      <c r="BS28" s="10">
        <f>BQ28</f>
        <v/>
      </c>
      <c r="BT28" s="8">
        <f>IF(BI28&gt;0,BI28,SUM(BQ28:BS28))</f>
        <v/>
      </c>
      <c r="BU28" s="32" t="n"/>
      <c r="BV28" s="10">
        <f>BT28*BU28</f>
        <v/>
      </c>
    </row>
    <row r="29">
      <c r="V29" s="14">
        <f>V28+1</f>
        <v/>
      </c>
      <c r="W29" s="28" t="n"/>
      <c r="X29" s="30" t="n"/>
      <c r="Y29" s="9">
        <f>IFERROR(VLOOKUP(W29,'Master List'!$A:$D,2,0),0)</f>
        <v/>
      </c>
      <c r="Z29" s="9">
        <f>IFERROR(VLOOKUP(W29,'Master List'!$A:$D,3,0),0)</f>
        <v/>
      </c>
      <c r="AA29" s="9">
        <f>IFERROR(VLOOKUP(W29,'Master List'!$A:$D,4,0),0)</f>
        <v/>
      </c>
      <c r="AB29" s="32" t="n"/>
      <c r="AC29" s="7">
        <f>IFERROR(Z29/AA29,0)</f>
        <v/>
      </c>
      <c r="AD29" s="8">
        <f>IFERROR(IF(AB29&lt;((1/2*AA29*AC29^2)*2),1/2*AA29*SQRT((AB29/2)*2/AA29)^2,1/2*AA29*AC29^2),0)</f>
        <v/>
      </c>
      <c r="AE29" s="9">
        <f>IFERROR(IF(AB29-AD29-AF29&lt;=0,0,AB29-AD29-AF29),0)</f>
        <v/>
      </c>
      <c r="AF29" s="10">
        <f>AD29</f>
        <v/>
      </c>
      <c r="AG29" s="8">
        <f>IFERROR(IF(AB29&lt;((1/2*AA29*AC29^2)*2),SQRT((AB29/2)*2/AA29),AC29),0)</f>
        <v/>
      </c>
      <c r="AH29" s="9">
        <f>IFERROR(AE29/Z29,0)</f>
        <v/>
      </c>
      <c r="AI29" s="10">
        <f>AG29</f>
        <v/>
      </c>
      <c r="AJ29" s="8">
        <f>IF(Y29&gt;0,Y29,SUM(AG29:AI29))</f>
        <v/>
      </c>
      <c r="AK29" s="32" t="n"/>
      <c r="AL29" s="10">
        <f>AJ29*AK29</f>
        <v/>
      </c>
      <c r="AN29" s="14">
        <f>AN28+1</f>
        <v/>
      </c>
      <c r="AO29" s="28" t="n"/>
      <c r="AP29" s="30" t="n"/>
      <c r="AQ29" s="9">
        <f>IFERROR(VLOOKUP(AO29,'Master List'!$A:$D,2,0),0)</f>
        <v/>
      </c>
      <c r="AR29" s="9">
        <f>IFERROR(VLOOKUP(AO29,'Master List'!$A:$D,3,0),0)</f>
        <v/>
      </c>
      <c r="AS29" s="9">
        <f>IFERROR(VLOOKUP(AO29,'Master List'!$A:$D,4,0),0)</f>
        <v/>
      </c>
      <c r="AT29" s="32" t="n"/>
      <c r="AU29" s="7">
        <f>IFERROR(AR29/AS29,0)</f>
        <v/>
      </c>
      <c r="AV29" s="8">
        <f>IFERROR(IF(AT29&lt;((1/2*AS29*AU29^2)*2),1/2*AS29*SQRT((AT29/2)*2/AS29)^2,1/2*AS29*AU29^2),0)</f>
        <v/>
      </c>
      <c r="AW29" s="9">
        <f>IFERROR(IF(AT29-AV29-AX29&lt;=0,0,AT29-AV29-AX29),0)</f>
        <v/>
      </c>
      <c r="AX29" s="10">
        <f>AV29</f>
        <v/>
      </c>
      <c r="AY29" s="8">
        <f>IFERROR(IF(AT29&lt;((1/2*AS29*AU29^2)*2),SQRT((AT29/2)*2/AS29),AU29),0)</f>
        <v/>
      </c>
      <c r="AZ29" s="9">
        <f>IFERROR(AW29/AR29,0)</f>
        <v/>
      </c>
      <c r="BA29" s="10">
        <f>AY29</f>
        <v/>
      </c>
      <c r="BB29" s="8">
        <f>IF(AQ29&gt;0,AQ29,SUM(AY29:BA29))</f>
        <v/>
      </c>
      <c r="BC29" s="32" t="n"/>
      <c r="BD29" s="10">
        <f>BB29*BC29</f>
        <v/>
      </c>
      <c r="BF29" s="14">
        <f>BF28+1</f>
        <v/>
      </c>
      <c r="BG29" s="28" t="n"/>
      <c r="BH29" s="30" t="n"/>
      <c r="BI29" s="9">
        <f>IFERROR(VLOOKUP(BG29,'Master List'!$A:$D,2,0),0)</f>
        <v/>
      </c>
      <c r="BJ29" s="9">
        <f>IFERROR(VLOOKUP(BG29,'Master List'!$A:$D,3,0),0)</f>
        <v/>
      </c>
      <c r="BK29" s="9">
        <f>IFERROR(VLOOKUP(BG29,'Master List'!$A:$D,4,0),0)</f>
        <v/>
      </c>
      <c r="BL29" s="32" t="n"/>
      <c r="BM29" s="7">
        <f>IFERROR(BJ29/BK29,0)</f>
        <v/>
      </c>
      <c r="BN29" s="8">
        <f>IFERROR(IF(BL29&lt;((1/2*BK29*BM29^2)*2),1/2*BK29*SQRT((BL29/2)*2/BK29)^2,1/2*BK29*BM29^2),0)</f>
        <v/>
      </c>
      <c r="BO29" s="9">
        <f>IFERROR(IF(BL29-BN29-BP29&lt;=0,0,BL29-BN29-BP29),0)</f>
        <v/>
      </c>
      <c r="BP29" s="10">
        <f>BN29</f>
        <v/>
      </c>
      <c r="BQ29" s="8">
        <f>IFERROR(IF(BL29&lt;((1/2*BK29*BM29^2)*2),SQRT((BL29/2)*2/BK29),BM29),0)</f>
        <v/>
      </c>
      <c r="BR29" s="9">
        <f>IFERROR(BO29/BJ29,0)</f>
        <v/>
      </c>
      <c r="BS29" s="10">
        <f>BQ29</f>
        <v/>
      </c>
      <c r="BT29" s="8">
        <f>IF(BI29&gt;0,BI29,SUM(BQ29:BS29))</f>
        <v/>
      </c>
      <c r="BU29" s="32" t="n"/>
      <c r="BV29" s="10">
        <f>BT29*BU29</f>
        <v/>
      </c>
    </row>
    <row r="30">
      <c r="V30" s="14">
        <f>V29+1</f>
        <v/>
      </c>
      <c r="W30" s="28" t="n"/>
      <c r="X30" s="30" t="n"/>
      <c r="Y30" s="9">
        <f>IFERROR(VLOOKUP(W30,'Master List'!$A:$D,2,0),0)</f>
        <v/>
      </c>
      <c r="Z30" s="9">
        <f>IFERROR(VLOOKUP(W30,'Master List'!$A:$D,3,0),0)</f>
        <v/>
      </c>
      <c r="AA30" s="9">
        <f>IFERROR(VLOOKUP(W30,'Master List'!$A:$D,4,0),0)</f>
        <v/>
      </c>
      <c r="AB30" s="32" t="n"/>
      <c r="AC30" s="7">
        <f>IFERROR(Z30/AA30,0)</f>
        <v/>
      </c>
      <c r="AD30" s="8">
        <f>IFERROR(IF(AB30&lt;((1/2*AA30*AC30^2)*2),1/2*AA30*SQRT((AB30/2)*2/AA30)^2,1/2*AA30*AC30^2),0)</f>
        <v/>
      </c>
      <c r="AE30" s="9">
        <f>IFERROR(IF(AB30-AD30-AF30&lt;=0,0,AB30-AD30-AF30),0)</f>
        <v/>
      </c>
      <c r="AF30" s="10">
        <f>AD30</f>
        <v/>
      </c>
      <c r="AG30" s="8">
        <f>IFERROR(IF(AB30&lt;((1/2*AA30*AC30^2)*2),SQRT((AB30/2)*2/AA30),AC30),0)</f>
        <v/>
      </c>
      <c r="AH30" s="9">
        <f>IFERROR(AE30/Z30,0)</f>
        <v/>
      </c>
      <c r="AI30" s="10">
        <f>AG30</f>
        <v/>
      </c>
      <c r="AJ30" s="8">
        <f>IF(Y30&gt;0,Y30,SUM(AG30:AI30))</f>
        <v/>
      </c>
      <c r="AK30" s="32" t="n"/>
      <c r="AL30" s="10">
        <f>AJ30*AK30</f>
        <v/>
      </c>
      <c r="AN30" s="14">
        <f>AN29+1</f>
        <v/>
      </c>
      <c r="AO30" s="28" t="n"/>
      <c r="AP30" s="30" t="n"/>
      <c r="AQ30" s="9">
        <f>IFERROR(VLOOKUP(AO30,'Master List'!$A:$D,2,0),0)</f>
        <v/>
      </c>
      <c r="AR30" s="9">
        <f>IFERROR(VLOOKUP(AO30,'Master List'!$A:$D,3,0),0)</f>
        <v/>
      </c>
      <c r="AS30" s="9">
        <f>IFERROR(VLOOKUP(AO30,'Master List'!$A:$D,4,0),0)</f>
        <v/>
      </c>
      <c r="AT30" s="32" t="n"/>
      <c r="AU30" s="7">
        <f>IFERROR(AR30/AS30,0)</f>
        <v/>
      </c>
      <c r="AV30" s="8">
        <f>IFERROR(IF(AT30&lt;((1/2*AS30*AU30^2)*2),1/2*AS30*SQRT((AT30/2)*2/AS30)^2,1/2*AS30*AU30^2),0)</f>
        <v/>
      </c>
      <c r="AW30" s="9">
        <f>IFERROR(IF(AT30-AV30-AX30&lt;=0,0,AT30-AV30-AX30),0)</f>
        <v/>
      </c>
      <c r="AX30" s="10">
        <f>AV30</f>
        <v/>
      </c>
      <c r="AY30" s="8">
        <f>IFERROR(IF(AT30&lt;((1/2*AS30*AU30^2)*2),SQRT((AT30/2)*2/AS30),AU30),0)</f>
        <v/>
      </c>
      <c r="AZ30" s="9">
        <f>IFERROR(AW30/AR30,0)</f>
        <v/>
      </c>
      <c r="BA30" s="10">
        <f>AY30</f>
        <v/>
      </c>
      <c r="BB30" s="8">
        <f>IF(AQ30&gt;0,AQ30,SUM(AY30:BA30))</f>
        <v/>
      </c>
      <c r="BC30" s="32" t="n"/>
      <c r="BD30" s="10">
        <f>BB30*BC30</f>
        <v/>
      </c>
      <c r="BF30" s="14">
        <f>BF29+1</f>
        <v/>
      </c>
      <c r="BG30" s="28" t="n"/>
      <c r="BH30" s="30" t="n"/>
      <c r="BI30" s="9">
        <f>IFERROR(VLOOKUP(BG30,'Master List'!$A:$D,2,0),0)</f>
        <v/>
      </c>
      <c r="BJ30" s="9">
        <f>IFERROR(VLOOKUP(BG30,'Master List'!$A:$D,3,0),0)</f>
        <v/>
      </c>
      <c r="BK30" s="9">
        <f>IFERROR(VLOOKUP(BG30,'Master List'!$A:$D,4,0),0)</f>
        <v/>
      </c>
      <c r="BL30" s="32" t="n"/>
      <c r="BM30" s="7">
        <f>IFERROR(BJ30/BK30,0)</f>
        <v/>
      </c>
      <c r="BN30" s="8">
        <f>IFERROR(IF(BL30&lt;((1/2*BK30*BM30^2)*2),1/2*BK30*SQRT((BL30/2)*2/BK30)^2,1/2*BK30*BM30^2),0)</f>
        <v/>
      </c>
      <c r="BO30" s="9">
        <f>IFERROR(IF(BL30-BN30-BP30&lt;=0,0,BL30-BN30-BP30),0)</f>
        <v/>
      </c>
      <c r="BP30" s="10">
        <f>BN30</f>
        <v/>
      </c>
      <c r="BQ30" s="8">
        <f>IFERROR(IF(BL30&lt;((1/2*BK30*BM30^2)*2),SQRT((BL30/2)*2/BK30),BM30),0)</f>
        <v/>
      </c>
      <c r="BR30" s="9">
        <f>IFERROR(BO30/BJ30,0)</f>
        <v/>
      </c>
      <c r="BS30" s="10">
        <f>BQ30</f>
        <v/>
      </c>
      <c r="BT30" s="8">
        <f>IF(BI30&gt;0,BI30,SUM(BQ30:BS30))</f>
        <v/>
      </c>
      <c r="BU30" s="32" t="n"/>
      <c r="BV30" s="10">
        <f>BT30*BU30</f>
        <v/>
      </c>
    </row>
    <row r="31">
      <c r="V31" s="14">
        <f>V30+1</f>
        <v/>
      </c>
      <c r="W31" s="28" t="n"/>
      <c r="X31" s="30" t="n"/>
      <c r="Y31" s="9">
        <f>IFERROR(VLOOKUP(W31,'Master List'!$A:$D,2,0),0)</f>
        <v/>
      </c>
      <c r="Z31" s="9">
        <f>IFERROR(VLOOKUP(W31,'Master List'!$A:$D,3,0),0)</f>
        <v/>
      </c>
      <c r="AA31" s="9">
        <f>IFERROR(VLOOKUP(W31,'Master List'!$A:$D,4,0),0)</f>
        <v/>
      </c>
      <c r="AB31" s="32" t="n"/>
      <c r="AC31" s="7">
        <f>IFERROR(Z31/AA31,0)</f>
        <v/>
      </c>
      <c r="AD31" s="8">
        <f>IFERROR(IF(AB31&lt;((1/2*AA31*AC31^2)*2),1/2*AA31*SQRT((AB31/2)*2/AA31)^2,1/2*AA31*AC31^2),0)</f>
        <v/>
      </c>
      <c r="AE31" s="9">
        <f>IFERROR(IF(AB31-AD31-AF31&lt;=0,0,AB31-AD31-AF31),0)</f>
        <v/>
      </c>
      <c r="AF31" s="10">
        <f>AD31</f>
        <v/>
      </c>
      <c r="AG31" s="8">
        <f>IFERROR(IF(AB31&lt;((1/2*AA31*AC31^2)*2),SQRT((AB31/2)*2/AA31),AC31),0)</f>
        <v/>
      </c>
      <c r="AH31" s="9">
        <f>IFERROR(AE31/Z31,0)</f>
        <v/>
      </c>
      <c r="AI31" s="10">
        <f>AG31</f>
        <v/>
      </c>
      <c r="AJ31" s="8">
        <f>IF(Y31&gt;0,Y31,SUM(AG31:AI31))</f>
        <v/>
      </c>
      <c r="AK31" s="32" t="n"/>
      <c r="AL31" s="10">
        <f>AJ31*AK31</f>
        <v/>
      </c>
      <c r="AN31" s="14">
        <f>AN30+1</f>
        <v/>
      </c>
      <c r="AO31" s="28" t="n"/>
      <c r="AP31" s="30" t="n"/>
      <c r="AQ31" s="9">
        <f>IFERROR(VLOOKUP(AO31,'Master List'!$A:$D,2,0),0)</f>
        <v/>
      </c>
      <c r="AR31" s="9">
        <f>IFERROR(VLOOKUP(AO31,'Master List'!$A:$D,3,0),0)</f>
        <v/>
      </c>
      <c r="AS31" s="9">
        <f>IFERROR(VLOOKUP(AO31,'Master List'!$A:$D,4,0),0)</f>
        <v/>
      </c>
      <c r="AT31" s="32" t="n"/>
      <c r="AU31" s="7">
        <f>IFERROR(AR31/AS31,0)</f>
        <v/>
      </c>
      <c r="AV31" s="8">
        <f>IFERROR(IF(AT31&lt;((1/2*AS31*AU31^2)*2),1/2*AS31*SQRT((AT31/2)*2/AS31)^2,1/2*AS31*AU31^2),0)</f>
        <v/>
      </c>
      <c r="AW31" s="9">
        <f>IFERROR(IF(AT31-AV31-AX31&lt;=0,0,AT31-AV31-AX31),0)</f>
        <v/>
      </c>
      <c r="AX31" s="10">
        <f>AV31</f>
        <v/>
      </c>
      <c r="AY31" s="8">
        <f>IFERROR(IF(AT31&lt;((1/2*AS31*AU31^2)*2),SQRT((AT31/2)*2/AS31),AU31),0)</f>
        <v/>
      </c>
      <c r="AZ31" s="9">
        <f>IFERROR(AW31/AR31,0)</f>
        <v/>
      </c>
      <c r="BA31" s="10">
        <f>AY31</f>
        <v/>
      </c>
      <c r="BB31" s="8">
        <f>IF(AQ31&gt;0,AQ31,SUM(AY31:BA31))</f>
        <v/>
      </c>
      <c r="BC31" s="32" t="n"/>
      <c r="BD31" s="10">
        <f>BB31*BC31</f>
        <v/>
      </c>
      <c r="BF31" s="14">
        <f>BF30+1</f>
        <v/>
      </c>
      <c r="BG31" s="28" t="n"/>
      <c r="BH31" s="30" t="n"/>
      <c r="BI31" s="9">
        <f>IFERROR(VLOOKUP(BG31,'Master List'!$A:$D,2,0),0)</f>
        <v/>
      </c>
      <c r="BJ31" s="9">
        <f>IFERROR(VLOOKUP(BG31,'Master List'!$A:$D,3,0),0)</f>
        <v/>
      </c>
      <c r="BK31" s="9">
        <f>IFERROR(VLOOKUP(BG31,'Master List'!$A:$D,4,0),0)</f>
        <v/>
      </c>
      <c r="BL31" s="32" t="n"/>
      <c r="BM31" s="7">
        <f>IFERROR(BJ31/BK31,0)</f>
        <v/>
      </c>
      <c r="BN31" s="8">
        <f>IFERROR(IF(BL31&lt;((1/2*BK31*BM31^2)*2),1/2*BK31*SQRT((BL31/2)*2/BK31)^2,1/2*BK31*BM31^2),0)</f>
        <v/>
      </c>
      <c r="BO31" s="9">
        <f>IFERROR(IF(BL31-BN31-BP31&lt;=0,0,BL31-BN31-BP31),0)</f>
        <v/>
      </c>
      <c r="BP31" s="10">
        <f>BN31</f>
        <v/>
      </c>
      <c r="BQ31" s="8">
        <f>IFERROR(IF(BL31&lt;((1/2*BK31*BM31^2)*2),SQRT((BL31/2)*2/BK31),BM31),0)</f>
        <v/>
      </c>
      <c r="BR31" s="9">
        <f>IFERROR(BO31/BJ31,0)</f>
        <v/>
      </c>
      <c r="BS31" s="10">
        <f>BQ31</f>
        <v/>
      </c>
      <c r="BT31" s="8">
        <f>IF(BI31&gt;0,BI31,SUM(BQ31:BS31))</f>
        <v/>
      </c>
      <c r="BU31" s="32" t="n"/>
      <c r="BV31" s="10">
        <f>BT31*BU31</f>
        <v/>
      </c>
    </row>
    <row r="32">
      <c r="V32" s="14" t="n"/>
      <c r="BL32" s="32" t="n"/>
    </row>
    <row r="47">
      <c r="D47" s="31" t="n"/>
    </row>
  </sheetData>
  <sheetProtection selectLockedCells="0" selectUnlockedCells="0" algorithmName="SHA-512" sheet="1" objects="1" insertRows="1" insertHyperlinks="1" autoFilter="1" scenarios="1" formatColumns="1" deleteColumns="1" insertColumns="1" pivotTables="1" deleteRows="1" formatCells="1" saltValue="msP+KJydAY1lZBPN74aQiQ==" formatRows="1" sort="1" spinCount="100000" hashValue="oiFDZEW+TYpZLn9yPN8j8i7SiLJwb3PQPwpp0cAAjIKsSq+UXY9qREOoJ6l1b4EB/9huVtVHoT5kOj5ObRuNsQ=="/>
  <mergeCells count="24">
    <mergeCell ref="BF5:BV5"/>
    <mergeCell ref="E9:S9"/>
    <mergeCell ref="V5:AL5"/>
    <mergeCell ref="AN5:BD5"/>
    <mergeCell ref="BG9:BU9"/>
    <mergeCell ref="W7:AK7"/>
    <mergeCell ref="E6:S6"/>
    <mergeCell ref="BG6:BU6"/>
    <mergeCell ref="W9:AK9"/>
    <mergeCell ref="AO9:BC9"/>
    <mergeCell ref="AN6:AN10"/>
    <mergeCell ref="E7:S7"/>
    <mergeCell ref="W8:AK8"/>
    <mergeCell ref="BF6:BF10"/>
    <mergeCell ref="BG7:BU7"/>
    <mergeCell ref="AO6:BC6"/>
    <mergeCell ref="D6:D10"/>
    <mergeCell ref="AO8:BC8"/>
    <mergeCell ref="AO7:BC7"/>
    <mergeCell ref="W6:AK6"/>
    <mergeCell ref="V6:V10"/>
    <mergeCell ref="E8:S8"/>
    <mergeCell ref="D5:T5"/>
    <mergeCell ref="BG8:BU8"/>
  </mergeCells>
  <pageMargins left="0.7" right="0.7" top="0.75" bottom="0.75" header="0.3" footer="0.3"/>
  <pageSetup orientation="landscape" paperSize="9" scale="59" verticalDpi="0"/>
  <drawing r:id="rId1"/>
</worksheet>
</file>

<file path=xl/worksheets/sheet15.xml><?xml version="1.0" encoding="utf-8"?>
<worksheet xmlns:r="http://schemas.openxmlformats.org/officeDocument/2006/relationships" xmlns="http://schemas.openxmlformats.org/spreadsheetml/2006/main">
  <sheetPr codeName="Sheet29">
    <tabColor rgb="FFFFC000"/>
    <outlinePr summaryBelow="1" summaryRight="1"/>
    <pageSetUpPr fitToPage="1"/>
  </sheetPr>
  <dimension ref="A1:AJ77"/>
  <sheetViews>
    <sheetView showGridLines="0" topLeftCell="A2" zoomScaleNormal="100" workbookViewId="0">
      <selection activeCell="F19" sqref="F19"/>
    </sheetView>
  </sheetViews>
  <sheetFormatPr baseColWidth="10" defaultColWidth="9.1640625" defaultRowHeight="15"/>
  <cols>
    <col width="43.33203125" bestFit="1" customWidth="1" style="416" min="1" max="1"/>
    <col width="8" customWidth="1" style="416" min="2" max="2"/>
    <col width="11.6640625" bestFit="1" customWidth="1" style="416" min="3" max="3"/>
    <col width="5.5" bestFit="1" customWidth="1" style="416" min="4" max="4"/>
    <col width="9.1640625" bestFit="1" customWidth="1" style="416" min="5" max="5"/>
    <col width="12" bestFit="1" customWidth="1" style="416" min="6" max="6"/>
    <col width="8" customWidth="1" style="416" min="7" max="9"/>
    <col width="7.5" customWidth="1" style="416" min="10" max="10"/>
    <col width="9.1640625" customWidth="1" style="416" min="11" max="255"/>
    <col width="9.1640625" bestFit="1" customWidth="1" style="416" min="256" max="256"/>
    <col width="43.33203125" bestFit="1" customWidth="1" style="416" min="257" max="257"/>
    <col width="8" customWidth="1" style="416" min="258" max="258"/>
    <col width="11.6640625" bestFit="1" customWidth="1" style="416" min="259" max="259"/>
    <col width="5.5" bestFit="1" customWidth="1" style="416" min="260" max="260"/>
    <col width="9.1640625" bestFit="1" customWidth="1" style="416" min="261" max="261"/>
    <col width="12" bestFit="1" customWidth="1" style="416" min="262" max="262"/>
    <col width="8" customWidth="1" style="416" min="263" max="265"/>
    <col width="7.5" customWidth="1" style="416" min="266" max="266"/>
    <col width="9.1640625" customWidth="1" style="416" min="267" max="511"/>
    <col width="9.1640625" bestFit="1" customWidth="1" style="416" min="512" max="512"/>
    <col width="43.33203125" bestFit="1" customWidth="1" style="416" min="513" max="513"/>
    <col width="8" customWidth="1" style="416" min="514" max="514"/>
    <col width="11.6640625" bestFit="1" customWidth="1" style="416" min="515" max="515"/>
    <col width="5.5" bestFit="1" customWidth="1" style="416" min="516" max="516"/>
    <col width="9.1640625" bestFit="1" customWidth="1" style="416" min="517" max="517"/>
    <col width="12" bestFit="1" customWidth="1" style="416" min="518" max="518"/>
    <col width="8" customWidth="1" style="416" min="519" max="521"/>
    <col width="7.5" customWidth="1" style="416" min="522" max="522"/>
    <col width="9.1640625" customWidth="1" style="416" min="523" max="767"/>
    <col width="9.1640625" bestFit="1" customWidth="1" style="416" min="768" max="768"/>
    <col width="43.33203125" bestFit="1" customWidth="1" style="416" min="769" max="769"/>
    <col width="8" customWidth="1" style="416" min="770" max="770"/>
    <col width="11.6640625" bestFit="1" customWidth="1" style="416" min="771" max="771"/>
    <col width="5.5" bestFit="1" customWidth="1" style="416" min="772" max="772"/>
    <col width="9.1640625" bestFit="1" customWidth="1" style="416" min="773" max="773"/>
    <col width="12" bestFit="1" customWidth="1" style="416" min="774" max="774"/>
    <col width="8" customWidth="1" style="416" min="775" max="777"/>
    <col width="7.5" customWidth="1" style="416" min="778" max="778"/>
    <col width="9.1640625" customWidth="1" style="416" min="779" max="1023"/>
    <col width="9.1640625" bestFit="1" customWidth="1" style="416" min="1024" max="1024"/>
    <col width="43.33203125" bestFit="1" customWidth="1" style="416" min="1025" max="1025"/>
    <col width="8" customWidth="1" style="416" min="1026" max="1026"/>
    <col width="11.6640625" bestFit="1" customWidth="1" style="416" min="1027" max="1027"/>
    <col width="5.5" bestFit="1" customWidth="1" style="416" min="1028" max="1028"/>
    <col width="9.1640625" bestFit="1" customWidth="1" style="416" min="1029" max="1029"/>
    <col width="12" bestFit="1" customWidth="1" style="416" min="1030" max="1030"/>
    <col width="8" customWidth="1" style="416" min="1031" max="1033"/>
    <col width="7.5" customWidth="1" style="416" min="1034" max="1034"/>
    <col width="9.1640625" customWidth="1" style="416" min="1035" max="1279"/>
    <col width="9.1640625" bestFit="1" customWidth="1" style="416" min="1280" max="1280"/>
    <col width="43.33203125" bestFit="1" customWidth="1" style="416" min="1281" max="1281"/>
    <col width="8" customWidth="1" style="416" min="1282" max="1282"/>
    <col width="11.6640625" bestFit="1" customWidth="1" style="416" min="1283" max="1283"/>
    <col width="5.5" bestFit="1" customWidth="1" style="416" min="1284" max="1284"/>
    <col width="9.1640625" bestFit="1" customWidth="1" style="416" min="1285" max="1285"/>
    <col width="12" bestFit="1" customWidth="1" style="416" min="1286" max="1286"/>
    <col width="8" customWidth="1" style="416" min="1287" max="1289"/>
    <col width="7.5" customWidth="1" style="416" min="1290" max="1290"/>
    <col width="9.1640625" customWidth="1" style="416" min="1291" max="1535"/>
    <col width="9.1640625" bestFit="1" customWidth="1" style="416" min="1536" max="1536"/>
    <col width="43.33203125" bestFit="1" customWidth="1" style="416" min="1537" max="1537"/>
    <col width="8" customWidth="1" style="416" min="1538" max="1538"/>
    <col width="11.6640625" bestFit="1" customWidth="1" style="416" min="1539" max="1539"/>
    <col width="5.5" bestFit="1" customWidth="1" style="416" min="1540" max="1540"/>
    <col width="9.1640625" bestFit="1" customWidth="1" style="416" min="1541" max="1541"/>
    <col width="12" bestFit="1" customWidth="1" style="416" min="1542" max="1542"/>
    <col width="8" customWidth="1" style="416" min="1543" max="1545"/>
    <col width="7.5" customWidth="1" style="416" min="1546" max="1546"/>
    <col width="9.1640625" customWidth="1" style="416" min="1547" max="1791"/>
    <col width="9.1640625" bestFit="1" customWidth="1" style="416" min="1792" max="1792"/>
    <col width="43.33203125" bestFit="1" customWidth="1" style="416" min="1793" max="1793"/>
    <col width="8" customWidth="1" style="416" min="1794" max="1794"/>
    <col width="11.6640625" bestFit="1" customWidth="1" style="416" min="1795" max="1795"/>
    <col width="5.5" bestFit="1" customWidth="1" style="416" min="1796" max="1796"/>
    <col width="9.1640625" bestFit="1" customWidth="1" style="416" min="1797" max="1797"/>
    <col width="12" bestFit="1" customWidth="1" style="416" min="1798" max="1798"/>
    <col width="8" customWidth="1" style="416" min="1799" max="1801"/>
    <col width="7.5" customWidth="1" style="416" min="1802" max="1802"/>
    <col width="9.1640625" customWidth="1" style="416" min="1803" max="2047"/>
    <col width="9.1640625" bestFit="1" customWidth="1" style="416" min="2048" max="2048"/>
    <col width="43.33203125" bestFit="1" customWidth="1" style="416" min="2049" max="2049"/>
    <col width="8" customWidth="1" style="416" min="2050" max="2050"/>
    <col width="11.6640625" bestFit="1" customWidth="1" style="416" min="2051" max="2051"/>
    <col width="5.5" bestFit="1" customWidth="1" style="416" min="2052" max="2052"/>
    <col width="9.1640625" bestFit="1" customWidth="1" style="416" min="2053" max="2053"/>
    <col width="12" bestFit="1" customWidth="1" style="416" min="2054" max="2054"/>
    <col width="8" customWidth="1" style="416" min="2055" max="2057"/>
    <col width="7.5" customWidth="1" style="416" min="2058" max="2058"/>
    <col width="9.1640625" customWidth="1" style="416" min="2059" max="2303"/>
    <col width="9.1640625" bestFit="1" customWidth="1" style="416" min="2304" max="2304"/>
    <col width="43.33203125" bestFit="1" customWidth="1" style="416" min="2305" max="2305"/>
    <col width="8" customWidth="1" style="416" min="2306" max="2306"/>
    <col width="11.6640625" bestFit="1" customWidth="1" style="416" min="2307" max="2307"/>
    <col width="5.5" bestFit="1" customWidth="1" style="416" min="2308" max="2308"/>
    <col width="9.1640625" bestFit="1" customWidth="1" style="416" min="2309" max="2309"/>
    <col width="12" bestFit="1" customWidth="1" style="416" min="2310" max="2310"/>
    <col width="8" customWidth="1" style="416" min="2311" max="2313"/>
    <col width="7.5" customWidth="1" style="416" min="2314" max="2314"/>
    <col width="9.1640625" customWidth="1" style="416" min="2315" max="2559"/>
    <col width="9.1640625" bestFit="1" customWidth="1" style="416" min="2560" max="2560"/>
    <col width="43.33203125" bestFit="1" customWidth="1" style="416" min="2561" max="2561"/>
    <col width="8" customWidth="1" style="416" min="2562" max="2562"/>
    <col width="11.6640625" bestFit="1" customWidth="1" style="416" min="2563" max="2563"/>
    <col width="5.5" bestFit="1" customWidth="1" style="416" min="2564" max="2564"/>
    <col width="9.1640625" bestFit="1" customWidth="1" style="416" min="2565" max="2565"/>
    <col width="12" bestFit="1" customWidth="1" style="416" min="2566" max="2566"/>
    <col width="8" customWidth="1" style="416" min="2567" max="2569"/>
    <col width="7.5" customWidth="1" style="416" min="2570" max="2570"/>
    <col width="9.1640625" customWidth="1" style="416" min="2571" max="2815"/>
    <col width="9.1640625" bestFit="1" customWidth="1" style="416" min="2816" max="2816"/>
    <col width="43.33203125" bestFit="1" customWidth="1" style="416" min="2817" max="2817"/>
    <col width="8" customWidth="1" style="416" min="2818" max="2818"/>
    <col width="11.6640625" bestFit="1" customWidth="1" style="416" min="2819" max="2819"/>
    <col width="5.5" bestFit="1" customWidth="1" style="416" min="2820" max="2820"/>
    <col width="9.1640625" bestFit="1" customWidth="1" style="416" min="2821" max="2821"/>
    <col width="12" bestFit="1" customWidth="1" style="416" min="2822" max="2822"/>
    <col width="8" customWidth="1" style="416" min="2823" max="2825"/>
    <col width="7.5" customWidth="1" style="416" min="2826" max="2826"/>
    <col width="9.1640625" customWidth="1" style="416" min="2827" max="3071"/>
    <col width="9.1640625" bestFit="1" customWidth="1" style="416" min="3072" max="3072"/>
    <col width="43.33203125" bestFit="1" customWidth="1" style="416" min="3073" max="3073"/>
    <col width="8" customWidth="1" style="416" min="3074" max="3074"/>
    <col width="11.6640625" bestFit="1" customWidth="1" style="416" min="3075" max="3075"/>
    <col width="5.5" bestFit="1" customWidth="1" style="416" min="3076" max="3076"/>
    <col width="9.1640625" bestFit="1" customWidth="1" style="416" min="3077" max="3077"/>
    <col width="12" bestFit="1" customWidth="1" style="416" min="3078" max="3078"/>
    <col width="8" customWidth="1" style="416" min="3079" max="3081"/>
    <col width="7.5" customWidth="1" style="416" min="3082" max="3082"/>
    <col width="9.1640625" customWidth="1" style="416" min="3083" max="3327"/>
    <col width="9.1640625" bestFit="1" customWidth="1" style="416" min="3328" max="3328"/>
    <col width="43.33203125" bestFit="1" customWidth="1" style="416" min="3329" max="3329"/>
    <col width="8" customWidth="1" style="416" min="3330" max="3330"/>
    <col width="11.6640625" bestFit="1" customWidth="1" style="416" min="3331" max="3331"/>
    <col width="5.5" bestFit="1" customWidth="1" style="416" min="3332" max="3332"/>
    <col width="9.1640625" bestFit="1" customWidth="1" style="416" min="3333" max="3333"/>
    <col width="12" bestFit="1" customWidth="1" style="416" min="3334" max="3334"/>
    <col width="8" customWidth="1" style="416" min="3335" max="3337"/>
    <col width="7.5" customWidth="1" style="416" min="3338" max="3338"/>
    <col width="9.1640625" customWidth="1" style="416" min="3339" max="3583"/>
    <col width="9.1640625" bestFit="1" customWidth="1" style="416" min="3584" max="3584"/>
    <col width="43.33203125" bestFit="1" customWidth="1" style="416" min="3585" max="3585"/>
    <col width="8" customWidth="1" style="416" min="3586" max="3586"/>
    <col width="11.6640625" bestFit="1" customWidth="1" style="416" min="3587" max="3587"/>
    <col width="5.5" bestFit="1" customWidth="1" style="416" min="3588" max="3588"/>
    <col width="9.1640625" bestFit="1" customWidth="1" style="416" min="3589" max="3589"/>
    <col width="12" bestFit="1" customWidth="1" style="416" min="3590" max="3590"/>
    <col width="8" customWidth="1" style="416" min="3591" max="3593"/>
    <col width="7.5" customWidth="1" style="416" min="3594" max="3594"/>
    <col width="9.1640625" customWidth="1" style="416" min="3595" max="3839"/>
    <col width="9.1640625" bestFit="1" customWidth="1" style="416" min="3840" max="3840"/>
    <col width="43.33203125" bestFit="1" customWidth="1" style="416" min="3841" max="3841"/>
    <col width="8" customWidth="1" style="416" min="3842" max="3842"/>
    <col width="11.6640625" bestFit="1" customWidth="1" style="416" min="3843" max="3843"/>
    <col width="5.5" bestFit="1" customWidth="1" style="416" min="3844" max="3844"/>
    <col width="9.1640625" bestFit="1" customWidth="1" style="416" min="3845" max="3845"/>
    <col width="12" bestFit="1" customWidth="1" style="416" min="3846" max="3846"/>
    <col width="8" customWidth="1" style="416" min="3847" max="3849"/>
    <col width="7.5" customWidth="1" style="416" min="3850" max="3850"/>
    <col width="9.1640625" customWidth="1" style="416" min="3851" max="4095"/>
    <col width="9.1640625" bestFit="1" customWidth="1" style="416" min="4096" max="4096"/>
    <col width="43.33203125" bestFit="1" customWidth="1" style="416" min="4097" max="4097"/>
    <col width="8" customWidth="1" style="416" min="4098" max="4098"/>
    <col width="11.6640625" bestFit="1" customWidth="1" style="416" min="4099" max="4099"/>
    <col width="5.5" bestFit="1" customWidth="1" style="416" min="4100" max="4100"/>
    <col width="9.1640625" bestFit="1" customWidth="1" style="416" min="4101" max="4101"/>
    <col width="12" bestFit="1" customWidth="1" style="416" min="4102" max="4102"/>
    <col width="8" customWidth="1" style="416" min="4103" max="4105"/>
    <col width="7.5" customWidth="1" style="416" min="4106" max="4106"/>
    <col width="9.1640625" customWidth="1" style="416" min="4107" max="4351"/>
    <col width="9.1640625" bestFit="1" customWidth="1" style="416" min="4352" max="4352"/>
    <col width="43.33203125" bestFit="1" customWidth="1" style="416" min="4353" max="4353"/>
    <col width="8" customWidth="1" style="416" min="4354" max="4354"/>
    <col width="11.6640625" bestFit="1" customWidth="1" style="416" min="4355" max="4355"/>
    <col width="5.5" bestFit="1" customWidth="1" style="416" min="4356" max="4356"/>
    <col width="9.1640625" bestFit="1" customWidth="1" style="416" min="4357" max="4357"/>
    <col width="12" bestFit="1" customWidth="1" style="416" min="4358" max="4358"/>
    <col width="8" customWidth="1" style="416" min="4359" max="4361"/>
    <col width="7.5" customWidth="1" style="416" min="4362" max="4362"/>
    <col width="9.1640625" customWidth="1" style="416" min="4363" max="4607"/>
    <col width="9.1640625" bestFit="1" customWidth="1" style="416" min="4608" max="4608"/>
    <col width="43.33203125" bestFit="1" customWidth="1" style="416" min="4609" max="4609"/>
    <col width="8" customWidth="1" style="416" min="4610" max="4610"/>
    <col width="11.6640625" bestFit="1" customWidth="1" style="416" min="4611" max="4611"/>
    <col width="5.5" bestFit="1" customWidth="1" style="416" min="4612" max="4612"/>
    <col width="9.1640625" bestFit="1" customWidth="1" style="416" min="4613" max="4613"/>
    <col width="12" bestFit="1" customWidth="1" style="416" min="4614" max="4614"/>
    <col width="8" customWidth="1" style="416" min="4615" max="4617"/>
    <col width="7.5" customWidth="1" style="416" min="4618" max="4618"/>
    <col width="9.1640625" customWidth="1" style="416" min="4619" max="4863"/>
    <col width="9.1640625" bestFit="1" customWidth="1" style="416" min="4864" max="4864"/>
    <col width="43.33203125" bestFit="1" customWidth="1" style="416" min="4865" max="4865"/>
    <col width="8" customWidth="1" style="416" min="4866" max="4866"/>
    <col width="11.6640625" bestFit="1" customWidth="1" style="416" min="4867" max="4867"/>
    <col width="5.5" bestFit="1" customWidth="1" style="416" min="4868" max="4868"/>
    <col width="9.1640625" bestFit="1" customWidth="1" style="416" min="4869" max="4869"/>
    <col width="12" bestFit="1" customWidth="1" style="416" min="4870" max="4870"/>
    <col width="8" customWidth="1" style="416" min="4871" max="4873"/>
    <col width="7.5" customWidth="1" style="416" min="4874" max="4874"/>
    <col width="9.1640625" customWidth="1" style="416" min="4875" max="5119"/>
    <col width="9.1640625" bestFit="1" customWidth="1" style="416" min="5120" max="5120"/>
    <col width="43.33203125" bestFit="1" customWidth="1" style="416" min="5121" max="5121"/>
    <col width="8" customWidth="1" style="416" min="5122" max="5122"/>
    <col width="11.6640625" bestFit="1" customWidth="1" style="416" min="5123" max="5123"/>
    <col width="5.5" bestFit="1" customWidth="1" style="416" min="5124" max="5124"/>
    <col width="9.1640625" bestFit="1" customWidth="1" style="416" min="5125" max="5125"/>
    <col width="12" bestFit="1" customWidth="1" style="416" min="5126" max="5126"/>
    <col width="8" customWidth="1" style="416" min="5127" max="5129"/>
    <col width="7.5" customWidth="1" style="416" min="5130" max="5130"/>
    <col width="9.1640625" customWidth="1" style="416" min="5131" max="5375"/>
    <col width="9.1640625" bestFit="1" customWidth="1" style="416" min="5376" max="5376"/>
    <col width="43.33203125" bestFit="1" customWidth="1" style="416" min="5377" max="5377"/>
    <col width="8" customWidth="1" style="416" min="5378" max="5378"/>
    <col width="11.6640625" bestFit="1" customWidth="1" style="416" min="5379" max="5379"/>
    <col width="5.5" bestFit="1" customWidth="1" style="416" min="5380" max="5380"/>
    <col width="9.1640625" bestFit="1" customWidth="1" style="416" min="5381" max="5381"/>
    <col width="12" bestFit="1" customWidth="1" style="416" min="5382" max="5382"/>
    <col width="8" customWidth="1" style="416" min="5383" max="5385"/>
    <col width="7.5" customWidth="1" style="416" min="5386" max="5386"/>
    <col width="9.1640625" customWidth="1" style="416" min="5387" max="5631"/>
    <col width="9.1640625" bestFit="1" customWidth="1" style="416" min="5632" max="5632"/>
    <col width="43.33203125" bestFit="1" customWidth="1" style="416" min="5633" max="5633"/>
    <col width="8" customWidth="1" style="416" min="5634" max="5634"/>
    <col width="11.6640625" bestFit="1" customWidth="1" style="416" min="5635" max="5635"/>
    <col width="5.5" bestFit="1" customWidth="1" style="416" min="5636" max="5636"/>
    <col width="9.1640625" bestFit="1" customWidth="1" style="416" min="5637" max="5637"/>
    <col width="12" bestFit="1" customWidth="1" style="416" min="5638" max="5638"/>
    <col width="8" customWidth="1" style="416" min="5639" max="5641"/>
    <col width="7.5" customWidth="1" style="416" min="5642" max="5642"/>
    <col width="9.1640625" customWidth="1" style="416" min="5643" max="5887"/>
    <col width="9.1640625" bestFit="1" customWidth="1" style="416" min="5888" max="5888"/>
    <col width="43.33203125" bestFit="1" customWidth="1" style="416" min="5889" max="5889"/>
    <col width="8" customWidth="1" style="416" min="5890" max="5890"/>
    <col width="11.6640625" bestFit="1" customWidth="1" style="416" min="5891" max="5891"/>
    <col width="5.5" bestFit="1" customWidth="1" style="416" min="5892" max="5892"/>
    <col width="9.1640625" bestFit="1" customWidth="1" style="416" min="5893" max="5893"/>
    <col width="12" bestFit="1" customWidth="1" style="416" min="5894" max="5894"/>
    <col width="8" customWidth="1" style="416" min="5895" max="5897"/>
    <col width="7.5" customWidth="1" style="416" min="5898" max="5898"/>
    <col width="9.1640625" customWidth="1" style="416" min="5899" max="6143"/>
    <col width="9.1640625" bestFit="1" customWidth="1" style="416" min="6144" max="6144"/>
    <col width="43.33203125" bestFit="1" customWidth="1" style="416" min="6145" max="6145"/>
    <col width="8" customWidth="1" style="416" min="6146" max="6146"/>
    <col width="11.6640625" bestFit="1" customWidth="1" style="416" min="6147" max="6147"/>
    <col width="5.5" bestFit="1" customWidth="1" style="416" min="6148" max="6148"/>
    <col width="9.1640625" bestFit="1" customWidth="1" style="416" min="6149" max="6149"/>
    <col width="12" bestFit="1" customWidth="1" style="416" min="6150" max="6150"/>
    <col width="8" customWidth="1" style="416" min="6151" max="6153"/>
    <col width="7.5" customWidth="1" style="416" min="6154" max="6154"/>
    <col width="9.1640625" customWidth="1" style="416" min="6155" max="6399"/>
    <col width="9.1640625" bestFit="1" customWidth="1" style="416" min="6400" max="6400"/>
    <col width="43.33203125" bestFit="1" customWidth="1" style="416" min="6401" max="6401"/>
    <col width="8" customWidth="1" style="416" min="6402" max="6402"/>
    <col width="11.6640625" bestFit="1" customWidth="1" style="416" min="6403" max="6403"/>
    <col width="5.5" bestFit="1" customWidth="1" style="416" min="6404" max="6404"/>
    <col width="9.1640625" bestFit="1" customWidth="1" style="416" min="6405" max="6405"/>
    <col width="12" bestFit="1" customWidth="1" style="416" min="6406" max="6406"/>
    <col width="8" customWidth="1" style="416" min="6407" max="6409"/>
    <col width="7.5" customWidth="1" style="416" min="6410" max="6410"/>
    <col width="9.1640625" customWidth="1" style="416" min="6411" max="6655"/>
    <col width="9.1640625" bestFit="1" customWidth="1" style="416" min="6656" max="6656"/>
    <col width="43.33203125" bestFit="1" customWidth="1" style="416" min="6657" max="6657"/>
    <col width="8" customWidth="1" style="416" min="6658" max="6658"/>
    <col width="11.6640625" bestFit="1" customWidth="1" style="416" min="6659" max="6659"/>
    <col width="5.5" bestFit="1" customWidth="1" style="416" min="6660" max="6660"/>
    <col width="9.1640625" bestFit="1" customWidth="1" style="416" min="6661" max="6661"/>
    <col width="12" bestFit="1" customWidth="1" style="416" min="6662" max="6662"/>
    <col width="8" customWidth="1" style="416" min="6663" max="6665"/>
    <col width="7.5" customWidth="1" style="416" min="6666" max="6666"/>
    <col width="9.1640625" customWidth="1" style="416" min="6667" max="6911"/>
    <col width="9.1640625" bestFit="1" customWidth="1" style="416" min="6912" max="6912"/>
    <col width="43.33203125" bestFit="1" customWidth="1" style="416" min="6913" max="6913"/>
    <col width="8" customWidth="1" style="416" min="6914" max="6914"/>
    <col width="11.6640625" bestFit="1" customWidth="1" style="416" min="6915" max="6915"/>
    <col width="5.5" bestFit="1" customWidth="1" style="416" min="6916" max="6916"/>
    <col width="9.1640625" bestFit="1" customWidth="1" style="416" min="6917" max="6917"/>
    <col width="12" bestFit="1" customWidth="1" style="416" min="6918" max="6918"/>
    <col width="8" customWidth="1" style="416" min="6919" max="6921"/>
    <col width="7.5" customWidth="1" style="416" min="6922" max="6922"/>
    <col width="9.1640625" customWidth="1" style="416" min="6923" max="7167"/>
    <col width="9.1640625" bestFit="1" customWidth="1" style="416" min="7168" max="7168"/>
    <col width="43.33203125" bestFit="1" customWidth="1" style="416" min="7169" max="7169"/>
    <col width="8" customWidth="1" style="416" min="7170" max="7170"/>
    <col width="11.6640625" bestFit="1" customWidth="1" style="416" min="7171" max="7171"/>
    <col width="5.5" bestFit="1" customWidth="1" style="416" min="7172" max="7172"/>
    <col width="9.1640625" bestFit="1" customWidth="1" style="416" min="7173" max="7173"/>
    <col width="12" bestFit="1" customWidth="1" style="416" min="7174" max="7174"/>
    <col width="8" customWidth="1" style="416" min="7175" max="7177"/>
    <col width="7.5" customWidth="1" style="416" min="7178" max="7178"/>
    <col width="9.1640625" customWidth="1" style="416" min="7179" max="7423"/>
    <col width="9.1640625" bestFit="1" customWidth="1" style="416" min="7424" max="7424"/>
    <col width="43.33203125" bestFit="1" customWidth="1" style="416" min="7425" max="7425"/>
    <col width="8" customWidth="1" style="416" min="7426" max="7426"/>
    <col width="11.6640625" bestFit="1" customWidth="1" style="416" min="7427" max="7427"/>
    <col width="5.5" bestFit="1" customWidth="1" style="416" min="7428" max="7428"/>
    <col width="9.1640625" bestFit="1" customWidth="1" style="416" min="7429" max="7429"/>
    <col width="12" bestFit="1" customWidth="1" style="416" min="7430" max="7430"/>
    <col width="8" customWidth="1" style="416" min="7431" max="7433"/>
    <col width="7.5" customWidth="1" style="416" min="7434" max="7434"/>
    <col width="9.1640625" customWidth="1" style="416" min="7435" max="7679"/>
    <col width="9.1640625" bestFit="1" customWidth="1" style="416" min="7680" max="7680"/>
    <col width="43.33203125" bestFit="1" customWidth="1" style="416" min="7681" max="7681"/>
    <col width="8" customWidth="1" style="416" min="7682" max="7682"/>
    <col width="11.6640625" bestFit="1" customWidth="1" style="416" min="7683" max="7683"/>
    <col width="5.5" bestFit="1" customWidth="1" style="416" min="7684" max="7684"/>
    <col width="9.1640625" bestFit="1" customWidth="1" style="416" min="7685" max="7685"/>
    <col width="12" bestFit="1" customWidth="1" style="416" min="7686" max="7686"/>
    <col width="8" customWidth="1" style="416" min="7687" max="7689"/>
    <col width="7.5" customWidth="1" style="416" min="7690" max="7690"/>
    <col width="9.1640625" customWidth="1" style="416" min="7691" max="7935"/>
    <col width="9.1640625" bestFit="1" customWidth="1" style="416" min="7936" max="7936"/>
    <col width="43.33203125" bestFit="1" customWidth="1" style="416" min="7937" max="7937"/>
    <col width="8" customWidth="1" style="416" min="7938" max="7938"/>
    <col width="11.6640625" bestFit="1" customWidth="1" style="416" min="7939" max="7939"/>
    <col width="5.5" bestFit="1" customWidth="1" style="416" min="7940" max="7940"/>
    <col width="9.1640625" bestFit="1" customWidth="1" style="416" min="7941" max="7941"/>
    <col width="12" bestFit="1" customWidth="1" style="416" min="7942" max="7942"/>
    <col width="8" customWidth="1" style="416" min="7943" max="7945"/>
    <col width="7.5" customWidth="1" style="416" min="7946" max="7946"/>
    <col width="9.1640625" customWidth="1" style="416" min="7947" max="8191"/>
    <col width="9.1640625" bestFit="1" customWidth="1" style="416" min="8192" max="8192"/>
    <col width="43.33203125" bestFit="1" customWidth="1" style="416" min="8193" max="8193"/>
    <col width="8" customWidth="1" style="416" min="8194" max="8194"/>
    <col width="11.6640625" bestFit="1" customWidth="1" style="416" min="8195" max="8195"/>
    <col width="5.5" bestFit="1" customWidth="1" style="416" min="8196" max="8196"/>
    <col width="9.1640625" bestFit="1" customWidth="1" style="416" min="8197" max="8197"/>
    <col width="12" bestFit="1" customWidth="1" style="416" min="8198" max="8198"/>
    <col width="8" customWidth="1" style="416" min="8199" max="8201"/>
    <col width="7.5" customWidth="1" style="416" min="8202" max="8202"/>
    <col width="9.1640625" customWidth="1" style="416" min="8203" max="8447"/>
    <col width="9.1640625" bestFit="1" customWidth="1" style="416" min="8448" max="8448"/>
    <col width="43.33203125" bestFit="1" customWidth="1" style="416" min="8449" max="8449"/>
    <col width="8" customWidth="1" style="416" min="8450" max="8450"/>
    <col width="11.6640625" bestFit="1" customWidth="1" style="416" min="8451" max="8451"/>
    <col width="5.5" bestFit="1" customWidth="1" style="416" min="8452" max="8452"/>
    <col width="9.1640625" bestFit="1" customWidth="1" style="416" min="8453" max="8453"/>
    <col width="12" bestFit="1" customWidth="1" style="416" min="8454" max="8454"/>
    <col width="8" customWidth="1" style="416" min="8455" max="8457"/>
    <col width="7.5" customWidth="1" style="416" min="8458" max="8458"/>
    <col width="9.1640625" customWidth="1" style="416" min="8459" max="8703"/>
    <col width="9.1640625" bestFit="1" customWidth="1" style="416" min="8704" max="8704"/>
    <col width="43.33203125" bestFit="1" customWidth="1" style="416" min="8705" max="8705"/>
    <col width="8" customWidth="1" style="416" min="8706" max="8706"/>
    <col width="11.6640625" bestFit="1" customWidth="1" style="416" min="8707" max="8707"/>
    <col width="5.5" bestFit="1" customWidth="1" style="416" min="8708" max="8708"/>
    <col width="9.1640625" bestFit="1" customWidth="1" style="416" min="8709" max="8709"/>
    <col width="12" bestFit="1" customWidth="1" style="416" min="8710" max="8710"/>
    <col width="8" customWidth="1" style="416" min="8711" max="8713"/>
    <col width="7.5" customWidth="1" style="416" min="8714" max="8714"/>
    <col width="9.1640625" customWidth="1" style="416" min="8715" max="8959"/>
    <col width="9.1640625" bestFit="1" customWidth="1" style="416" min="8960" max="8960"/>
    <col width="43.33203125" bestFit="1" customWidth="1" style="416" min="8961" max="8961"/>
    <col width="8" customWidth="1" style="416" min="8962" max="8962"/>
    <col width="11.6640625" bestFit="1" customWidth="1" style="416" min="8963" max="8963"/>
    <col width="5.5" bestFit="1" customWidth="1" style="416" min="8964" max="8964"/>
    <col width="9.1640625" bestFit="1" customWidth="1" style="416" min="8965" max="8965"/>
    <col width="12" bestFit="1" customWidth="1" style="416" min="8966" max="8966"/>
    <col width="8" customWidth="1" style="416" min="8967" max="8969"/>
    <col width="7.5" customWidth="1" style="416" min="8970" max="8970"/>
    <col width="9.1640625" customWidth="1" style="416" min="8971" max="9215"/>
    <col width="9.1640625" bestFit="1" customWidth="1" style="416" min="9216" max="9216"/>
    <col width="43.33203125" bestFit="1" customWidth="1" style="416" min="9217" max="9217"/>
    <col width="8" customWidth="1" style="416" min="9218" max="9218"/>
    <col width="11.6640625" bestFit="1" customWidth="1" style="416" min="9219" max="9219"/>
    <col width="5.5" bestFit="1" customWidth="1" style="416" min="9220" max="9220"/>
    <col width="9.1640625" bestFit="1" customWidth="1" style="416" min="9221" max="9221"/>
    <col width="12" bestFit="1" customWidth="1" style="416" min="9222" max="9222"/>
    <col width="8" customWidth="1" style="416" min="9223" max="9225"/>
    <col width="7.5" customWidth="1" style="416" min="9226" max="9226"/>
    <col width="9.1640625" customWidth="1" style="416" min="9227" max="9471"/>
    <col width="9.1640625" bestFit="1" customWidth="1" style="416" min="9472" max="9472"/>
    <col width="43.33203125" bestFit="1" customWidth="1" style="416" min="9473" max="9473"/>
    <col width="8" customWidth="1" style="416" min="9474" max="9474"/>
    <col width="11.6640625" bestFit="1" customWidth="1" style="416" min="9475" max="9475"/>
    <col width="5.5" bestFit="1" customWidth="1" style="416" min="9476" max="9476"/>
    <col width="9.1640625" bestFit="1" customWidth="1" style="416" min="9477" max="9477"/>
    <col width="12" bestFit="1" customWidth="1" style="416" min="9478" max="9478"/>
    <col width="8" customWidth="1" style="416" min="9479" max="9481"/>
    <col width="7.5" customWidth="1" style="416" min="9482" max="9482"/>
    <col width="9.1640625" customWidth="1" style="416" min="9483" max="9727"/>
    <col width="9.1640625" bestFit="1" customWidth="1" style="416" min="9728" max="9728"/>
    <col width="43.33203125" bestFit="1" customWidth="1" style="416" min="9729" max="9729"/>
    <col width="8" customWidth="1" style="416" min="9730" max="9730"/>
    <col width="11.6640625" bestFit="1" customWidth="1" style="416" min="9731" max="9731"/>
    <col width="5.5" bestFit="1" customWidth="1" style="416" min="9732" max="9732"/>
    <col width="9.1640625" bestFit="1" customWidth="1" style="416" min="9733" max="9733"/>
    <col width="12" bestFit="1" customWidth="1" style="416" min="9734" max="9734"/>
    <col width="8" customWidth="1" style="416" min="9735" max="9737"/>
    <col width="7.5" customWidth="1" style="416" min="9738" max="9738"/>
    <col width="9.1640625" customWidth="1" style="416" min="9739" max="9983"/>
    <col width="9.1640625" bestFit="1" customWidth="1" style="416" min="9984" max="9984"/>
    <col width="43.33203125" bestFit="1" customWidth="1" style="416" min="9985" max="9985"/>
    <col width="8" customWidth="1" style="416" min="9986" max="9986"/>
    <col width="11.6640625" bestFit="1" customWidth="1" style="416" min="9987" max="9987"/>
    <col width="5.5" bestFit="1" customWidth="1" style="416" min="9988" max="9988"/>
    <col width="9.1640625" bestFit="1" customWidth="1" style="416" min="9989" max="9989"/>
    <col width="12" bestFit="1" customWidth="1" style="416" min="9990" max="9990"/>
    <col width="8" customWidth="1" style="416" min="9991" max="9993"/>
    <col width="7.5" customWidth="1" style="416" min="9994" max="9994"/>
    <col width="9.1640625" customWidth="1" style="416" min="9995" max="10239"/>
    <col width="9.1640625" bestFit="1" customWidth="1" style="416" min="10240" max="10240"/>
    <col width="43.33203125" bestFit="1" customWidth="1" style="416" min="10241" max="10241"/>
    <col width="8" customWidth="1" style="416" min="10242" max="10242"/>
    <col width="11.6640625" bestFit="1" customWidth="1" style="416" min="10243" max="10243"/>
    <col width="5.5" bestFit="1" customWidth="1" style="416" min="10244" max="10244"/>
    <col width="9.1640625" bestFit="1" customWidth="1" style="416" min="10245" max="10245"/>
    <col width="12" bestFit="1" customWidth="1" style="416" min="10246" max="10246"/>
    <col width="8" customWidth="1" style="416" min="10247" max="10249"/>
    <col width="7.5" customWidth="1" style="416" min="10250" max="10250"/>
    <col width="9.1640625" customWidth="1" style="416" min="10251" max="10495"/>
    <col width="9.1640625" bestFit="1" customWidth="1" style="416" min="10496" max="10496"/>
    <col width="43.33203125" bestFit="1" customWidth="1" style="416" min="10497" max="10497"/>
    <col width="8" customWidth="1" style="416" min="10498" max="10498"/>
    <col width="11.6640625" bestFit="1" customWidth="1" style="416" min="10499" max="10499"/>
    <col width="5.5" bestFit="1" customWidth="1" style="416" min="10500" max="10500"/>
    <col width="9.1640625" bestFit="1" customWidth="1" style="416" min="10501" max="10501"/>
    <col width="12" bestFit="1" customWidth="1" style="416" min="10502" max="10502"/>
    <col width="8" customWidth="1" style="416" min="10503" max="10505"/>
    <col width="7.5" customWidth="1" style="416" min="10506" max="10506"/>
    <col width="9.1640625" customWidth="1" style="416" min="10507" max="10751"/>
    <col width="9.1640625" bestFit="1" customWidth="1" style="416" min="10752" max="10752"/>
    <col width="43.33203125" bestFit="1" customWidth="1" style="416" min="10753" max="10753"/>
    <col width="8" customWidth="1" style="416" min="10754" max="10754"/>
    <col width="11.6640625" bestFit="1" customWidth="1" style="416" min="10755" max="10755"/>
    <col width="5.5" bestFit="1" customWidth="1" style="416" min="10756" max="10756"/>
    <col width="9.1640625" bestFit="1" customWidth="1" style="416" min="10757" max="10757"/>
    <col width="12" bestFit="1" customWidth="1" style="416" min="10758" max="10758"/>
    <col width="8" customWidth="1" style="416" min="10759" max="10761"/>
    <col width="7.5" customWidth="1" style="416" min="10762" max="10762"/>
    <col width="9.1640625" customWidth="1" style="416" min="10763" max="11007"/>
    <col width="9.1640625" bestFit="1" customWidth="1" style="416" min="11008" max="11008"/>
    <col width="43.33203125" bestFit="1" customWidth="1" style="416" min="11009" max="11009"/>
    <col width="8" customWidth="1" style="416" min="11010" max="11010"/>
    <col width="11.6640625" bestFit="1" customWidth="1" style="416" min="11011" max="11011"/>
    <col width="5.5" bestFit="1" customWidth="1" style="416" min="11012" max="11012"/>
    <col width="9.1640625" bestFit="1" customWidth="1" style="416" min="11013" max="11013"/>
    <col width="12" bestFit="1" customWidth="1" style="416" min="11014" max="11014"/>
    <col width="8" customWidth="1" style="416" min="11015" max="11017"/>
    <col width="7.5" customWidth="1" style="416" min="11018" max="11018"/>
    <col width="9.1640625" customWidth="1" style="416" min="11019" max="11263"/>
    <col width="9.1640625" bestFit="1" customWidth="1" style="416" min="11264" max="11264"/>
    <col width="43.33203125" bestFit="1" customWidth="1" style="416" min="11265" max="11265"/>
    <col width="8" customWidth="1" style="416" min="11266" max="11266"/>
    <col width="11.6640625" bestFit="1" customWidth="1" style="416" min="11267" max="11267"/>
    <col width="5.5" bestFit="1" customWidth="1" style="416" min="11268" max="11268"/>
    <col width="9.1640625" bestFit="1" customWidth="1" style="416" min="11269" max="11269"/>
    <col width="12" bestFit="1" customWidth="1" style="416" min="11270" max="11270"/>
    <col width="8" customWidth="1" style="416" min="11271" max="11273"/>
    <col width="7.5" customWidth="1" style="416" min="11274" max="11274"/>
    <col width="9.1640625" customWidth="1" style="416" min="11275" max="11519"/>
    <col width="9.1640625" bestFit="1" customWidth="1" style="416" min="11520" max="11520"/>
    <col width="43.33203125" bestFit="1" customWidth="1" style="416" min="11521" max="11521"/>
    <col width="8" customWidth="1" style="416" min="11522" max="11522"/>
    <col width="11.6640625" bestFit="1" customWidth="1" style="416" min="11523" max="11523"/>
    <col width="5.5" bestFit="1" customWidth="1" style="416" min="11524" max="11524"/>
    <col width="9.1640625" bestFit="1" customWidth="1" style="416" min="11525" max="11525"/>
    <col width="12" bestFit="1" customWidth="1" style="416" min="11526" max="11526"/>
    <col width="8" customWidth="1" style="416" min="11527" max="11529"/>
    <col width="7.5" customWidth="1" style="416" min="11530" max="11530"/>
    <col width="9.1640625" customWidth="1" style="416" min="11531" max="11775"/>
    <col width="9.1640625" bestFit="1" customWidth="1" style="416" min="11776" max="11776"/>
    <col width="43.33203125" bestFit="1" customWidth="1" style="416" min="11777" max="11777"/>
    <col width="8" customWidth="1" style="416" min="11778" max="11778"/>
    <col width="11.6640625" bestFit="1" customWidth="1" style="416" min="11779" max="11779"/>
    <col width="5.5" bestFit="1" customWidth="1" style="416" min="11780" max="11780"/>
    <col width="9.1640625" bestFit="1" customWidth="1" style="416" min="11781" max="11781"/>
    <col width="12" bestFit="1" customWidth="1" style="416" min="11782" max="11782"/>
    <col width="8" customWidth="1" style="416" min="11783" max="11785"/>
    <col width="7.5" customWidth="1" style="416" min="11786" max="11786"/>
    <col width="9.1640625" customWidth="1" style="416" min="11787" max="12031"/>
    <col width="9.1640625" bestFit="1" customWidth="1" style="416" min="12032" max="12032"/>
    <col width="43.33203125" bestFit="1" customWidth="1" style="416" min="12033" max="12033"/>
    <col width="8" customWidth="1" style="416" min="12034" max="12034"/>
    <col width="11.6640625" bestFit="1" customWidth="1" style="416" min="12035" max="12035"/>
    <col width="5.5" bestFit="1" customWidth="1" style="416" min="12036" max="12036"/>
    <col width="9.1640625" bestFit="1" customWidth="1" style="416" min="12037" max="12037"/>
    <col width="12" bestFit="1" customWidth="1" style="416" min="12038" max="12038"/>
    <col width="8" customWidth="1" style="416" min="12039" max="12041"/>
    <col width="7.5" customWidth="1" style="416" min="12042" max="12042"/>
    <col width="9.1640625" customWidth="1" style="416" min="12043" max="12287"/>
    <col width="9.1640625" bestFit="1" customWidth="1" style="416" min="12288" max="12288"/>
    <col width="43.33203125" bestFit="1" customWidth="1" style="416" min="12289" max="12289"/>
    <col width="8" customWidth="1" style="416" min="12290" max="12290"/>
    <col width="11.6640625" bestFit="1" customWidth="1" style="416" min="12291" max="12291"/>
    <col width="5.5" bestFit="1" customWidth="1" style="416" min="12292" max="12292"/>
    <col width="9.1640625" bestFit="1" customWidth="1" style="416" min="12293" max="12293"/>
    <col width="12" bestFit="1" customWidth="1" style="416" min="12294" max="12294"/>
    <col width="8" customWidth="1" style="416" min="12295" max="12297"/>
    <col width="7.5" customWidth="1" style="416" min="12298" max="12298"/>
    <col width="9.1640625" customWidth="1" style="416" min="12299" max="12543"/>
    <col width="9.1640625" bestFit="1" customWidth="1" style="416" min="12544" max="12544"/>
    <col width="43.33203125" bestFit="1" customWidth="1" style="416" min="12545" max="12545"/>
    <col width="8" customWidth="1" style="416" min="12546" max="12546"/>
    <col width="11.6640625" bestFit="1" customWidth="1" style="416" min="12547" max="12547"/>
    <col width="5.5" bestFit="1" customWidth="1" style="416" min="12548" max="12548"/>
    <col width="9.1640625" bestFit="1" customWidth="1" style="416" min="12549" max="12549"/>
    <col width="12" bestFit="1" customWidth="1" style="416" min="12550" max="12550"/>
    <col width="8" customWidth="1" style="416" min="12551" max="12553"/>
    <col width="7.5" customWidth="1" style="416" min="12554" max="12554"/>
    <col width="9.1640625" customWidth="1" style="416" min="12555" max="12799"/>
    <col width="9.1640625" bestFit="1" customWidth="1" style="416" min="12800" max="12800"/>
    <col width="43.33203125" bestFit="1" customWidth="1" style="416" min="12801" max="12801"/>
    <col width="8" customWidth="1" style="416" min="12802" max="12802"/>
    <col width="11.6640625" bestFit="1" customWidth="1" style="416" min="12803" max="12803"/>
    <col width="5.5" bestFit="1" customWidth="1" style="416" min="12804" max="12804"/>
    <col width="9.1640625" bestFit="1" customWidth="1" style="416" min="12805" max="12805"/>
    <col width="12" bestFit="1" customWidth="1" style="416" min="12806" max="12806"/>
    <col width="8" customWidth="1" style="416" min="12807" max="12809"/>
    <col width="7.5" customWidth="1" style="416" min="12810" max="12810"/>
    <col width="9.1640625" customWidth="1" style="416" min="12811" max="13055"/>
    <col width="9.1640625" bestFit="1" customWidth="1" style="416" min="13056" max="13056"/>
    <col width="43.33203125" bestFit="1" customWidth="1" style="416" min="13057" max="13057"/>
    <col width="8" customWidth="1" style="416" min="13058" max="13058"/>
    <col width="11.6640625" bestFit="1" customWidth="1" style="416" min="13059" max="13059"/>
    <col width="5.5" bestFit="1" customWidth="1" style="416" min="13060" max="13060"/>
    <col width="9.1640625" bestFit="1" customWidth="1" style="416" min="13061" max="13061"/>
    <col width="12" bestFit="1" customWidth="1" style="416" min="13062" max="13062"/>
    <col width="8" customWidth="1" style="416" min="13063" max="13065"/>
    <col width="7.5" customWidth="1" style="416" min="13066" max="13066"/>
    <col width="9.1640625" customWidth="1" style="416" min="13067" max="13311"/>
    <col width="9.1640625" bestFit="1" customWidth="1" style="416" min="13312" max="13312"/>
    <col width="43.33203125" bestFit="1" customWidth="1" style="416" min="13313" max="13313"/>
    <col width="8" customWidth="1" style="416" min="13314" max="13314"/>
    <col width="11.6640625" bestFit="1" customWidth="1" style="416" min="13315" max="13315"/>
    <col width="5.5" bestFit="1" customWidth="1" style="416" min="13316" max="13316"/>
    <col width="9.1640625" bestFit="1" customWidth="1" style="416" min="13317" max="13317"/>
    <col width="12" bestFit="1" customWidth="1" style="416" min="13318" max="13318"/>
    <col width="8" customWidth="1" style="416" min="13319" max="13321"/>
    <col width="7.5" customWidth="1" style="416" min="13322" max="13322"/>
    <col width="9.1640625" customWidth="1" style="416" min="13323" max="13567"/>
    <col width="9.1640625" bestFit="1" customWidth="1" style="416" min="13568" max="13568"/>
    <col width="43.33203125" bestFit="1" customWidth="1" style="416" min="13569" max="13569"/>
    <col width="8" customWidth="1" style="416" min="13570" max="13570"/>
    <col width="11.6640625" bestFit="1" customWidth="1" style="416" min="13571" max="13571"/>
    <col width="5.5" bestFit="1" customWidth="1" style="416" min="13572" max="13572"/>
    <col width="9.1640625" bestFit="1" customWidth="1" style="416" min="13573" max="13573"/>
    <col width="12" bestFit="1" customWidth="1" style="416" min="13574" max="13574"/>
    <col width="8" customWidth="1" style="416" min="13575" max="13577"/>
    <col width="7.5" customWidth="1" style="416" min="13578" max="13578"/>
    <col width="9.1640625" customWidth="1" style="416" min="13579" max="13823"/>
    <col width="9.1640625" bestFit="1" customWidth="1" style="416" min="13824" max="13824"/>
    <col width="43.33203125" bestFit="1" customWidth="1" style="416" min="13825" max="13825"/>
    <col width="8" customWidth="1" style="416" min="13826" max="13826"/>
    <col width="11.6640625" bestFit="1" customWidth="1" style="416" min="13827" max="13827"/>
    <col width="5.5" bestFit="1" customWidth="1" style="416" min="13828" max="13828"/>
    <col width="9.1640625" bestFit="1" customWidth="1" style="416" min="13829" max="13829"/>
    <col width="12" bestFit="1" customWidth="1" style="416" min="13830" max="13830"/>
    <col width="8" customWidth="1" style="416" min="13831" max="13833"/>
    <col width="7.5" customWidth="1" style="416" min="13834" max="13834"/>
    <col width="9.1640625" customWidth="1" style="416" min="13835" max="14079"/>
    <col width="9.1640625" bestFit="1" customWidth="1" style="416" min="14080" max="14080"/>
    <col width="43.33203125" bestFit="1" customWidth="1" style="416" min="14081" max="14081"/>
    <col width="8" customWidth="1" style="416" min="14082" max="14082"/>
    <col width="11.6640625" bestFit="1" customWidth="1" style="416" min="14083" max="14083"/>
    <col width="5.5" bestFit="1" customWidth="1" style="416" min="14084" max="14084"/>
    <col width="9.1640625" bestFit="1" customWidth="1" style="416" min="14085" max="14085"/>
    <col width="12" bestFit="1" customWidth="1" style="416" min="14086" max="14086"/>
    <col width="8" customWidth="1" style="416" min="14087" max="14089"/>
    <col width="7.5" customWidth="1" style="416" min="14090" max="14090"/>
    <col width="9.1640625" customWidth="1" style="416" min="14091" max="14335"/>
    <col width="9.1640625" bestFit="1" customWidth="1" style="416" min="14336" max="14336"/>
    <col width="43.33203125" bestFit="1" customWidth="1" style="416" min="14337" max="14337"/>
    <col width="8" customWidth="1" style="416" min="14338" max="14338"/>
    <col width="11.6640625" bestFit="1" customWidth="1" style="416" min="14339" max="14339"/>
    <col width="5.5" bestFit="1" customWidth="1" style="416" min="14340" max="14340"/>
    <col width="9.1640625" bestFit="1" customWidth="1" style="416" min="14341" max="14341"/>
    <col width="12" bestFit="1" customWidth="1" style="416" min="14342" max="14342"/>
    <col width="8" customWidth="1" style="416" min="14343" max="14345"/>
    <col width="7.5" customWidth="1" style="416" min="14346" max="14346"/>
    <col width="9.1640625" customWidth="1" style="416" min="14347" max="14591"/>
    <col width="9.1640625" bestFit="1" customWidth="1" style="416" min="14592" max="14592"/>
    <col width="43.33203125" bestFit="1" customWidth="1" style="416" min="14593" max="14593"/>
    <col width="8" customWidth="1" style="416" min="14594" max="14594"/>
    <col width="11.6640625" bestFit="1" customWidth="1" style="416" min="14595" max="14595"/>
    <col width="5.5" bestFit="1" customWidth="1" style="416" min="14596" max="14596"/>
    <col width="9.1640625" bestFit="1" customWidth="1" style="416" min="14597" max="14597"/>
    <col width="12" bestFit="1" customWidth="1" style="416" min="14598" max="14598"/>
    <col width="8" customWidth="1" style="416" min="14599" max="14601"/>
    <col width="7.5" customWidth="1" style="416" min="14602" max="14602"/>
    <col width="9.1640625" customWidth="1" style="416" min="14603" max="14847"/>
    <col width="9.1640625" bestFit="1" customWidth="1" style="416" min="14848" max="14848"/>
    <col width="43.33203125" bestFit="1" customWidth="1" style="416" min="14849" max="14849"/>
    <col width="8" customWidth="1" style="416" min="14850" max="14850"/>
    <col width="11.6640625" bestFit="1" customWidth="1" style="416" min="14851" max="14851"/>
    <col width="5.5" bestFit="1" customWidth="1" style="416" min="14852" max="14852"/>
    <col width="9.1640625" bestFit="1" customWidth="1" style="416" min="14853" max="14853"/>
    <col width="12" bestFit="1" customWidth="1" style="416" min="14854" max="14854"/>
    <col width="8" customWidth="1" style="416" min="14855" max="14857"/>
    <col width="7.5" customWidth="1" style="416" min="14858" max="14858"/>
    <col width="9.1640625" customWidth="1" style="416" min="14859" max="15103"/>
    <col width="9.1640625" bestFit="1" customWidth="1" style="416" min="15104" max="15104"/>
    <col width="43.33203125" bestFit="1" customWidth="1" style="416" min="15105" max="15105"/>
    <col width="8" customWidth="1" style="416" min="15106" max="15106"/>
    <col width="11.6640625" bestFit="1" customWidth="1" style="416" min="15107" max="15107"/>
    <col width="5.5" bestFit="1" customWidth="1" style="416" min="15108" max="15108"/>
    <col width="9.1640625" bestFit="1" customWidth="1" style="416" min="15109" max="15109"/>
    <col width="12" bestFit="1" customWidth="1" style="416" min="15110" max="15110"/>
    <col width="8" customWidth="1" style="416" min="15111" max="15113"/>
    <col width="7.5" customWidth="1" style="416" min="15114" max="15114"/>
    <col width="9.1640625" customWidth="1" style="416" min="15115" max="15359"/>
    <col width="9.1640625" bestFit="1" customWidth="1" style="416" min="15360" max="15360"/>
    <col width="43.33203125" bestFit="1" customWidth="1" style="416" min="15361" max="15361"/>
    <col width="8" customWidth="1" style="416" min="15362" max="15362"/>
    <col width="11.6640625" bestFit="1" customWidth="1" style="416" min="15363" max="15363"/>
    <col width="5.5" bestFit="1" customWidth="1" style="416" min="15364" max="15364"/>
    <col width="9.1640625" bestFit="1" customWidth="1" style="416" min="15365" max="15365"/>
    <col width="12" bestFit="1" customWidth="1" style="416" min="15366" max="15366"/>
    <col width="8" customWidth="1" style="416" min="15367" max="15369"/>
    <col width="7.5" customWidth="1" style="416" min="15370" max="15370"/>
    <col width="9.1640625" customWidth="1" style="416" min="15371" max="15615"/>
    <col width="9.1640625" bestFit="1" customWidth="1" style="416" min="15616" max="15616"/>
    <col width="43.33203125" bestFit="1" customWidth="1" style="416" min="15617" max="15617"/>
    <col width="8" customWidth="1" style="416" min="15618" max="15618"/>
    <col width="11.6640625" bestFit="1" customWidth="1" style="416" min="15619" max="15619"/>
    <col width="5.5" bestFit="1" customWidth="1" style="416" min="15620" max="15620"/>
    <col width="9.1640625" bestFit="1" customWidth="1" style="416" min="15621" max="15621"/>
    <col width="12" bestFit="1" customWidth="1" style="416" min="15622" max="15622"/>
    <col width="8" customWidth="1" style="416" min="15623" max="15625"/>
    <col width="7.5" customWidth="1" style="416" min="15626" max="15626"/>
    <col width="9.1640625" customWidth="1" style="416" min="15627" max="15871"/>
    <col width="9.1640625" bestFit="1" customWidth="1" style="416" min="15872" max="15872"/>
    <col width="43.33203125" bestFit="1" customWidth="1" style="416" min="15873" max="15873"/>
    <col width="8" customWidth="1" style="416" min="15874" max="15874"/>
    <col width="11.6640625" bestFit="1" customWidth="1" style="416" min="15875" max="15875"/>
    <col width="5.5" bestFit="1" customWidth="1" style="416" min="15876" max="15876"/>
    <col width="9.1640625" bestFit="1" customWidth="1" style="416" min="15877" max="15877"/>
    <col width="12" bestFit="1" customWidth="1" style="416" min="15878" max="15878"/>
    <col width="8" customWidth="1" style="416" min="15879" max="15881"/>
    <col width="7.5" customWidth="1" style="416" min="15882" max="15882"/>
    <col width="9.1640625" customWidth="1" style="416" min="15883" max="16127"/>
    <col width="9.1640625" bestFit="1" customWidth="1" style="416" min="16128" max="16128"/>
    <col width="43.33203125" bestFit="1" customWidth="1" style="416" min="16129" max="16129"/>
    <col width="8" customWidth="1" style="416" min="16130" max="16130"/>
    <col width="11.6640625" bestFit="1" customWidth="1" style="416" min="16131" max="16131"/>
    <col width="5.5" bestFit="1" customWidth="1" style="416" min="16132" max="16132"/>
    <col width="9.1640625" bestFit="1" customWidth="1" style="416" min="16133" max="16133"/>
    <col width="12" bestFit="1" customWidth="1" style="416" min="16134" max="16134"/>
    <col width="8" customWidth="1" style="416" min="16135" max="16137"/>
    <col width="7.5" customWidth="1" style="416" min="16138" max="16138"/>
    <col width="9.1640625" customWidth="1" style="416" min="16139" max="16384"/>
  </cols>
  <sheetData>
    <row r="1" ht="41.75" customHeight="1" s="516">
      <c r="B1" s="1">
        <f>'Master List'!$F$2</f>
        <v/>
      </c>
    </row>
    <row r="2">
      <c r="AH2" s="562" t="inlineStr">
        <is>
          <t>Image for reference</t>
        </is>
      </c>
      <c r="AI2" s="546" t="n"/>
      <c r="AJ2" s="534" t="n"/>
    </row>
    <row r="3">
      <c r="A3" s="34" t="inlineStr">
        <is>
          <t>Equipment</t>
        </is>
      </c>
      <c r="B3" s="560" t="inlineStr">
        <is>
          <t>Pallet Lift</t>
        </is>
      </c>
      <c r="C3" s="534" t="n"/>
      <c r="D3" s="417" t="n"/>
    </row>
    <row r="4">
      <c r="A4" s="34" t="inlineStr">
        <is>
          <t>Utilization</t>
        </is>
      </c>
      <c r="B4" s="561">
        <f>'Master List'!G1</f>
        <v/>
      </c>
      <c r="C4" s="534" t="n"/>
    </row>
    <row r="6" ht="16" customHeight="1" s="516">
      <c r="A6" s="557" t="inlineStr">
        <is>
          <t>Input</t>
        </is>
      </c>
      <c r="B6" s="546" t="n"/>
      <c r="C6" s="534" t="n"/>
    </row>
    <row r="7" ht="16" customHeight="1" s="516">
      <c r="A7" s="418" t="inlineStr">
        <is>
          <t>Number of levels</t>
        </is>
      </c>
      <c r="B7" s="419" t="n">
        <v>7</v>
      </c>
      <c r="C7" s="418" t="inlineStr">
        <is>
          <t>Nos.</t>
        </is>
      </c>
    </row>
    <row r="8" ht="16" customHeight="1" s="516">
      <c r="A8" s="418" t="inlineStr">
        <is>
          <t>Lift travel height</t>
        </is>
      </c>
      <c r="B8" s="420" t="n">
        <v>18</v>
      </c>
      <c r="C8" s="418" t="inlineStr">
        <is>
          <t>Meters</t>
        </is>
      </c>
    </row>
    <row r="9" ht="16" customHeight="1" s="516">
      <c r="A9" s="418" t="inlineStr">
        <is>
          <t>Difference of 1st level from Lift Lowest position</t>
        </is>
      </c>
      <c r="B9" s="421" t="n">
        <v>0.1</v>
      </c>
      <c r="C9" s="418" t="inlineStr">
        <is>
          <t>Meters</t>
        </is>
      </c>
    </row>
    <row r="10" ht="16" customHeight="1" s="516">
      <c r="A10" s="418" t="inlineStr">
        <is>
          <t>Level to Level gap (Average)</t>
        </is>
      </c>
      <c r="B10" s="422">
        <f>(B8-B9)/(B7-1)</f>
        <v/>
      </c>
      <c r="C10" s="418" t="inlineStr">
        <is>
          <t>Meters</t>
        </is>
      </c>
    </row>
    <row r="11" ht="16" customHeight="1" s="516">
      <c r="A11" s="418" t="inlineStr">
        <is>
          <t>Speed of Pallet Conveyor (vx)</t>
        </is>
      </c>
      <c r="B11" s="421" t="n">
        <v>0.2</v>
      </c>
      <c r="C11" s="418" t="inlineStr">
        <is>
          <t>m/s</t>
        </is>
      </c>
    </row>
    <row r="12" ht="16" customHeight="1" s="516">
      <c r="A12" s="418" t="inlineStr">
        <is>
          <t>Speed of Motor (vy)</t>
        </is>
      </c>
      <c r="B12" s="421" t="n">
        <v>0.3</v>
      </c>
      <c r="C12" s="418" t="inlineStr">
        <is>
          <t>m/s</t>
        </is>
      </c>
    </row>
    <row r="13" ht="16" customHeight="1" s="516">
      <c r="A13" s="418" t="inlineStr">
        <is>
          <t>Equipment Utilization</t>
        </is>
      </c>
      <c r="B13" s="423">
        <f>'Master List'!G1</f>
        <v/>
      </c>
      <c r="C13" s="418" t="inlineStr">
        <is>
          <t>%</t>
        </is>
      </c>
    </row>
    <row r="14" ht="16" customHeight="1" s="516">
      <c r="A14" s="418" t="inlineStr">
        <is>
          <t>Travelling distance- Pallet conveyor to Lift conveyor</t>
        </is>
      </c>
      <c r="B14" s="421" t="n">
        <v>1.6</v>
      </c>
      <c r="C14" s="418" t="inlineStr">
        <is>
          <t>Meters</t>
        </is>
      </c>
    </row>
    <row r="15" ht="16" customHeight="1" s="516">
      <c r="A15" s="418" t="inlineStr">
        <is>
          <t>Throughput- Required (In + Out)</t>
        </is>
      </c>
      <c r="B15" s="419" t="n">
        <v>100</v>
      </c>
      <c r="C15" s="418" t="inlineStr">
        <is>
          <t>Pallets per hr</t>
        </is>
      </c>
    </row>
    <row r="16" ht="16" customHeight="1" s="516">
      <c r="A16" s="418" t="inlineStr">
        <is>
          <t>Combined cycle %</t>
        </is>
      </c>
      <c r="B16" s="424" t="n">
        <v>0.8</v>
      </c>
      <c r="C16" s="418" t="inlineStr">
        <is>
          <t>%</t>
        </is>
      </c>
    </row>
    <row r="17" ht="16" customHeight="1" s="516">
      <c r="A17" s="418" t="inlineStr">
        <is>
          <t>Single cycle %</t>
        </is>
      </c>
      <c r="B17" s="423">
        <f>1-B16</f>
        <v/>
      </c>
      <c r="C17" s="418" t="inlineStr">
        <is>
          <t>%</t>
        </is>
      </c>
    </row>
    <row r="18">
      <c r="B18" s="425" t="n"/>
    </row>
    <row r="19" ht="16" customHeight="1" s="516">
      <c r="A19" s="557" t="inlineStr">
        <is>
          <t>Output</t>
        </is>
      </c>
      <c r="B19" s="546" t="n"/>
      <c r="C19" s="534" t="n"/>
    </row>
    <row r="20" ht="20" customHeight="1" s="516">
      <c r="A20" s="418" t="inlineStr">
        <is>
          <t>Throughput- with Utilization (Single Lift)</t>
        </is>
      </c>
      <c r="B20" s="426">
        <f>E61</f>
        <v/>
      </c>
      <c r="C20" s="418" t="inlineStr">
        <is>
          <t>Cycles per Hr</t>
        </is>
      </c>
    </row>
    <row r="21" ht="20" customHeight="1" s="516">
      <c r="A21" s="418" t="inlineStr">
        <is>
          <t>Throughput- with Utilization (Single Lift)</t>
        </is>
      </c>
      <c r="B21" s="427">
        <f>ROUNDDOWN(((B20*B16)*2)+((B20*B17)*1),0)</f>
        <v/>
      </c>
      <c r="C21" s="418" t="inlineStr">
        <is>
          <t>Pallets per hr</t>
        </is>
      </c>
    </row>
    <row r="22" ht="20" customHeight="1" s="516">
      <c r="A22" s="418" t="inlineStr">
        <is>
          <t>Number of Lift required</t>
        </is>
      </c>
      <c r="B22" s="427">
        <f>ROUNDUP((B15/B21),0)</f>
        <v/>
      </c>
      <c r="C22" s="418" t="inlineStr">
        <is>
          <t>Nos.</t>
        </is>
      </c>
    </row>
    <row r="23" ht="16" customHeight="1" s="516">
      <c r="A23" s="418" t="inlineStr">
        <is>
          <t>Motor speed (m/s)</t>
        </is>
      </c>
      <c r="B23" s="428">
        <f>B43</f>
        <v/>
      </c>
      <c r="C23" s="418" t="inlineStr">
        <is>
          <t>m/s</t>
        </is>
      </c>
      <c r="O23" s="429" t="n"/>
    </row>
    <row r="24" ht="16" customHeight="1" s="516">
      <c r="A24" s="418" t="inlineStr">
        <is>
          <t>Motor acceleration (m/s2)</t>
        </is>
      </c>
      <c r="B24" s="428">
        <f>B44</f>
        <v/>
      </c>
      <c r="C24" s="418" t="inlineStr">
        <is>
          <t>m/s2</t>
        </is>
      </c>
      <c r="O24" s="429" t="n"/>
    </row>
    <row r="25">
      <c r="O25" s="429" t="n"/>
    </row>
    <row r="26">
      <c r="A26" s="559" t="inlineStr">
        <is>
          <t>Time to load / unload the pallet on Roller conveyor</t>
        </is>
      </c>
      <c r="B26" s="546" t="n"/>
      <c r="C26" s="546" t="n"/>
      <c r="D26" s="546" t="n"/>
      <c r="E26" s="534" t="n"/>
    </row>
    <row r="28" ht="15" customHeight="1" s="516">
      <c r="A28" s="430" t="inlineStr">
        <is>
          <t>vx [m/s]</t>
        </is>
      </c>
      <c r="B28" s="431">
        <f>B11</f>
        <v/>
      </c>
      <c r="M28" s="432" t="n"/>
    </row>
    <row r="29" ht="15" customHeight="1" s="516">
      <c r="A29" s="430" t="inlineStr">
        <is>
          <t>ax [m/s2]</t>
        </is>
      </c>
      <c r="B29" s="431">
        <f>B28</f>
        <v/>
      </c>
    </row>
    <row r="30" ht="15" customHeight="1" s="516">
      <c r="A30" s="430" t="inlineStr">
        <is>
          <t>dist slow speed x [m]</t>
        </is>
      </c>
      <c r="B30" s="433" t="n">
        <v>0.05</v>
      </c>
      <c r="I30" s="434" t="n"/>
    </row>
    <row r="31" ht="15" customHeight="1" s="516">
      <c r="A31" s="430" t="inlineStr">
        <is>
          <t>slow speed x [m/s]</t>
        </is>
      </c>
      <c r="B31" s="431" t="n">
        <v>0.05</v>
      </c>
    </row>
    <row r="32" ht="15" customHeight="1" s="516"/>
    <row r="33" ht="15" customHeight="1" s="516">
      <c r="A33" s="435" t="inlineStr">
        <is>
          <t>Travelling distance[m]</t>
        </is>
      </c>
      <c r="B33" s="436">
        <f>B14</f>
        <v/>
      </c>
    </row>
    <row r="34" ht="15" customHeight="1" s="516">
      <c r="A34" s="437" t="inlineStr">
        <is>
          <t>Accel. time [s]</t>
        </is>
      </c>
      <c r="B34" s="438">
        <f>IF((B33-$B$30)&lt;($B$28^2/$B$29),(SQRT((B33-$B$30)/$B$29)),($B$28/$B$29))</f>
        <v/>
      </c>
    </row>
    <row r="35" ht="15" customHeight="1" s="516">
      <c r="A35" s="437" t="inlineStr">
        <is>
          <t>Const. speed time [s]</t>
        </is>
      </c>
      <c r="B35" s="438">
        <f>IF((B33-$B$30)&lt;($B$28^2/$B$29),(0),((B33-$B$30-$B$28^2/$B$29)/$B$28))</f>
        <v/>
      </c>
      <c r="E35" s="439" t="n"/>
    </row>
    <row r="36" ht="15" customHeight="1" s="516">
      <c r="A36" s="437" t="inlineStr">
        <is>
          <t>deaccel. time  [s]</t>
        </is>
      </c>
      <c r="B36" s="438">
        <f>+B34</f>
        <v/>
      </c>
      <c r="E36" s="439" t="n"/>
    </row>
    <row r="37" ht="15" customHeight="1" s="516">
      <c r="A37" s="437" t="inlineStr">
        <is>
          <t>slow speed time [s]</t>
        </is>
      </c>
      <c r="B37" s="438">
        <f>+$B$30/$B$31</f>
        <v/>
      </c>
      <c r="E37" s="439" t="n"/>
    </row>
    <row r="38" ht="15" customHeight="1" s="516">
      <c r="A38" s="440" t="inlineStr">
        <is>
          <t>positioning time [s]</t>
        </is>
      </c>
      <c r="B38" s="441" t="n">
        <v>1</v>
      </c>
      <c r="E38" s="439" t="n"/>
    </row>
    <row r="39" ht="15" customHeight="1" s="516">
      <c r="A39" s="440" t="inlineStr">
        <is>
          <t>TOTAL [s]</t>
        </is>
      </c>
      <c r="B39" s="442">
        <f>SUM(B34:B38)</f>
        <v/>
      </c>
      <c r="E39" s="439" t="n"/>
    </row>
    <row r="40" ht="15" customHeight="1" s="516">
      <c r="E40" s="439" t="n"/>
    </row>
    <row r="41" ht="15" customHeight="1" s="516">
      <c r="A41" s="559" t="inlineStr">
        <is>
          <t>Time for lifting / lowering and positioning</t>
        </is>
      </c>
      <c r="B41" s="534" t="n"/>
      <c r="F41" s="443" t="n"/>
      <c r="G41" s="443" t="n"/>
      <c r="H41" s="443" t="n"/>
      <c r="I41" s="443" t="n"/>
    </row>
    <row r="42" ht="15" customHeight="1" s="516"/>
    <row r="43" ht="15" customHeight="1" s="516">
      <c r="A43" s="430" t="inlineStr">
        <is>
          <t>vy [m/s]</t>
        </is>
      </c>
      <c r="B43" s="431">
        <f>B12</f>
        <v/>
      </c>
    </row>
    <row r="44" ht="15" customHeight="1" s="516">
      <c r="A44" s="430" t="inlineStr">
        <is>
          <t>ay [m/s2]</t>
        </is>
      </c>
      <c r="B44" s="431">
        <f>B43/2</f>
        <v/>
      </c>
    </row>
    <row r="45" ht="15" customHeight="1" s="516">
      <c r="A45" s="430" t="inlineStr">
        <is>
          <t>dist slow speed y [m]</t>
        </is>
      </c>
      <c r="B45" s="431" t="n">
        <v>0.05</v>
      </c>
    </row>
    <row r="46" ht="15" customHeight="1" s="516">
      <c r="A46" s="430" t="inlineStr">
        <is>
          <t>slow speed y [m/s]</t>
        </is>
      </c>
      <c r="B46" s="431" t="n">
        <v>0.1</v>
      </c>
    </row>
    <row r="47" ht="15" customHeight="1" s="516"/>
    <row r="48" ht="15" customHeight="1" s="516">
      <c r="A48" s="418" t="inlineStr">
        <is>
          <t>Level  number</t>
        </is>
      </c>
      <c r="B48" s="444" t="n">
        <v>1</v>
      </c>
      <c r="C48" s="444">
        <f>B48+1</f>
        <v/>
      </c>
      <c r="D48" s="444">
        <f>C48+1</f>
        <v/>
      </c>
      <c r="E48" s="444">
        <f>D48+1</f>
        <v/>
      </c>
      <c r="F48" s="444">
        <f>E48+1</f>
        <v/>
      </c>
      <c r="G48" s="444">
        <f>F48+1</f>
        <v/>
      </c>
      <c r="H48" s="444">
        <f>G48+1</f>
        <v/>
      </c>
      <c r="I48" s="444">
        <f>H48+1</f>
        <v/>
      </c>
      <c r="J48" s="444">
        <f>I48+1</f>
        <v/>
      </c>
      <c r="K48" s="444">
        <f>J48+1</f>
        <v/>
      </c>
      <c r="L48" s="444">
        <f>K48+1</f>
        <v/>
      </c>
      <c r="M48" s="444">
        <f>L48+1</f>
        <v/>
      </c>
      <c r="N48" s="444">
        <f>M48+1</f>
        <v/>
      </c>
      <c r="O48" s="444">
        <f>N48+1</f>
        <v/>
      </c>
      <c r="P48" s="444">
        <f>O48+1</f>
        <v/>
      </c>
      <c r="Q48" s="444">
        <f>P48+1</f>
        <v/>
      </c>
      <c r="R48" s="444">
        <f>Q48+1</f>
        <v/>
      </c>
      <c r="S48" s="444">
        <f>R48+1</f>
        <v/>
      </c>
      <c r="T48" s="444">
        <f>S48+1</f>
        <v/>
      </c>
      <c r="U48" s="444">
        <f>T48+1</f>
        <v/>
      </c>
      <c r="V48" s="444">
        <f>U48+1</f>
        <v/>
      </c>
      <c r="W48" s="444">
        <f>V48+1</f>
        <v/>
      </c>
      <c r="X48" s="444">
        <f>W48+1</f>
        <v/>
      </c>
      <c r="Y48" s="444">
        <f>X48+1</f>
        <v/>
      </c>
      <c r="Z48" s="444">
        <f>Y48+1</f>
        <v/>
      </c>
      <c r="AA48" s="444">
        <f>Z48+1</f>
        <v/>
      </c>
      <c r="AB48" s="444">
        <f>AA48+1</f>
        <v/>
      </c>
      <c r="AC48" s="444">
        <f>AB48+1</f>
        <v/>
      </c>
      <c r="AD48" s="444">
        <f>AC48+1</f>
        <v/>
      </c>
      <c r="AE48" s="444">
        <f>AD48+1</f>
        <v/>
      </c>
    </row>
    <row r="49" ht="15" customHeight="1" s="516">
      <c r="A49" s="418" t="inlineStr">
        <is>
          <t>Hoisting distance [m]</t>
        </is>
      </c>
      <c r="B49" s="445">
        <f>B9</f>
        <v/>
      </c>
      <c r="C49" s="445">
        <f>$B$10*(C48-1)+$B$9</f>
        <v/>
      </c>
      <c r="D49" s="445">
        <f>$B$10*(D48-1)+$B$9</f>
        <v/>
      </c>
      <c r="E49" s="445">
        <f>$B$10*(E48-1)+$B$9</f>
        <v/>
      </c>
      <c r="F49" s="445">
        <f>$B$10*(F48-1)+$B$9</f>
        <v/>
      </c>
      <c r="G49" s="445">
        <f>$B$10*(G48-1)+$B$9</f>
        <v/>
      </c>
      <c r="H49" s="445">
        <f>$B$10*(H48-1)+$B$9</f>
        <v/>
      </c>
      <c r="I49" s="445">
        <f>$B$10*(I48-1)+$B$9</f>
        <v/>
      </c>
      <c r="J49" s="445">
        <f>$B$10*(J48-1)+$B$9</f>
        <v/>
      </c>
      <c r="K49" s="445">
        <f>$B$10*(K48-1)+$B$9</f>
        <v/>
      </c>
      <c r="L49" s="445">
        <f>$B$10*(L48-1)+$B$9</f>
        <v/>
      </c>
      <c r="M49" s="445">
        <f>$B$10*(M48-1)+$B$9</f>
        <v/>
      </c>
      <c r="N49" s="445">
        <f>$B$10*(N48-1)+$B$9</f>
        <v/>
      </c>
      <c r="O49" s="445">
        <f>$B$10*(O48-1)+$B$9</f>
        <v/>
      </c>
      <c r="P49" s="445">
        <f>$B$10*(P48-1)+$B$9</f>
        <v/>
      </c>
      <c r="Q49" s="445">
        <f>$B$10*(Q48-1)+$B$9</f>
        <v/>
      </c>
      <c r="R49" s="445">
        <f>$B$10*(R48-1)+$B$9</f>
        <v/>
      </c>
      <c r="S49" s="445">
        <f>$B$10*(S48-1)+$B$9</f>
        <v/>
      </c>
      <c r="T49" s="445">
        <f>$B$10*(T48-1)+$B$9</f>
        <v/>
      </c>
      <c r="U49" s="445">
        <f>$B$10*(U48-1)+$B$9</f>
        <v/>
      </c>
      <c r="V49" s="445">
        <f>$B$10*(V48-1)+$B$9</f>
        <v/>
      </c>
      <c r="W49" s="445">
        <f>$B$10*(W48-1)+$B$9</f>
        <v/>
      </c>
      <c r="X49" s="445">
        <f>$B$10*(X48-1)+$B$9</f>
        <v/>
      </c>
      <c r="Y49" s="445">
        <f>$B$10*(Y48-1)+$B$9</f>
        <v/>
      </c>
      <c r="Z49" s="445">
        <f>$B$10*(Z48-1)+$B$9</f>
        <v/>
      </c>
      <c r="AA49" s="445">
        <f>$B$10*(AA48-1)+$B$9</f>
        <v/>
      </c>
      <c r="AB49" s="445">
        <f>$B$10*(AB48-1)+$B$9</f>
        <v/>
      </c>
      <c r="AC49" s="445">
        <f>$B$10*(AC48-1)+$B$9</f>
        <v/>
      </c>
      <c r="AD49" s="445">
        <f>$B$10*(AD48-1)+$B$9</f>
        <v/>
      </c>
      <c r="AE49" s="445">
        <f>$B$10*(AE48-1)+$B$9</f>
        <v/>
      </c>
    </row>
    <row r="50" ht="15" customHeight="1" s="516">
      <c r="A50" s="418" t="inlineStr">
        <is>
          <t>Accel. time [s]</t>
        </is>
      </c>
      <c r="B50" s="446">
        <f>IFERROR(IF((B49-$B$45)&lt;($B$43^2/$B$44),(SQRT((B49-$B$45)/$B$44)),($B$43/$B$44)),0)</f>
        <v/>
      </c>
      <c r="C50" s="446">
        <f>IF((C49-$B$45)&lt;($B$43^2/$B$44),(SQRT((C49-$B$45)/$B$44)),($B$43/$B$44))</f>
        <v/>
      </c>
      <c r="D50" s="446">
        <f>IF((D49-$B$45)&lt;($B$43^2/$B$44),(SQRT((D49-$B$45)/$B$44)),($B$43/$B$44))</f>
        <v/>
      </c>
      <c r="E50" s="446">
        <f>IF((E49-$B$45)&lt;($B$43^2/$B$44),(SQRT((E49-$B$45)/$B$44)),($B$43/$B$44))</f>
        <v/>
      </c>
      <c r="F50" s="446">
        <f>IF((F49-$B$45)&lt;($B$43^2/$B$44),(SQRT((F49-$B$45)/$B$44)),($B$43/$B$44))</f>
        <v/>
      </c>
      <c r="G50" s="446">
        <f>IF((G49-$B$45)&lt;($B$43^2/$B$44),(SQRT((G49-$B$45)/$B$44)),($B$43/$B$44))</f>
        <v/>
      </c>
      <c r="H50" s="446">
        <f>IF((H49-$B$45)&lt;($B$43^2/$B$44),(SQRT((H49-$B$45)/$B$44)),($B$43/$B$44))</f>
        <v/>
      </c>
      <c r="I50" s="446">
        <f>IF((I49-$B$45)&lt;($B$43^2/$B$44),(SQRT((I49-$B$45)/$B$44)),($B$43/$B$44))</f>
        <v/>
      </c>
      <c r="J50" s="446">
        <f>IF((J49-$B$45)&lt;($B$43^2/$B$44),(SQRT((J49-$B$45)/$B$44)),($B$43/$B$44))</f>
        <v/>
      </c>
      <c r="K50" s="446">
        <f>IF((K49-$B$45)&lt;($B$43^2/$B$44),(SQRT((K49-$B$45)/$B$44)),($B$43/$B$44))</f>
        <v/>
      </c>
      <c r="L50" s="446">
        <f>IF((L49-$B$45)&lt;($B$43^2/$B$44),(SQRT((L49-$B$45)/$B$44)),($B$43/$B$44))</f>
        <v/>
      </c>
      <c r="M50" s="446">
        <f>IF((M49-$B$45)&lt;($B$43^2/$B$44),(SQRT((M49-$B$45)/$B$44)),($B$43/$B$44))</f>
        <v/>
      </c>
      <c r="N50" s="446">
        <f>IF((N49-$B$45)&lt;($B$43^2/$B$44),(SQRT((N49-$B$45)/$B$44)),($B$43/$B$44))</f>
        <v/>
      </c>
      <c r="O50" s="446">
        <f>IF((O49-$B$45)&lt;($B$43^2/$B$44),(SQRT((O49-$B$45)/$B$44)),($B$43/$B$44))</f>
        <v/>
      </c>
      <c r="P50" s="446">
        <f>IF((P49-$B$45)&lt;($B$43^2/$B$44),(SQRT((P49-$B$45)/$B$44)),($B$43/$B$44))</f>
        <v/>
      </c>
      <c r="Q50" s="446">
        <f>IF((Q49-$B$45)&lt;($B$43^2/$B$44),(SQRT((Q49-$B$45)/$B$44)),($B$43/$B$44))</f>
        <v/>
      </c>
      <c r="R50" s="446">
        <f>IF((R49-$B$45)&lt;($B$43^2/$B$44),(SQRT((R49-$B$45)/$B$44)),($B$43/$B$44))</f>
        <v/>
      </c>
      <c r="S50" s="446">
        <f>IF((S49-$B$45)&lt;($B$43^2/$B$44),(SQRT((S49-$B$45)/$B$44)),($B$43/$B$44))</f>
        <v/>
      </c>
      <c r="T50" s="446">
        <f>IF((T49-$B$45)&lt;($B$43^2/$B$44),(SQRT((T49-$B$45)/$B$44)),($B$43/$B$44))</f>
        <v/>
      </c>
      <c r="U50" s="446">
        <f>IF((U49-$B$45)&lt;($B$43^2/$B$44),(SQRT((U49-$B$45)/$B$44)),($B$43/$B$44))</f>
        <v/>
      </c>
      <c r="V50" s="446">
        <f>IF((V49-$B$45)&lt;($B$43^2/$B$44),(SQRT((V49-$B$45)/$B$44)),($B$43/$B$44))</f>
        <v/>
      </c>
      <c r="W50" s="446">
        <f>IF((W49-$B$45)&lt;($B$43^2/$B$44),(SQRT((W49-$B$45)/$B$44)),($B$43/$B$44))</f>
        <v/>
      </c>
      <c r="X50" s="446">
        <f>IF((X49-$B$45)&lt;($B$43^2/$B$44),(SQRT((X49-$B$45)/$B$44)),($B$43/$B$44))</f>
        <v/>
      </c>
      <c r="Y50" s="446">
        <f>IF((Y49-$B$45)&lt;($B$43^2/$B$44),(SQRT((Y49-$B$45)/$B$44)),($B$43/$B$44))</f>
        <v/>
      </c>
      <c r="Z50" s="446">
        <f>IF((Z49-$B$45)&lt;($B$43^2/$B$44),(SQRT((Z49-$B$45)/$B$44)),($B$43/$B$44))</f>
        <v/>
      </c>
      <c r="AA50" s="446">
        <f>IF((AA49-$B$45)&lt;($B$43^2/$B$44),(SQRT((AA49-$B$45)/$B$44)),($B$43/$B$44))</f>
        <v/>
      </c>
      <c r="AB50" s="446">
        <f>IF((AB49-$B$45)&lt;($B$43^2/$B$44),(SQRT((AB49-$B$45)/$B$44)),($B$43/$B$44))</f>
        <v/>
      </c>
      <c r="AC50" s="446">
        <f>IF((AC49-$B$45)&lt;($B$43^2/$B$44),(SQRT((AC49-$B$45)/$B$44)),($B$43/$B$44))</f>
        <v/>
      </c>
      <c r="AD50" s="446">
        <f>IF((AD49-$B$45)&lt;($B$43^2/$B$44),(SQRT((AD49-$B$45)/$B$44)),($B$43/$B$44))</f>
        <v/>
      </c>
      <c r="AE50" s="446">
        <f>IF((AE49-$B$45)&lt;($B$43^2/$B$44),(SQRT((AE49-$B$45)/$B$44)),($B$43/$B$44))</f>
        <v/>
      </c>
    </row>
    <row r="51" ht="15" customHeight="1" s="516">
      <c r="A51" s="418" t="inlineStr">
        <is>
          <t>Const.speed time [s]</t>
        </is>
      </c>
      <c r="B51" s="446">
        <f>IF((B49-$B$45)&lt;($B$43^2/$B$44),(0),((B49-$B$45-$B$43^2/$B$44)/$B$43))</f>
        <v/>
      </c>
      <c r="C51" s="446">
        <f>IF((C49-$B$45)&lt;($B$43^2/$B$44),(0),((C49-$B$45-$B$43^2/$B$44)/$B$43))</f>
        <v/>
      </c>
      <c r="D51" s="446">
        <f>IF((D49-$B$45)&lt;($B$43^2/$B$44),(0),((D49-$B$45-$B$43^2/$B$44)/$B$43))</f>
        <v/>
      </c>
      <c r="E51" s="446">
        <f>IF((E49-$B$45)&lt;($B$43^2/$B$44),(0),((E49-$B$45-$B$43^2/$B$44)/$B$43))</f>
        <v/>
      </c>
      <c r="F51" s="446">
        <f>IF((F49-$B$45)&lt;($B$43^2/$B$44),(0),((F49-$B$45-$B$43^2/$B$44)/$B$43))</f>
        <v/>
      </c>
      <c r="G51" s="446">
        <f>IF((G49-$B$45)&lt;($B$43^2/$B$44),(0),((G49-$B$45-$B$43^2/$B$44)/$B$43))</f>
        <v/>
      </c>
      <c r="H51" s="446">
        <f>IF((H49-$B$45)&lt;($B$43^2/$B$44),(0),((H49-$B$45-$B$43^2/$B$44)/$B$43))</f>
        <v/>
      </c>
      <c r="I51" s="446">
        <f>IF((I49-$B$45)&lt;($B$43^2/$B$44),(0),((I49-$B$45-$B$43^2/$B$44)/$B$43))</f>
        <v/>
      </c>
      <c r="J51" s="446">
        <f>IF((J49-$B$45)&lt;($B$43^2/$B$44),(0),((J49-$B$45-$B$43^2/$B$44)/$B$43))</f>
        <v/>
      </c>
      <c r="K51" s="446">
        <f>IF((K49-$B$45)&lt;($B$43^2/$B$44),(0),((K49-$B$45-$B$43^2/$B$44)/$B$43))</f>
        <v/>
      </c>
      <c r="L51" s="446">
        <f>IF((L49-$B$45)&lt;($B$43^2/$B$44),(0),((L49-$B$45-$B$43^2/$B$44)/$B$43))</f>
        <v/>
      </c>
      <c r="M51" s="446">
        <f>IF((M49-$B$45)&lt;($B$43^2/$B$44),(0),((M49-$B$45-$B$43^2/$B$44)/$B$43))</f>
        <v/>
      </c>
      <c r="N51" s="446">
        <f>IF((N49-$B$45)&lt;($B$43^2/$B$44),(0),((N49-$B$45-$B$43^2/$B$44)/$B$43))</f>
        <v/>
      </c>
      <c r="O51" s="446">
        <f>IF((O49-$B$45)&lt;($B$43^2/$B$44),(0),((O49-$B$45-$B$43^2/$B$44)/$B$43))</f>
        <v/>
      </c>
      <c r="P51" s="446">
        <f>IF((P49-$B$45)&lt;($B$43^2/$B$44),(0),((P49-$B$45-$B$43^2/$B$44)/$B$43))</f>
        <v/>
      </c>
      <c r="Q51" s="446">
        <f>IF((Q49-$B$45)&lt;($B$43^2/$B$44),(0),((Q49-$B$45-$B$43^2/$B$44)/$B$43))</f>
        <v/>
      </c>
      <c r="R51" s="446">
        <f>IF((R49-$B$45)&lt;($B$43^2/$B$44),(0),((R49-$B$45-$B$43^2/$B$44)/$B$43))</f>
        <v/>
      </c>
      <c r="S51" s="446">
        <f>IF((S49-$B$45)&lt;($B$43^2/$B$44),(0),((S49-$B$45-$B$43^2/$B$44)/$B$43))</f>
        <v/>
      </c>
      <c r="T51" s="446">
        <f>IF((T49-$B$45)&lt;($B$43^2/$B$44),(0),((T49-$B$45-$B$43^2/$B$44)/$B$43))</f>
        <v/>
      </c>
      <c r="U51" s="446">
        <f>IF((U49-$B$45)&lt;($B$43^2/$B$44),(0),((U49-$B$45-$B$43^2/$B$44)/$B$43))</f>
        <v/>
      </c>
      <c r="V51" s="446">
        <f>IF((V49-$B$45)&lt;($B$43^2/$B$44),(0),((V49-$B$45-$B$43^2/$B$44)/$B$43))</f>
        <v/>
      </c>
      <c r="W51" s="446">
        <f>IF((W49-$B$45)&lt;($B$43^2/$B$44),(0),((W49-$B$45-$B$43^2/$B$44)/$B$43))</f>
        <v/>
      </c>
      <c r="X51" s="446">
        <f>IF((X49-$B$45)&lt;($B$43^2/$B$44),(0),((X49-$B$45-$B$43^2/$B$44)/$B$43))</f>
        <v/>
      </c>
      <c r="Y51" s="446">
        <f>IF((Y49-$B$45)&lt;($B$43^2/$B$44),(0),((Y49-$B$45-$B$43^2/$B$44)/$B$43))</f>
        <v/>
      </c>
      <c r="Z51" s="446">
        <f>IF((Z49-$B$45)&lt;($B$43^2/$B$44),(0),((Z49-$B$45-$B$43^2/$B$44)/$B$43))</f>
        <v/>
      </c>
      <c r="AA51" s="446">
        <f>IF((AA49-$B$45)&lt;($B$43^2/$B$44),(0),((AA49-$B$45-$B$43^2/$B$44)/$B$43))</f>
        <v/>
      </c>
      <c r="AB51" s="446">
        <f>IF((AB49-$B$45)&lt;($B$43^2/$B$44),(0),((AB49-$B$45-$B$43^2/$B$44)/$B$43))</f>
        <v/>
      </c>
      <c r="AC51" s="446">
        <f>IF((AC49-$B$45)&lt;($B$43^2/$B$44),(0),((AC49-$B$45-$B$43^2/$B$44)/$B$43))</f>
        <v/>
      </c>
      <c r="AD51" s="446">
        <f>IF((AD49-$B$45)&lt;($B$43^2/$B$44),(0),((AD49-$B$45-$B$43^2/$B$44)/$B$43))</f>
        <v/>
      </c>
      <c r="AE51" s="446">
        <f>IF((AE49-$B$45)&lt;($B$43^2/$B$44),(0),((AE49-$B$45-$B$43^2/$B$44)/$B$43))</f>
        <v/>
      </c>
    </row>
    <row r="52" ht="15" customHeight="1" s="516">
      <c r="A52" s="418" t="inlineStr">
        <is>
          <t>deaccel. time  [s]</t>
        </is>
      </c>
      <c r="B52" s="446">
        <f>+B50</f>
        <v/>
      </c>
      <c r="C52" s="446">
        <f>+C50</f>
        <v/>
      </c>
      <c r="D52" s="446">
        <f>+D50</f>
        <v/>
      </c>
      <c r="E52" s="446">
        <f>+E50</f>
        <v/>
      </c>
      <c r="F52" s="446">
        <f>+F50</f>
        <v/>
      </c>
      <c r="G52" s="446">
        <f>+G50</f>
        <v/>
      </c>
      <c r="H52" s="446">
        <f>+H50</f>
        <v/>
      </c>
      <c r="I52" s="446">
        <f>+I50</f>
        <v/>
      </c>
      <c r="J52" s="446">
        <f>+J50</f>
        <v/>
      </c>
      <c r="K52" s="446">
        <f>+K50</f>
        <v/>
      </c>
      <c r="L52" s="446">
        <f>+L50</f>
        <v/>
      </c>
      <c r="M52" s="446">
        <f>+M50</f>
        <v/>
      </c>
      <c r="N52" s="446">
        <f>+N50</f>
        <v/>
      </c>
      <c r="O52" s="446">
        <f>+O50</f>
        <v/>
      </c>
      <c r="P52" s="446">
        <f>+P50</f>
        <v/>
      </c>
      <c r="Q52" s="446">
        <f>+Q50</f>
        <v/>
      </c>
      <c r="R52" s="446">
        <f>+R50</f>
        <v/>
      </c>
      <c r="S52" s="446">
        <f>+S50</f>
        <v/>
      </c>
      <c r="T52" s="446">
        <f>+T50</f>
        <v/>
      </c>
      <c r="U52" s="446">
        <f>+U50</f>
        <v/>
      </c>
      <c r="V52" s="446">
        <f>+V50</f>
        <v/>
      </c>
      <c r="W52" s="446">
        <f>+W50</f>
        <v/>
      </c>
      <c r="X52" s="446">
        <f>+X50</f>
        <v/>
      </c>
      <c r="Y52" s="446">
        <f>+Y50</f>
        <v/>
      </c>
      <c r="Z52" s="446">
        <f>+Z50</f>
        <v/>
      </c>
      <c r="AA52" s="446">
        <f>+AA50</f>
        <v/>
      </c>
      <c r="AB52" s="446">
        <f>+AB50</f>
        <v/>
      </c>
      <c r="AC52" s="446">
        <f>+AC50</f>
        <v/>
      </c>
      <c r="AD52" s="446">
        <f>+AD50</f>
        <v/>
      </c>
      <c r="AE52" s="446">
        <f>+AE50</f>
        <v/>
      </c>
    </row>
    <row r="53" ht="15" customHeight="1" s="516">
      <c r="A53" s="418" t="inlineStr">
        <is>
          <t>slow speed time [s]</t>
        </is>
      </c>
      <c r="B53" s="446">
        <f>+$B$45/$B$46</f>
        <v/>
      </c>
      <c r="C53" s="446">
        <f>+$B$45/$B$46</f>
        <v/>
      </c>
      <c r="D53" s="446">
        <f>+$B$45/$B$46</f>
        <v/>
      </c>
      <c r="E53" s="446">
        <f>+$B$45/$B$46</f>
        <v/>
      </c>
      <c r="F53" s="446">
        <f>+$B$45/$B$46</f>
        <v/>
      </c>
      <c r="G53" s="446">
        <f>+$B$45/$B$46</f>
        <v/>
      </c>
      <c r="H53" s="446">
        <f>+$B$45/$B$46</f>
        <v/>
      </c>
      <c r="I53" s="446">
        <f>+$B$45/$B$46</f>
        <v/>
      </c>
      <c r="J53" s="446">
        <f>+$B$45/$B$46</f>
        <v/>
      </c>
      <c r="K53" s="446">
        <f>+$B$45/$B$46</f>
        <v/>
      </c>
      <c r="L53" s="446">
        <f>+$B$45/$B$46</f>
        <v/>
      </c>
      <c r="M53" s="446">
        <f>+$B$45/$B$46</f>
        <v/>
      </c>
      <c r="N53" s="446">
        <f>+$B$45/$B$46</f>
        <v/>
      </c>
      <c r="O53" s="446">
        <f>+$B$45/$B$46</f>
        <v/>
      </c>
      <c r="P53" s="446">
        <f>+$B$45/$B$46</f>
        <v/>
      </c>
      <c r="Q53" s="446">
        <f>+$B$45/$B$46</f>
        <v/>
      </c>
      <c r="R53" s="446">
        <f>+$B$45/$B$46</f>
        <v/>
      </c>
      <c r="S53" s="446">
        <f>+$B$45/$B$46</f>
        <v/>
      </c>
      <c r="T53" s="446">
        <f>+$B$45/$B$46</f>
        <v/>
      </c>
      <c r="U53" s="446">
        <f>+$B$45/$B$46</f>
        <v/>
      </c>
      <c r="V53" s="446">
        <f>+$B$45/$B$46</f>
        <v/>
      </c>
      <c r="W53" s="446">
        <f>+$B$45/$B$46</f>
        <v/>
      </c>
      <c r="X53" s="446">
        <f>+$B$45/$B$46</f>
        <v/>
      </c>
      <c r="Y53" s="446">
        <f>+$B$45/$B$46</f>
        <v/>
      </c>
      <c r="Z53" s="446">
        <f>+$B$45/$B$46</f>
        <v/>
      </c>
      <c r="AA53" s="446">
        <f>+$B$45/$B$46</f>
        <v/>
      </c>
      <c r="AB53" s="446">
        <f>+$B$45/$B$46</f>
        <v/>
      </c>
      <c r="AC53" s="446">
        <f>+$B$45/$B$46</f>
        <v/>
      </c>
      <c r="AD53" s="446">
        <f>+$B$45/$B$46</f>
        <v/>
      </c>
      <c r="AE53" s="446">
        <f>+$B$45/$B$46</f>
        <v/>
      </c>
    </row>
    <row r="54" ht="15" customHeight="1" s="516">
      <c r="A54" s="418" t="inlineStr">
        <is>
          <t>positioning time [s]</t>
        </is>
      </c>
      <c r="B54" s="447" t="n">
        <v>1</v>
      </c>
      <c r="C54" s="447" t="n">
        <v>1</v>
      </c>
      <c r="D54" s="447" t="n">
        <v>1</v>
      </c>
      <c r="E54" s="447" t="n">
        <v>1</v>
      </c>
      <c r="F54" s="447" t="n">
        <v>1</v>
      </c>
      <c r="G54" s="447" t="n">
        <v>1</v>
      </c>
      <c r="H54" s="447" t="n">
        <v>1</v>
      </c>
      <c r="I54" s="447" t="n">
        <v>1</v>
      </c>
      <c r="J54" s="447" t="n">
        <v>1</v>
      </c>
      <c r="K54" s="447" t="n">
        <v>1</v>
      </c>
      <c r="L54" s="447" t="n">
        <v>1</v>
      </c>
      <c r="M54" s="447" t="n">
        <v>1</v>
      </c>
      <c r="N54" s="447" t="n">
        <v>1</v>
      </c>
      <c r="O54" s="447" t="n">
        <v>1</v>
      </c>
      <c r="P54" s="447" t="n">
        <v>1</v>
      </c>
      <c r="Q54" s="447" t="n">
        <v>1</v>
      </c>
      <c r="R54" s="447" t="n">
        <v>1</v>
      </c>
      <c r="S54" s="447" t="n">
        <v>1</v>
      </c>
      <c r="T54" s="447" t="n">
        <v>1</v>
      </c>
      <c r="U54" s="447" t="n">
        <v>1</v>
      </c>
      <c r="V54" s="447" t="n">
        <v>1</v>
      </c>
      <c r="W54" s="447" t="n">
        <v>1</v>
      </c>
      <c r="X54" s="447" t="n">
        <v>1</v>
      </c>
      <c r="Y54" s="447" t="n">
        <v>1</v>
      </c>
      <c r="Z54" s="447" t="n">
        <v>1</v>
      </c>
      <c r="AA54" s="447" t="n">
        <v>1</v>
      </c>
      <c r="AB54" s="447" t="n">
        <v>1</v>
      </c>
      <c r="AC54" s="447" t="n">
        <v>1</v>
      </c>
      <c r="AD54" s="447" t="n">
        <v>1</v>
      </c>
      <c r="AE54" s="447" t="n">
        <v>1</v>
      </c>
    </row>
    <row r="55" ht="15" customHeight="1" s="516">
      <c r="A55" s="418" t="inlineStr">
        <is>
          <t>TOTAL [s]</t>
        </is>
      </c>
      <c r="B55" s="448">
        <f>SUM(B50:B54)</f>
        <v/>
      </c>
      <c r="C55" s="448">
        <f>SUM(C50:C54)</f>
        <v/>
      </c>
      <c r="D55" s="448">
        <f>SUM(D50:D54)</f>
        <v/>
      </c>
      <c r="E55" s="448">
        <f>SUM(E50:E54)</f>
        <v/>
      </c>
      <c r="F55" s="448">
        <f>SUM(F50:F54)</f>
        <v/>
      </c>
      <c r="G55" s="448">
        <f>SUM(G50:G54)</f>
        <v/>
      </c>
      <c r="H55" s="448">
        <f>SUM(H50:H54)</f>
        <v/>
      </c>
      <c r="I55" s="448">
        <f>SUM(I50:I54)</f>
        <v/>
      </c>
      <c r="J55" s="448">
        <f>SUM(J50:J54)</f>
        <v/>
      </c>
      <c r="K55" s="448">
        <f>SUM(K50:K54)</f>
        <v/>
      </c>
      <c r="L55" s="448">
        <f>SUM(L50:L54)</f>
        <v/>
      </c>
      <c r="M55" s="448">
        <f>SUM(M50:M54)</f>
        <v/>
      </c>
      <c r="N55" s="448">
        <f>SUM(N50:N54)</f>
        <v/>
      </c>
      <c r="O55" s="448">
        <f>SUM(O50:O54)</f>
        <v/>
      </c>
      <c r="P55" s="448">
        <f>SUM(P50:P54)</f>
        <v/>
      </c>
      <c r="Q55" s="448">
        <f>SUM(Q50:Q54)</f>
        <v/>
      </c>
      <c r="R55" s="448">
        <f>SUM(R50:R54)</f>
        <v/>
      </c>
      <c r="S55" s="448">
        <f>SUM(S50:S54)</f>
        <v/>
      </c>
      <c r="T55" s="448">
        <f>SUM(T50:T54)</f>
        <v/>
      </c>
      <c r="U55" s="448">
        <f>SUM(U50:U54)</f>
        <v/>
      </c>
      <c r="V55" s="448">
        <f>SUM(V50:V54)</f>
        <v/>
      </c>
      <c r="W55" s="448">
        <f>SUM(W50:W54)</f>
        <v/>
      </c>
      <c r="X55" s="448">
        <f>SUM(X50:X54)</f>
        <v/>
      </c>
      <c r="Y55" s="448">
        <f>SUM(Y50:Y54)</f>
        <v/>
      </c>
      <c r="Z55" s="448">
        <f>SUM(Z50:Z54)</f>
        <v/>
      </c>
      <c r="AA55" s="448">
        <f>SUM(AA50:AA54)</f>
        <v/>
      </c>
      <c r="AB55" s="448">
        <f>SUM(AB50:AB54)</f>
        <v/>
      </c>
      <c r="AC55" s="448">
        <f>SUM(AC50:AC54)</f>
        <v/>
      </c>
      <c r="AD55" s="448">
        <f>SUM(AD50:AD54)</f>
        <v/>
      </c>
      <c r="AE55" s="448">
        <f>SUM(AE50:AE54)</f>
        <v/>
      </c>
    </row>
    <row r="56" ht="15" customHeight="1" s="516">
      <c r="A56" s="418" t="inlineStr">
        <is>
          <t>Final TOTAL [s]</t>
        </is>
      </c>
      <c r="B56" s="448">
        <f>IF(B48&lt;=$B$7,B55,0)</f>
        <v/>
      </c>
      <c r="C56" s="448">
        <f>IF(C48&lt;=$B$7,C55,0)</f>
        <v/>
      </c>
      <c r="D56" s="448">
        <f>IF(D48&lt;=$B$7,D55,0)</f>
        <v/>
      </c>
      <c r="E56" s="448">
        <f>IF(E48&lt;=$B$7,E55,0)</f>
        <v/>
      </c>
      <c r="F56" s="448">
        <f>IF(F48&lt;=$B$7,F55,0)</f>
        <v/>
      </c>
      <c r="G56" s="448">
        <f>IF(G48&lt;=$B$7,G55,0)</f>
        <v/>
      </c>
      <c r="H56" s="448">
        <f>IF(H48&lt;=$B$7,H55,0)</f>
        <v/>
      </c>
      <c r="I56" s="448">
        <f>IF(I48&lt;=$B$7,I55,0)</f>
        <v/>
      </c>
      <c r="J56" s="448">
        <f>IF(J48&lt;=$B$7,J55,0)</f>
        <v/>
      </c>
      <c r="K56" s="448">
        <f>IF(K48&lt;=$B$7,K55,0)</f>
        <v/>
      </c>
      <c r="L56" s="448">
        <f>IF(L48&lt;=$B$7,L55,0)</f>
        <v/>
      </c>
      <c r="M56" s="448">
        <f>IF(M48&lt;=$B$7,M55,0)</f>
        <v/>
      </c>
      <c r="N56" s="448">
        <f>IF(N48&lt;=$B$7,N55,0)</f>
        <v/>
      </c>
      <c r="O56" s="448">
        <f>IF(O48&lt;=$B$7,O55,0)</f>
        <v/>
      </c>
      <c r="P56" s="448">
        <f>IF(P48&lt;=$B$7,P55,0)</f>
        <v/>
      </c>
      <c r="Q56" s="448">
        <f>IF(Q48&lt;=$B$7,Q55,0)</f>
        <v/>
      </c>
      <c r="R56" s="448">
        <f>IF(R48&lt;=$B$7,R55,0)</f>
        <v/>
      </c>
      <c r="S56" s="448">
        <f>IF(S48&lt;=$B$7,S55,0)</f>
        <v/>
      </c>
      <c r="T56" s="448">
        <f>IF(T48&lt;=$B$7,T55,0)</f>
        <v/>
      </c>
      <c r="U56" s="448">
        <f>IF(U48&lt;=$B$7,U55,0)</f>
        <v/>
      </c>
      <c r="V56" s="448">
        <f>IF(V48&lt;=$B$7,V55,0)</f>
        <v/>
      </c>
      <c r="W56" s="448">
        <f>IF(W48&lt;=$B$7,W55,0)</f>
        <v/>
      </c>
      <c r="X56" s="448">
        <f>IF(X48&lt;=$B$7,X55,0)</f>
        <v/>
      </c>
      <c r="Y56" s="448">
        <f>IF(Y48&lt;=$B$7,Y55,0)</f>
        <v/>
      </c>
      <c r="Z56" s="448">
        <f>IF(Z48&lt;=$B$7,Z55,0)</f>
        <v/>
      </c>
      <c r="AA56" s="448">
        <f>IF(AA48&lt;=$B$7,AA55,0)</f>
        <v/>
      </c>
      <c r="AB56" s="448">
        <f>IF(AB48&lt;=$B$7,AB55,0)</f>
        <v/>
      </c>
      <c r="AC56" s="448">
        <f>IF(AC48&lt;=$B$7,AC55,0)</f>
        <v/>
      </c>
      <c r="AD56" s="448">
        <f>IF(AD48&lt;=$B$7,AD55,0)</f>
        <v/>
      </c>
      <c r="AE56" s="448">
        <f>IF(AE48&lt;=$B$7,AE55,0)</f>
        <v/>
      </c>
    </row>
    <row r="57" ht="15" customHeight="1" s="516"/>
    <row r="58" ht="15" customHeight="1" s="516">
      <c r="A58" s="558" t="inlineStr">
        <is>
          <t>Communication and dead times in 1/2 cycle [s]</t>
        </is>
      </c>
      <c r="B58" s="546" t="n"/>
      <c r="C58" s="546" t="n"/>
      <c r="D58" s="534" t="n"/>
      <c r="E58" s="449" t="n">
        <v>1</v>
      </c>
    </row>
    <row r="59" ht="15" customHeight="1" s="516">
      <c r="A59" s="558" t="inlineStr">
        <is>
          <t xml:space="preserve">Total time 1/2 cycle (s) </t>
        </is>
      </c>
      <c r="B59" s="546" t="n"/>
      <c r="C59" s="546" t="n"/>
      <c r="D59" s="534" t="n"/>
      <c r="E59" s="448">
        <f>((SUM($B$56:$AE$56)/$B$7))+B39+E58</f>
        <v/>
      </c>
    </row>
    <row r="60" ht="15" customHeight="1" s="516">
      <c r="A60" s="558" t="inlineStr">
        <is>
          <t>Max. Throughput (cycles/h)</t>
        </is>
      </c>
      <c r="B60" s="546" t="n"/>
      <c r="C60" s="546" t="n"/>
      <c r="D60" s="534" t="n"/>
      <c r="E60" s="450">
        <f>3600/E59/2</f>
        <v/>
      </c>
    </row>
    <row r="61" ht="15" customHeight="1" s="516">
      <c r="A61" s="558" t="inlineStr">
        <is>
          <t>Throughput with 80% Utilization</t>
        </is>
      </c>
      <c r="B61" s="546" t="n"/>
      <c r="C61" s="546" t="n"/>
      <c r="D61" s="534" t="n"/>
      <c r="E61" s="451">
        <f>E60*B13</f>
        <v/>
      </c>
    </row>
    <row r="62" ht="15" customHeight="1" s="516">
      <c r="D62" s="452" t="n"/>
    </row>
    <row r="66">
      <c r="E66" s="453" t="n"/>
    </row>
    <row r="67">
      <c r="E67" s="453" t="n"/>
    </row>
    <row r="68">
      <c r="E68" s="453" t="n"/>
    </row>
    <row r="69">
      <c r="E69" s="453" t="n"/>
    </row>
    <row r="70">
      <c r="E70" s="453" t="n"/>
    </row>
    <row r="71">
      <c r="E71" s="453" t="n"/>
    </row>
    <row r="72">
      <c r="A72" s="443" t="n"/>
      <c r="E72" s="439" t="n"/>
    </row>
    <row r="74">
      <c r="E74" s="439" t="n"/>
    </row>
    <row r="76">
      <c r="E76" s="453" t="n"/>
    </row>
    <row r="77">
      <c r="D77" s="452" t="n"/>
    </row>
  </sheetData>
  <sheetProtection selectLockedCells="0" selectUnlockedCells="0" algorithmName="SHA-512" sheet="1" objects="1" insertRows="1" insertHyperlinks="1" autoFilter="1" scenarios="1" formatColumns="1" deleteColumns="1" insertColumns="1" pivotTables="1" deleteRows="1" formatCells="1" saltValue="Qy3bkS/+Gs8u97PdcvZlTQ==" formatRows="1" sort="1" spinCount="100000" hashValue="Cs65+6VQP8TTNbS2CMSuZEIrRc8Y343bXTUG9XORmGavgLsKEvlRtudsuKDqwzuAd/KxZH436s6eb334B3eqIg=="/>
  <mergeCells count="11">
    <mergeCell ref="A19:C19"/>
    <mergeCell ref="A61:D61"/>
    <mergeCell ref="A26:E26"/>
    <mergeCell ref="A58:D58"/>
    <mergeCell ref="B3:C3"/>
    <mergeCell ref="A41:B41"/>
    <mergeCell ref="A6:C6"/>
    <mergeCell ref="A59:D59"/>
    <mergeCell ref="A60:D60"/>
    <mergeCell ref="B4:C4"/>
    <mergeCell ref="AH2:AJ2"/>
  </mergeCells>
  <conditionalFormatting sqref="B56:AE56">
    <cfRule type="cellIs" priority="1" operator="greaterThan" dxfId="44">
      <formula>0</formula>
    </cfRule>
  </conditionalFormatting>
  <dataValidations count="2">
    <dataValidation sqref="B12 B65544 B131080 B196616 B262152 B327688 B393224 B458760 B524296 B589832 B655368 B720904 B786440 B851976 B917512 B983048 IX12 IX65544 IX131080 IX196616 IX262152 IX327688 IX393224 IX458760 IX524296 IX589832 IX655368 IX720904 IX786440 IX851976 IX917512 IX983048 ST12 ST65544 ST131080 ST196616 ST262152 ST327688 ST393224 ST458760 ST524296 ST589832 ST655368 ST720904 ST786440 ST851976 ST917512 ST983048 ACP12 ACP65544 ACP131080 ACP196616 ACP262152 ACP327688 ACP393224 ACP458760 ACP524296 ACP589832 ACP655368 ACP720904 ACP786440 ACP851976 ACP917512 ACP983048 AML12 AML65544 AML131080 AML196616 AML262152 AML327688 AML393224 AML458760 AML524296 AML589832 AML655368 AML720904 AML786440 AML851976 AML917512 AML983048 AWH12 AWH65544 AWH131080 AWH196616 AWH262152 AWH327688 AWH393224 AWH458760 AWH524296 AWH589832 AWH655368 AWH720904 AWH786440 AWH851976 AWH917512 AWH983048 BGD12 BGD65544 BGD131080 BGD196616 BGD262152 BGD327688 BGD393224 BGD458760 BGD524296 BGD589832 BGD655368 BGD720904 BGD786440 BGD851976 BGD917512 BGD983048 BPZ12 BPZ65544 BPZ131080 BPZ196616 BPZ262152 BPZ327688 BPZ393224 BPZ458760 BPZ524296 BPZ589832 BPZ655368 BPZ720904 BPZ786440 BPZ851976 BPZ917512 BPZ983048 BZV12 BZV65544 BZV131080 BZV196616 BZV262152 BZV327688 BZV393224 BZV458760 BZV524296 BZV589832 BZV655368 BZV720904 BZV786440 BZV851976 BZV917512 BZV983048 CJR12 CJR65544 CJR131080 CJR196616 CJR262152 CJR327688 CJR393224 CJR458760 CJR524296 CJR589832 CJR655368 CJR720904 CJR786440 CJR851976 CJR917512 CJR983048 CTN12 CTN65544 CTN131080 CTN196616 CTN262152 CTN327688 CTN393224 CTN458760 CTN524296 CTN589832 CTN655368 CTN720904 CTN786440 CTN851976 CTN917512 CTN983048 DDJ12 DDJ65544 DDJ131080 DDJ196616 DDJ262152 DDJ327688 DDJ393224 DDJ458760 DDJ524296 DDJ589832 DDJ655368 DDJ720904 DDJ786440 DDJ851976 DDJ917512 DDJ983048 DNF12 DNF65544 DNF131080 DNF196616 DNF262152 DNF327688 DNF393224 DNF458760 DNF524296 DNF589832 DNF655368 DNF720904 DNF786440 DNF851976 DNF917512 DNF983048 DXB12 DXB65544 DXB131080 DXB196616 DXB262152 DXB327688 DXB393224 DXB458760 DXB524296 DXB589832 DXB655368 DXB720904 DXB786440 DXB851976 DXB917512 DXB983048 EGX12 EGX65544 EGX131080 EGX196616 EGX262152 EGX327688 EGX393224 EGX458760 EGX524296 EGX589832 EGX655368 EGX720904 EGX786440 EGX851976 EGX917512 EGX983048 EQT12 EQT65544 EQT131080 EQT196616 EQT262152 EQT327688 EQT393224 EQT458760 EQT524296 EQT589832 EQT655368 EQT720904 EQT786440 EQT851976 EQT917512 EQT983048 FAP12 FAP65544 FAP131080 FAP196616 FAP262152 FAP327688 FAP393224 FAP458760 FAP524296 FAP589832 FAP655368 FAP720904 FAP786440 FAP851976 FAP917512 FAP983048 FKL12 FKL65544 FKL131080 FKL196616 FKL262152 FKL327688 FKL393224 FKL458760 FKL524296 FKL589832 FKL655368 FKL720904 FKL786440 FKL851976 FKL917512 FKL983048 FUH12 FUH65544 FUH131080 FUH196616 FUH262152 FUH327688 FUH393224 FUH458760 FUH524296 FUH589832 FUH655368 FUH720904 FUH786440 FUH851976 FUH917512 FUH983048 GED12 GED65544 GED131080 GED196616 GED262152 GED327688 GED393224 GED458760 GED524296 GED589832 GED655368 GED720904 GED786440 GED851976 GED917512 GED983048 GNZ12 GNZ65544 GNZ131080 GNZ196616 GNZ262152 GNZ327688 GNZ393224 GNZ458760 GNZ524296 GNZ589832 GNZ655368 GNZ720904 GNZ786440 GNZ851976 GNZ917512 GNZ983048 GXV12 GXV65544 GXV131080 GXV196616 GXV262152 GXV327688 GXV393224 GXV458760 GXV524296 GXV589832 GXV655368 GXV720904 GXV786440 GXV851976 GXV917512 GXV983048 HHR12 HHR65544 HHR131080 HHR196616 HHR262152 HHR327688 HHR393224 HHR458760 HHR524296 HHR589832 HHR655368 HHR720904 HHR786440 HHR851976 HHR917512 HHR983048 HRN12 HRN65544 HRN131080 HRN196616 HRN262152 HRN327688 HRN393224 HRN458760 HRN524296 HRN589832 HRN655368 HRN720904 HRN786440 HRN851976 HRN917512 HRN983048 IBJ12 IBJ65544 IBJ131080 IBJ196616 IBJ262152 IBJ327688 IBJ393224 IBJ458760 IBJ524296 IBJ589832 IBJ655368 IBJ720904 IBJ786440 IBJ851976 IBJ917512 IBJ983048 ILF12 ILF65544 ILF131080 ILF196616 ILF262152 ILF327688 ILF393224 ILF458760 ILF524296 ILF589832 ILF655368 ILF720904 ILF786440 ILF851976 ILF917512 ILF983048 IVB12 IVB65544 IVB131080 IVB196616 IVB262152 IVB327688 IVB393224 IVB458760 IVB524296 IVB589832 IVB655368 IVB720904 IVB786440 IVB851976 IVB917512 IVB983048 JEX12 JEX65544 JEX131080 JEX196616 JEX262152 JEX327688 JEX393224 JEX458760 JEX524296 JEX589832 JEX655368 JEX720904 JEX786440 JEX851976 JEX917512 JEX983048 JOT12 JOT65544 JOT131080 JOT196616 JOT262152 JOT327688 JOT393224 JOT458760 JOT524296 JOT589832 JOT655368 JOT720904 JOT786440 JOT851976 JOT917512 JOT983048 JYP12 JYP65544 JYP131080 JYP196616 JYP262152 JYP327688 JYP393224 JYP458760 JYP524296 JYP589832 JYP655368 JYP720904 JYP786440 JYP851976 JYP917512 JYP983048 KIL12 KIL65544 KIL131080 KIL196616 KIL262152 KIL327688 KIL393224 KIL458760 KIL524296 KIL589832 KIL655368 KIL720904 KIL786440 KIL851976 KIL917512 KIL983048 KSH12 KSH65544 KSH131080 KSH196616 KSH262152 KSH327688 KSH393224 KSH458760 KSH524296 KSH589832 KSH655368 KSH720904 KSH786440 KSH851976 KSH917512 KSH983048 LCD12 LCD65544 LCD131080 LCD196616 LCD262152 LCD327688 LCD393224 LCD458760 LCD524296 LCD589832 LCD655368 LCD720904 LCD786440 LCD851976 LCD917512 LCD983048 LLZ12 LLZ65544 LLZ131080 LLZ196616 LLZ262152 LLZ327688 LLZ393224 LLZ458760 LLZ524296 LLZ589832 LLZ655368 LLZ720904 LLZ786440 LLZ851976 LLZ917512 LLZ983048 LVV12 LVV65544 LVV131080 LVV196616 LVV262152 LVV327688 LVV393224 LVV458760 LVV524296 LVV589832 LVV655368 LVV720904 LVV786440 LVV851976 LVV917512 LVV983048 MFR12 MFR65544 MFR131080 MFR196616 MFR262152 MFR327688 MFR393224 MFR458760 MFR524296 MFR589832 MFR655368 MFR720904 MFR786440 MFR851976 MFR917512 MFR983048 MPN12 MPN65544 MPN131080 MPN196616 MPN262152 MPN327688 MPN393224 MPN458760 MPN524296 MPN589832 MPN655368 MPN720904 MPN786440 MPN851976 MPN917512 MPN983048 MZJ12 MZJ65544 MZJ131080 MZJ196616 MZJ262152 MZJ327688 MZJ393224 MZJ458760 MZJ524296 MZJ589832 MZJ655368 MZJ720904 MZJ786440 MZJ851976 MZJ917512 MZJ983048 NJF12 NJF65544 NJF131080 NJF196616 NJF262152 NJF327688 NJF393224 NJF458760 NJF524296 NJF589832 NJF655368 NJF720904 NJF786440 NJF851976 NJF917512 NJF983048 NTB12 NTB65544 NTB131080 NTB196616 NTB262152 NTB327688 NTB393224 NTB458760 NTB524296 NTB589832 NTB655368 NTB720904 NTB786440 NTB851976 NTB917512 NTB983048 OCX12 OCX65544 OCX131080 OCX196616 OCX262152 OCX327688 OCX393224 OCX458760 OCX524296 OCX589832 OCX655368 OCX720904 OCX786440 OCX851976 OCX917512 OCX983048 OMT12 OMT65544 OMT131080 OMT196616 OMT262152 OMT327688 OMT393224 OMT458760 OMT524296 OMT589832 OMT655368 OMT720904 OMT786440 OMT851976 OMT917512 OMT983048 OWP12 OWP65544 OWP131080 OWP196616 OWP262152 OWP327688 OWP393224 OWP458760 OWP524296 OWP589832 OWP655368 OWP720904 OWP786440 OWP851976 OWP917512 OWP983048 PGL12 PGL65544 PGL131080 PGL196616 PGL262152 PGL327688 PGL393224 PGL458760 PGL524296 PGL589832 PGL655368 PGL720904 PGL786440 PGL851976 PGL917512 PGL983048 PQH12 PQH65544 PQH131080 PQH196616 PQH262152 PQH327688 PQH393224 PQH458760 PQH524296 PQH589832 PQH655368 PQH720904 PQH786440 PQH851976 PQH917512 PQH983048 QAD12 QAD65544 QAD131080 QAD196616 QAD262152 QAD327688 QAD393224 QAD458760 QAD524296 QAD589832 QAD655368 QAD720904 QAD786440 QAD851976 QAD917512 QAD983048 QJZ12 QJZ65544 QJZ131080 QJZ196616 QJZ262152 QJZ327688 QJZ393224 QJZ458760 QJZ524296 QJZ589832 QJZ655368 QJZ720904 QJZ786440 QJZ851976 QJZ917512 QJZ983048 QTV12 QTV65544 QTV131080 QTV196616 QTV262152 QTV327688 QTV393224 QTV458760 QTV524296 QTV589832 QTV655368 QTV720904 QTV786440 QTV851976 QTV917512 QTV983048 RDR12 RDR65544 RDR131080 RDR196616 RDR262152 RDR327688 RDR393224 RDR458760 RDR524296 RDR589832 RDR655368 RDR720904 RDR786440 RDR851976 RDR917512 RDR983048 RNN12 RNN65544 RNN131080 RNN196616 RNN262152 RNN327688 RNN393224 RNN458760 RNN524296 RNN589832 RNN655368 RNN720904 RNN786440 RNN851976 RNN917512 RNN983048 RXJ12 RXJ65544 RXJ131080 RXJ196616 RXJ262152 RXJ327688 RXJ393224 RXJ458760 RXJ524296 RXJ589832 RXJ655368 RXJ720904 RXJ786440 RXJ851976 RXJ917512 RXJ983048 SHF12 SHF65544 SHF131080 SHF196616 SHF262152 SHF327688 SHF393224 SHF458760 SHF524296 SHF589832 SHF655368 SHF720904 SHF786440 SHF851976 SHF917512 SHF983048 SRB12 SRB65544 SRB131080 SRB196616 SRB262152 SRB327688 SRB393224 SRB458760 SRB524296 SRB589832 SRB655368 SRB720904 SRB786440 SRB851976 SRB917512 SRB983048 TAX12 TAX65544 TAX131080 TAX196616 TAX262152 TAX327688 TAX393224 TAX458760 TAX524296 TAX589832 TAX655368 TAX720904 TAX786440 TAX851976 TAX917512 TAX983048 TKT12 TKT65544 TKT131080 TKT196616 TKT262152 TKT327688 TKT393224 TKT458760 TKT524296 TKT589832 TKT655368 TKT720904 TKT786440 TKT851976 TKT917512 TKT983048 TUP12 TUP65544 TUP131080 TUP196616 TUP262152 TUP327688 TUP393224 TUP458760 TUP524296 TUP589832 TUP655368 TUP720904 TUP786440 TUP851976 TUP917512 TUP983048 UEL12 UEL65544 UEL131080 UEL196616 UEL262152 UEL327688 UEL393224 UEL458760 UEL524296 UEL589832 UEL655368 UEL720904 UEL786440 UEL851976 UEL917512 UEL983048 UOH12 UOH65544 UOH131080 UOH196616 UOH262152 UOH327688 UOH393224 UOH458760 UOH524296 UOH589832 UOH655368 UOH720904 UOH786440 UOH851976 UOH917512 UOH983048 UYD12 UYD65544 UYD131080 UYD196616 UYD262152 UYD327688 UYD393224 UYD458760 UYD524296 UYD589832 UYD655368 UYD720904 UYD786440 UYD851976 UYD917512 UYD983048 VHZ12 VHZ65544 VHZ131080 VHZ196616 VHZ262152 VHZ327688 VHZ393224 VHZ458760 VHZ524296 VHZ589832 VHZ655368 VHZ720904 VHZ786440 VHZ851976 VHZ917512 VHZ983048 VRV12 VRV65544 VRV131080 VRV196616 VRV262152 VRV327688 VRV393224 VRV458760 VRV524296 VRV589832 VRV655368 VRV720904 VRV786440 VRV851976 VRV917512 VRV983048 WBR12 WBR65544 WBR131080 WBR196616 WBR262152 WBR327688 WBR393224 WBR458760 WBR524296 WBR589832 WBR655368 WBR720904 WBR786440 WBR851976 WBR917512 WBR983048 WLN12 WLN65544 WLN131080 WLN196616 WLN262152 WLN327688 WLN393224 WLN458760 WLN524296 WLN589832 WLN655368 WLN720904 WLN786440 WLN851976 WLN917512 WLN983048 WVJ12 WVJ65544 WVJ131080 WVJ196616 WVJ262152 WVJ327688 WVJ393224 WVJ458760 WVJ524296 WVJ589832 WVJ655368 WVJ720904 WVJ786440 WVJ851976 WVJ917512 WVJ983048" showDropDown="0" showInputMessage="1" showErrorMessage="1" allowBlank="1" type="list">
      <formula1>"0.3,0.6,0.9"</formula1>
    </dataValidation>
    <dataValidation sqref="B11 B65543 B131079 B196615 B262151 B327687 B393223 B458759 B524295 B589831 B655367 B720903 B786439 B851975 B917511 B983047 IX11 IX65543 IX131079 IX196615 IX262151 IX327687 IX393223 IX458759 IX524295 IX589831 IX655367 IX720903 IX786439 IX851975 IX917511 IX983047 ST11 ST65543 ST131079 ST196615 ST262151 ST327687 ST393223 ST458759 ST524295 ST589831 ST655367 ST720903 ST786439 ST851975 ST917511 ST983047 ACP11 ACP65543 ACP131079 ACP196615 ACP262151 ACP327687 ACP393223 ACP458759 ACP524295 ACP589831 ACP655367 ACP720903 ACP786439 ACP851975 ACP917511 ACP983047 AML11 AML65543 AML131079 AML196615 AML262151 AML327687 AML393223 AML458759 AML524295 AML589831 AML655367 AML720903 AML786439 AML851975 AML917511 AML983047 AWH11 AWH65543 AWH131079 AWH196615 AWH262151 AWH327687 AWH393223 AWH458759 AWH524295 AWH589831 AWH655367 AWH720903 AWH786439 AWH851975 AWH917511 AWH983047 BGD11 BGD65543 BGD131079 BGD196615 BGD262151 BGD327687 BGD393223 BGD458759 BGD524295 BGD589831 BGD655367 BGD720903 BGD786439 BGD851975 BGD917511 BGD983047 BPZ11 BPZ65543 BPZ131079 BPZ196615 BPZ262151 BPZ327687 BPZ393223 BPZ458759 BPZ524295 BPZ589831 BPZ655367 BPZ720903 BPZ786439 BPZ851975 BPZ917511 BPZ983047 BZV11 BZV65543 BZV131079 BZV196615 BZV262151 BZV327687 BZV393223 BZV458759 BZV524295 BZV589831 BZV655367 BZV720903 BZV786439 BZV851975 BZV917511 BZV983047 CJR11 CJR65543 CJR131079 CJR196615 CJR262151 CJR327687 CJR393223 CJR458759 CJR524295 CJR589831 CJR655367 CJR720903 CJR786439 CJR851975 CJR917511 CJR983047 CTN11 CTN65543 CTN131079 CTN196615 CTN262151 CTN327687 CTN393223 CTN458759 CTN524295 CTN589831 CTN655367 CTN720903 CTN786439 CTN851975 CTN917511 CTN983047 DDJ11 DDJ65543 DDJ131079 DDJ196615 DDJ262151 DDJ327687 DDJ393223 DDJ458759 DDJ524295 DDJ589831 DDJ655367 DDJ720903 DDJ786439 DDJ851975 DDJ917511 DDJ983047 DNF11 DNF65543 DNF131079 DNF196615 DNF262151 DNF327687 DNF393223 DNF458759 DNF524295 DNF589831 DNF655367 DNF720903 DNF786439 DNF851975 DNF917511 DNF983047 DXB11 DXB65543 DXB131079 DXB196615 DXB262151 DXB327687 DXB393223 DXB458759 DXB524295 DXB589831 DXB655367 DXB720903 DXB786439 DXB851975 DXB917511 DXB983047 EGX11 EGX65543 EGX131079 EGX196615 EGX262151 EGX327687 EGX393223 EGX458759 EGX524295 EGX589831 EGX655367 EGX720903 EGX786439 EGX851975 EGX917511 EGX983047 EQT11 EQT65543 EQT131079 EQT196615 EQT262151 EQT327687 EQT393223 EQT458759 EQT524295 EQT589831 EQT655367 EQT720903 EQT786439 EQT851975 EQT917511 EQT983047 FAP11 FAP65543 FAP131079 FAP196615 FAP262151 FAP327687 FAP393223 FAP458759 FAP524295 FAP589831 FAP655367 FAP720903 FAP786439 FAP851975 FAP917511 FAP983047 FKL11 FKL65543 FKL131079 FKL196615 FKL262151 FKL327687 FKL393223 FKL458759 FKL524295 FKL589831 FKL655367 FKL720903 FKL786439 FKL851975 FKL917511 FKL983047 FUH11 FUH65543 FUH131079 FUH196615 FUH262151 FUH327687 FUH393223 FUH458759 FUH524295 FUH589831 FUH655367 FUH720903 FUH786439 FUH851975 FUH917511 FUH983047 GED11 GED65543 GED131079 GED196615 GED262151 GED327687 GED393223 GED458759 GED524295 GED589831 GED655367 GED720903 GED786439 GED851975 GED917511 GED983047 GNZ11 GNZ65543 GNZ131079 GNZ196615 GNZ262151 GNZ327687 GNZ393223 GNZ458759 GNZ524295 GNZ589831 GNZ655367 GNZ720903 GNZ786439 GNZ851975 GNZ917511 GNZ983047 GXV11 GXV65543 GXV131079 GXV196615 GXV262151 GXV327687 GXV393223 GXV458759 GXV524295 GXV589831 GXV655367 GXV720903 GXV786439 GXV851975 GXV917511 GXV983047 HHR11 HHR65543 HHR131079 HHR196615 HHR262151 HHR327687 HHR393223 HHR458759 HHR524295 HHR589831 HHR655367 HHR720903 HHR786439 HHR851975 HHR917511 HHR983047 HRN11 HRN65543 HRN131079 HRN196615 HRN262151 HRN327687 HRN393223 HRN458759 HRN524295 HRN589831 HRN655367 HRN720903 HRN786439 HRN851975 HRN917511 HRN983047 IBJ11 IBJ65543 IBJ131079 IBJ196615 IBJ262151 IBJ327687 IBJ393223 IBJ458759 IBJ524295 IBJ589831 IBJ655367 IBJ720903 IBJ786439 IBJ851975 IBJ917511 IBJ983047 ILF11 ILF65543 ILF131079 ILF196615 ILF262151 ILF327687 ILF393223 ILF458759 ILF524295 ILF589831 ILF655367 ILF720903 ILF786439 ILF851975 ILF917511 ILF983047 IVB11 IVB65543 IVB131079 IVB196615 IVB262151 IVB327687 IVB393223 IVB458759 IVB524295 IVB589831 IVB655367 IVB720903 IVB786439 IVB851975 IVB917511 IVB983047 JEX11 JEX65543 JEX131079 JEX196615 JEX262151 JEX327687 JEX393223 JEX458759 JEX524295 JEX589831 JEX655367 JEX720903 JEX786439 JEX851975 JEX917511 JEX983047 JOT11 JOT65543 JOT131079 JOT196615 JOT262151 JOT327687 JOT393223 JOT458759 JOT524295 JOT589831 JOT655367 JOT720903 JOT786439 JOT851975 JOT917511 JOT983047 JYP11 JYP65543 JYP131079 JYP196615 JYP262151 JYP327687 JYP393223 JYP458759 JYP524295 JYP589831 JYP655367 JYP720903 JYP786439 JYP851975 JYP917511 JYP983047 KIL11 KIL65543 KIL131079 KIL196615 KIL262151 KIL327687 KIL393223 KIL458759 KIL524295 KIL589831 KIL655367 KIL720903 KIL786439 KIL851975 KIL917511 KIL983047 KSH11 KSH65543 KSH131079 KSH196615 KSH262151 KSH327687 KSH393223 KSH458759 KSH524295 KSH589831 KSH655367 KSH720903 KSH786439 KSH851975 KSH917511 KSH983047 LCD11 LCD65543 LCD131079 LCD196615 LCD262151 LCD327687 LCD393223 LCD458759 LCD524295 LCD589831 LCD655367 LCD720903 LCD786439 LCD851975 LCD917511 LCD983047 LLZ11 LLZ65543 LLZ131079 LLZ196615 LLZ262151 LLZ327687 LLZ393223 LLZ458759 LLZ524295 LLZ589831 LLZ655367 LLZ720903 LLZ786439 LLZ851975 LLZ917511 LLZ983047 LVV11 LVV65543 LVV131079 LVV196615 LVV262151 LVV327687 LVV393223 LVV458759 LVV524295 LVV589831 LVV655367 LVV720903 LVV786439 LVV851975 LVV917511 LVV983047 MFR11 MFR65543 MFR131079 MFR196615 MFR262151 MFR327687 MFR393223 MFR458759 MFR524295 MFR589831 MFR655367 MFR720903 MFR786439 MFR851975 MFR917511 MFR983047 MPN11 MPN65543 MPN131079 MPN196615 MPN262151 MPN327687 MPN393223 MPN458759 MPN524295 MPN589831 MPN655367 MPN720903 MPN786439 MPN851975 MPN917511 MPN983047 MZJ11 MZJ65543 MZJ131079 MZJ196615 MZJ262151 MZJ327687 MZJ393223 MZJ458759 MZJ524295 MZJ589831 MZJ655367 MZJ720903 MZJ786439 MZJ851975 MZJ917511 MZJ983047 NJF11 NJF65543 NJF131079 NJF196615 NJF262151 NJF327687 NJF393223 NJF458759 NJF524295 NJF589831 NJF655367 NJF720903 NJF786439 NJF851975 NJF917511 NJF983047 NTB11 NTB65543 NTB131079 NTB196615 NTB262151 NTB327687 NTB393223 NTB458759 NTB524295 NTB589831 NTB655367 NTB720903 NTB786439 NTB851975 NTB917511 NTB983047 OCX11 OCX65543 OCX131079 OCX196615 OCX262151 OCX327687 OCX393223 OCX458759 OCX524295 OCX589831 OCX655367 OCX720903 OCX786439 OCX851975 OCX917511 OCX983047 OMT11 OMT65543 OMT131079 OMT196615 OMT262151 OMT327687 OMT393223 OMT458759 OMT524295 OMT589831 OMT655367 OMT720903 OMT786439 OMT851975 OMT917511 OMT983047 OWP11 OWP65543 OWP131079 OWP196615 OWP262151 OWP327687 OWP393223 OWP458759 OWP524295 OWP589831 OWP655367 OWP720903 OWP786439 OWP851975 OWP917511 OWP983047 PGL11 PGL65543 PGL131079 PGL196615 PGL262151 PGL327687 PGL393223 PGL458759 PGL524295 PGL589831 PGL655367 PGL720903 PGL786439 PGL851975 PGL917511 PGL983047 PQH11 PQH65543 PQH131079 PQH196615 PQH262151 PQH327687 PQH393223 PQH458759 PQH524295 PQH589831 PQH655367 PQH720903 PQH786439 PQH851975 PQH917511 PQH983047 QAD11 QAD65543 QAD131079 QAD196615 QAD262151 QAD327687 QAD393223 QAD458759 QAD524295 QAD589831 QAD655367 QAD720903 QAD786439 QAD851975 QAD917511 QAD983047 QJZ11 QJZ65543 QJZ131079 QJZ196615 QJZ262151 QJZ327687 QJZ393223 QJZ458759 QJZ524295 QJZ589831 QJZ655367 QJZ720903 QJZ786439 QJZ851975 QJZ917511 QJZ983047 QTV11 QTV65543 QTV131079 QTV196615 QTV262151 QTV327687 QTV393223 QTV458759 QTV524295 QTV589831 QTV655367 QTV720903 QTV786439 QTV851975 QTV917511 QTV983047 RDR11 RDR65543 RDR131079 RDR196615 RDR262151 RDR327687 RDR393223 RDR458759 RDR524295 RDR589831 RDR655367 RDR720903 RDR786439 RDR851975 RDR917511 RDR983047 RNN11 RNN65543 RNN131079 RNN196615 RNN262151 RNN327687 RNN393223 RNN458759 RNN524295 RNN589831 RNN655367 RNN720903 RNN786439 RNN851975 RNN917511 RNN983047 RXJ11 RXJ65543 RXJ131079 RXJ196615 RXJ262151 RXJ327687 RXJ393223 RXJ458759 RXJ524295 RXJ589831 RXJ655367 RXJ720903 RXJ786439 RXJ851975 RXJ917511 RXJ983047 SHF11 SHF65543 SHF131079 SHF196615 SHF262151 SHF327687 SHF393223 SHF458759 SHF524295 SHF589831 SHF655367 SHF720903 SHF786439 SHF851975 SHF917511 SHF983047 SRB11 SRB65543 SRB131079 SRB196615 SRB262151 SRB327687 SRB393223 SRB458759 SRB524295 SRB589831 SRB655367 SRB720903 SRB786439 SRB851975 SRB917511 SRB983047 TAX11 TAX65543 TAX131079 TAX196615 TAX262151 TAX327687 TAX393223 TAX458759 TAX524295 TAX589831 TAX655367 TAX720903 TAX786439 TAX851975 TAX917511 TAX983047 TKT11 TKT65543 TKT131079 TKT196615 TKT262151 TKT327687 TKT393223 TKT458759 TKT524295 TKT589831 TKT655367 TKT720903 TKT786439 TKT851975 TKT917511 TKT983047 TUP11 TUP65543 TUP131079 TUP196615 TUP262151 TUP327687 TUP393223 TUP458759 TUP524295 TUP589831 TUP655367 TUP720903 TUP786439 TUP851975 TUP917511 TUP983047 UEL11 UEL65543 UEL131079 UEL196615 UEL262151 UEL327687 UEL393223 UEL458759 UEL524295 UEL589831 UEL655367 UEL720903 UEL786439 UEL851975 UEL917511 UEL983047 UOH11 UOH65543 UOH131079 UOH196615 UOH262151 UOH327687 UOH393223 UOH458759 UOH524295 UOH589831 UOH655367 UOH720903 UOH786439 UOH851975 UOH917511 UOH983047 UYD11 UYD65543 UYD131079 UYD196615 UYD262151 UYD327687 UYD393223 UYD458759 UYD524295 UYD589831 UYD655367 UYD720903 UYD786439 UYD851975 UYD917511 UYD983047 VHZ11 VHZ65543 VHZ131079 VHZ196615 VHZ262151 VHZ327687 VHZ393223 VHZ458759 VHZ524295 VHZ589831 VHZ655367 VHZ720903 VHZ786439 VHZ851975 VHZ917511 VHZ983047 VRV11 VRV65543 VRV131079 VRV196615 VRV262151 VRV327687 VRV393223 VRV458759 VRV524295 VRV589831 VRV655367 VRV720903 VRV786439 VRV851975 VRV917511 VRV983047 WBR11 WBR65543 WBR131079 WBR196615 WBR262151 WBR327687 WBR393223 WBR458759 WBR524295 WBR589831 WBR655367 WBR720903 WBR786439 WBR851975 WBR917511 WBR983047 WLN11 WLN65543 WLN131079 WLN196615 WLN262151 WLN327687 WLN393223 WLN458759 WLN524295 WLN589831 WLN655367 WLN720903 WLN786439 WLN851975 WLN917511 WLN983047 WVJ11 WVJ65543 WVJ131079 WVJ196615 WVJ262151 WVJ327687 WVJ393223 WVJ458759 WVJ524295 WVJ589831 WVJ655367 WVJ720903 WVJ786439 WVJ851975 WVJ917511 WVJ983047" showDropDown="0" showInputMessage="1" showErrorMessage="1" allowBlank="1" type="list">
      <formula1>"0.2,0.3"</formula1>
    </dataValidation>
  </dataValidations>
  <printOptions horizontalCentered="1"/>
  <pageMargins left="0.5" right="0.5" top="0.5" bottom="0.5" header="0.511811023622047" footer="0.511811023622047"/>
  <pageSetup orientation="landscape" paperSize="9" scale="43" horizontalDpi="300" verticalDpi="4294967292"/>
  <drawing r:id="rId1"/>
</worksheet>
</file>

<file path=xl/worksheets/sheet16.xml><?xml version="1.0" encoding="utf-8"?>
<worksheet xmlns:r="http://schemas.openxmlformats.org/officeDocument/2006/relationships" xmlns="http://schemas.openxmlformats.org/spreadsheetml/2006/main">
  <sheetPr codeName="Sheet15">
    <tabColor theme="7"/>
    <outlinePr summaryBelow="1" summaryRight="1"/>
    <pageSetUpPr fitToPage="1"/>
  </sheetPr>
  <dimension ref="A1:BY46"/>
  <sheetViews>
    <sheetView showGridLines="0" zoomScale="70" zoomScaleNormal="70" workbookViewId="0">
      <selection activeCell="G14" sqref="G14"/>
    </sheetView>
  </sheetViews>
  <sheetFormatPr baseColWidth="10" defaultColWidth="8.6640625" defaultRowHeight="15"/>
  <cols>
    <col width="38.6640625" bestFit="1" customWidth="1" style="1" min="1" max="1"/>
    <col width="25.6640625" customWidth="1" style="1" min="2" max="2"/>
    <col width="21.5" bestFit="1" customWidth="1" style="1" min="3" max="3"/>
    <col width="11.33203125" bestFit="1" customWidth="1" style="1" min="4" max="4"/>
    <col width="11.6640625" bestFit="1" customWidth="1" style="1" min="5" max="5"/>
    <col width="6.6640625" bestFit="1" customWidth="1" style="153" min="6" max="6"/>
    <col width="31.6640625" bestFit="1" customWidth="1" style="218" min="7" max="7"/>
    <col width="48.5" bestFit="1" customWidth="1" style="218" min="8" max="8"/>
    <col width="10.6640625" bestFit="1" customWidth="1" style="153" min="9" max="9"/>
    <col width="6.5" customWidth="1" style="153" min="10" max="10"/>
    <col width="11.6640625" customWidth="1" style="153" min="11" max="11"/>
    <col width="8.5" bestFit="1" customWidth="1" style="218" min="12" max="12"/>
    <col width="10.5" bestFit="1" customWidth="1" style="153" min="13" max="13"/>
    <col width="12.6640625" bestFit="1" customWidth="1" style="153" min="14" max="14"/>
    <col width="9.5" customWidth="1" style="153" min="15" max="15"/>
    <col width="11.6640625" bestFit="1" customWidth="1" style="153" min="16" max="16"/>
    <col width="11.33203125" bestFit="1" customWidth="1" style="153" min="17" max="17"/>
    <col width="7.6640625" bestFit="1" customWidth="1" style="153" min="18" max="18"/>
    <col width="11.33203125" bestFit="1" customWidth="1" style="153" min="19" max="19"/>
    <col width="7.5" bestFit="1" customWidth="1" style="153" min="20" max="20"/>
    <col width="7" bestFit="1" customWidth="1" style="218" min="21" max="21"/>
    <col width="12.83203125" bestFit="1" customWidth="1" style="153" min="22" max="22"/>
    <col width="8.6640625" customWidth="1" style="153" min="23" max="23"/>
    <col width="6.6640625" bestFit="1" customWidth="1" style="153" min="24" max="24"/>
    <col width="31.6640625" bestFit="1" customWidth="1" style="218" min="25" max="25"/>
    <col width="48.5" bestFit="1" customWidth="1" style="218" min="26" max="26"/>
    <col width="10.33203125" bestFit="1" customWidth="1" style="153" min="27" max="27"/>
    <col width="8.5" bestFit="1" customWidth="1" style="153" min="28" max="28"/>
    <col width="8.6640625" customWidth="1" style="153" min="29" max="29"/>
    <col width="8.5" bestFit="1" customWidth="1" style="218" min="30" max="30"/>
    <col width="8.33203125" bestFit="1" customWidth="1" style="153" min="31" max="31"/>
    <col width="8.6640625" customWidth="1" style="153" min="32" max="32"/>
    <col width="8.5" bestFit="1" customWidth="1" style="153" min="33" max="35"/>
    <col width="7.6640625" bestFit="1" customWidth="1" style="153" min="36" max="36"/>
    <col width="8.5" bestFit="1" customWidth="1" style="153" min="37" max="37"/>
    <col width="7.5" bestFit="1" customWidth="1" style="153" min="38" max="38"/>
    <col width="7" bestFit="1" customWidth="1" style="218" min="39" max="39"/>
    <col width="9.5" bestFit="1" customWidth="1" style="153" min="40" max="40"/>
    <col width="8.6640625" customWidth="1" style="148" min="41" max="41"/>
    <col width="8.6640625" customWidth="1" style="69" min="42" max="42"/>
    <col width="24.6640625" customWidth="1" style="69" min="43" max="43"/>
    <col width="47.83203125" customWidth="1" style="69" min="44" max="44"/>
    <col width="8.6640625" customWidth="1" style="516" min="45" max="60"/>
    <col width="24.6640625" customWidth="1" style="516" min="61" max="61"/>
    <col width="23.83203125" customWidth="1" style="516" min="62" max="62"/>
    <col width="8.6640625" customWidth="1" style="516" min="63" max="76"/>
    <col width="8.6640625" customWidth="1" style="244" min="77" max="77"/>
    <col width="8.6640625" customWidth="1" style="1" min="78" max="79"/>
    <col width="45" customWidth="1" style="1" min="80" max="80"/>
    <col width="12.6640625" customWidth="1" style="1" min="81" max="81"/>
    <col width="10.5" customWidth="1" style="1" min="82" max="82"/>
    <col width="8.6640625" customWidth="1" style="1" min="83" max="111"/>
    <col width="8.6640625" customWidth="1" style="1" min="112" max="16384"/>
  </cols>
  <sheetData>
    <row r="1" ht="47" customFormat="1" customHeight="1" s="24">
      <c r="A1" s="1" t="n"/>
      <c r="B1" s="1">
        <f>'Master List'!$F$2</f>
        <v/>
      </c>
      <c r="C1" s="1" t="n"/>
      <c r="D1" s="1" t="n"/>
      <c r="E1" s="1" t="n"/>
      <c r="F1" s="153" t="n"/>
      <c r="G1" s="215" t="n"/>
      <c r="H1" s="214" t="n"/>
      <c r="I1" s="214" t="n"/>
      <c r="J1" s="214" t="n"/>
      <c r="K1" s="214" t="n"/>
      <c r="L1" s="214" t="n"/>
      <c r="M1" s="214" t="n"/>
      <c r="N1" s="214" t="n"/>
      <c r="O1" s="214" t="n"/>
      <c r="P1" s="214" t="n"/>
      <c r="Q1" s="214" t="n"/>
      <c r="R1" s="214" t="n"/>
      <c r="S1" s="214" t="n"/>
      <c r="T1" s="214" t="n"/>
      <c r="U1" s="216" t="n"/>
      <c r="V1" s="216" t="n"/>
      <c r="W1" s="214" t="n"/>
      <c r="X1" s="214" t="n"/>
      <c r="Y1" s="214" t="n"/>
      <c r="Z1" s="214" t="n"/>
      <c r="AA1" s="214" t="n"/>
      <c r="AB1" s="214" t="n"/>
      <c r="AC1" s="214" t="n"/>
      <c r="AD1" s="214" t="n"/>
      <c r="AE1" s="214" t="n"/>
      <c r="AF1" s="214" t="n"/>
      <c r="AG1" s="214" t="n"/>
      <c r="AH1" s="214" t="n"/>
      <c r="AI1" s="214" t="n"/>
      <c r="AJ1" s="214" t="n"/>
      <c r="AK1" s="214" t="n"/>
      <c r="AL1" s="214" t="n"/>
      <c r="AM1" s="214" t="n"/>
      <c r="AN1" s="214" t="n"/>
      <c r="AO1" s="149" t="n"/>
      <c r="AP1" s="69" t="n"/>
      <c r="AQ1" s="69" t="n"/>
      <c r="AR1" s="69" t="n"/>
      <c r="BY1" s="243" t="n"/>
    </row>
    <row r="2" ht="19.25" customFormat="1" customHeight="1" s="24">
      <c r="A2" s="34" t="inlineStr">
        <is>
          <t>Equipment</t>
        </is>
      </c>
      <c r="B2" s="33" t="inlineStr">
        <is>
          <t>Multipro in&amp;out from diff side</t>
        </is>
      </c>
      <c r="C2" s="1" t="n"/>
      <c r="D2" s="1" t="n"/>
      <c r="E2" s="1" t="n"/>
      <c r="F2" s="153" t="n"/>
      <c r="G2" s="215" t="n"/>
      <c r="H2" s="214" t="n"/>
      <c r="I2" s="214" t="n"/>
      <c r="J2" s="214" t="n"/>
      <c r="K2" s="214" t="n"/>
      <c r="L2" s="214" t="n"/>
      <c r="M2" s="214" t="n"/>
      <c r="N2" s="214" t="n"/>
      <c r="O2" s="214" t="n"/>
      <c r="P2" s="214" t="n"/>
      <c r="Q2" s="214" t="n"/>
      <c r="R2" s="214" t="n"/>
      <c r="S2" s="214" t="n"/>
      <c r="T2" s="214" t="n"/>
      <c r="U2" s="216" t="n"/>
      <c r="V2" s="216" t="n"/>
      <c r="W2" s="214" t="n"/>
      <c r="X2" s="214" t="n"/>
      <c r="Y2" s="214" t="n"/>
      <c r="Z2" s="214" t="n"/>
      <c r="AA2" s="214" t="n"/>
      <c r="AB2" s="214" t="n"/>
      <c r="AC2" s="214" t="n"/>
      <c r="AD2" s="214" t="n"/>
      <c r="AE2" s="214" t="n"/>
      <c r="AF2" s="214" t="n"/>
      <c r="AG2" s="214" t="n"/>
      <c r="AH2" s="214" t="n"/>
      <c r="AI2" s="214" t="n"/>
      <c r="AJ2" s="214" t="n"/>
      <c r="AK2" s="214" t="n"/>
      <c r="AL2" s="214" t="n"/>
      <c r="AM2" s="214" t="n"/>
      <c r="AN2" s="214" t="n"/>
      <c r="AO2" s="149" t="n"/>
      <c r="AP2" s="69" t="n"/>
      <c r="AQ2" s="69" t="n"/>
      <c r="AR2" s="69" t="n"/>
      <c r="BY2" s="243" t="n"/>
    </row>
    <row r="3" ht="19.25" customFormat="1" customHeight="1" s="24">
      <c r="A3" s="34" t="inlineStr">
        <is>
          <t>Utilization</t>
        </is>
      </c>
      <c r="B3" s="402">
        <f>V8</f>
        <v/>
      </c>
      <c r="C3" s="1" t="n"/>
      <c r="D3" s="1" t="n"/>
      <c r="E3" s="1" t="n"/>
      <c r="F3" s="153" t="n"/>
      <c r="G3" s="215" t="n"/>
      <c r="H3" s="214" t="n"/>
      <c r="I3" s="214" t="n"/>
      <c r="J3" s="214" t="n"/>
      <c r="K3" s="214" t="n"/>
      <c r="L3" s="214" t="n"/>
      <c r="M3" s="214" t="n"/>
      <c r="N3" s="214" t="n"/>
      <c r="O3" s="214" t="n"/>
      <c r="P3" s="214" t="n"/>
      <c r="Q3" s="214" t="n"/>
      <c r="R3" s="214" t="n"/>
      <c r="S3" s="214" t="n"/>
      <c r="T3" s="214" t="n"/>
      <c r="U3" s="216" t="n"/>
      <c r="V3" s="216" t="n"/>
      <c r="W3" s="214" t="n"/>
      <c r="X3" s="214" t="n"/>
      <c r="Y3" s="214" t="n"/>
      <c r="Z3" s="214" t="n"/>
      <c r="AA3" s="214" t="n"/>
      <c r="AB3" s="214" t="n"/>
      <c r="AC3" s="214" t="n"/>
      <c r="AD3" s="214" t="n"/>
      <c r="AE3" s="214" t="n"/>
      <c r="AF3" s="214" t="n"/>
      <c r="AG3" s="214" t="n"/>
      <c r="AH3" s="214" t="n"/>
      <c r="AI3" s="214" t="n"/>
      <c r="AJ3" s="214" t="n"/>
      <c r="AK3" s="214" t="n"/>
      <c r="AL3" s="214" t="n"/>
      <c r="AM3" s="214" t="n"/>
      <c r="AN3" s="214" t="n"/>
      <c r="AO3" s="149" t="n"/>
      <c r="AP3" s="69" t="n"/>
      <c r="AQ3" s="69" t="n"/>
      <c r="AR3" s="69" t="n"/>
      <c r="BY3" s="243" t="n"/>
    </row>
    <row r="4" ht="19.25" customHeight="1" s="516">
      <c r="A4" s="180" t="inlineStr">
        <is>
          <t>Project name</t>
        </is>
      </c>
      <c r="B4" s="181" t="n"/>
      <c r="F4" s="217" t="n"/>
      <c r="G4" s="217" t="n"/>
      <c r="H4" s="217" t="n"/>
      <c r="I4" s="217" t="n"/>
      <c r="J4" s="217" t="n"/>
      <c r="K4" s="217" t="n"/>
      <c r="L4" s="217" t="n"/>
      <c r="M4" s="217" t="n"/>
      <c r="N4" s="217" t="n"/>
      <c r="O4" s="217" t="n"/>
      <c r="P4" s="217" t="n"/>
      <c r="Q4" s="217" t="n"/>
      <c r="R4" s="217" t="n"/>
      <c r="S4" s="217" t="n"/>
      <c r="T4" s="217" t="n"/>
      <c r="U4" s="217" t="n"/>
      <c r="V4" s="217" t="n"/>
      <c r="Y4" s="153" t="n"/>
      <c r="Z4" s="153" t="n"/>
      <c r="AD4" s="153" t="n"/>
      <c r="AM4" s="153" t="n"/>
    </row>
    <row r="5" ht="19.25" customHeight="1" s="516">
      <c r="A5" s="180" t="inlineStr">
        <is>
          <t>Revision</t>
        </is>
      </c>
      <c r="B5" s="181" t="n"/>
      <c r="F5" s="532">
        <f>A19</f>
        <v/>
      </c>
      <c r="G5" s="525" t="n"/>
      <c r="H5" s="525" t="n"/>
      <c r="I5" s="525" t="n"/>
      <c r="J5" s="525" t="n"/>
      <c r="K5" s="525" t="n"/>
      <c r="L5" s="525" t="n"/>
      <c r="M5" s="525" t="n"/>
      <c r="N5" s="525" t="n"/>
      <c r="O5" s="525" t="n"/>
      <c r="P5" s="525" t="n"/>
      <c r="Q5" s="525" t="n"/>
      <c r="R5" s="525" t="n"/>
      <c r="S5" s="525" t="n"/>
      <c r="T5" s="525" t="n"/>
      <c r="U5" s="525" t="n"/>
      <c r="V5" s="526" t="n"/>
      <c r="X5" s="532">
        <f>A20</f>
        <v/>
      </c>
      <c r="Y5" s="525" t="n"/>
      <c r="Z5" s="525" t="n"/>
      <c r="AA5" s="525" t="n"/>
      <c r="AB5" s="525" t="n"/>
      <c r="AC5" s="525" t="n"/>
      <c r="AD5" s="525" t="n"/>
      <c r="AE5" s="525" t="n"/>
      <c r="AF5" s="525" t="n"/>
      <c r="AG5" s="525" t="n"/>
      <c r="AH5" s="525" t="n"/>
      <c r="AI5" s="525" t="n"/>
      <c r="AJ5" s="525" t="n"/>
      <c r="AK5" s="525" t="n"/>
      <c r="AL5" s="525" t="n"/>
      <c r="AM5" s="525" t="n"/>
      <c r="AN5" s="526" t="n"/>
    </row>
    <row r="6" ht="18" customHeight="1" s="516">
      <c r="F6" s="531" t="inlineStr">
        <is>
          <t>S.No</t>
        </is>
      </c>
      <c r="G6" s="530" t="inlineStr">
        <is>
          <t>Cycles / Hour</t>
        </is>
      </c>
      <c r="H6" s="522" t="n"/>
      <c r="I6" s="522" t="n"/>
      <c r="J6" s="522" t="n"/>
      <c r="K6" s="522" t="n"/>
      <c r="L6" s="522" t="n"/>
      <c r="M6" s="522" t="n"/>
      <c r="N6" s="522" t="n"/>
      <c r="O6" s="522" t="n"/>
      <c r="P6" s="522" t="n"/>
      <c r="Q6" s="522" t="n"/>
      <c r="R6" s="522" t="n"/>
      <c r="S6" s="522" t="n"/>
      <c r="T6" s="522" t="n"/>
      <c r="U6" s="523" t="n"/>
      <c r="V6" s="155">
        <f>3600/V7</f>
        <v/>
      </c>
      <c r="X6" s="531" t="inlineStr">
        <is>
          <t>S.No</t>
        </is>
      </c>
      <c r="Y6" s="530" t="inlineStr">
        <is>
          <t>Cycles / Hour</t>
        </is>
      </c>
      <c r="Z6" s="522" t="n"/>
      <c r="AA6" s="522" t="n"/>
      <c r="AB6" s="522" t="n"/>
      <c r="AC6" s="522" t="n"/>
      <c r="AD6" s="522" t="n"/>
      <c r="AE6" s="522" t="n"/>
      <c r="AF6" s="522" t="n"/>
      <c r="AG6" s="522" t="n"/>
      <c r="AH6" s="522" t="n"/>
      <c r="AI6" s="522" t="n"/>
      <c r="AJ6" s="522" t="n"/>
      <c r="AK6" s="522" t="n"/>
      <c r="AL6" s="522" t="n"/>
      <c r="AM6" s="523" t="n"/>
      <c r="AN6" s="155">
        <f>3600/AN7</f>
        <v/>
      </c>
    </row>
    <row r="7" ht="18" customHeight="1" s="516">
      <c r="F7" s="528" t="n"/>
      <c r="G7" s="530" t="inlineStr">
        <is>
          <t>Effective Cycle Time</t>
        </is>
      </c>
      <c r="H7" s="522" t="n"/>
      <c r="I7" s="522" t="n"/>
      <c r="J7" s="522" t="n"/>
      <c r="K7" s="522" t="n"/>
      <c r="L7" s="522" t="n"/>
      <c r="M7" s="522" t="n"/>
      <c r="N7" s="522" t="n"/>
      <c r="O7" s="522" t="n"/>
      <c r="P7" s="522" t="n"/>
      <c r="Q7" s="522" t="n"/>
      <c r="R7" s="522" t="n"/>
      <c r="S7" s="522" t="n"/>
      <c r="T7" s="522" t="n"/>
      <c r="U7" s="523" t="n"/>
      <c r="V7" s="156">
        <f>V9/V8</f>
        <v/>
      </c>
      <c r="X7" s="528" t="n"/>
      <c r="Y7" s="530" t="inlineStr">
        <is>
          <t>Effective Cycle Time</t>
        </is>
      </c>
      <c r="Z7" s="522" t="n"/>
      <c r="AA7" s="522" t="n"/>
      <c r="AB7" s="522" t="n"/>
      <c r="AC7" s="522" t="n"/>
      <c r="AD7" s="522" t="n"/>
      <c r="AE7" s="522" t="n"/>
      <c r="AF7" s="522" t="n"/>
      <c r="AG7" s="522" t="n"/>
      <c r="AH7" s="522" t="n"/>
      <c r="AI7" s="522" t="n"/>
      <c r="AJ7" s="522" t="n"/>
      <c r="AK7" s="522" t="n"/>
      <c r="AL7" s="522" t="n"/>
      <c r="AM7" s="523" t="n"/>
      <c r="AN7" s="156">
        <f>AN9/AN8</f>
        <v/>
      </c>
    </row>
    <row r="8" ht="18" customHeight="1" s="516">
      <c r="F8" s="528" t="n"/>
      <c r="G8" s="530" t="inlineStr">
        <is>
          <t>Equipment Utilization</t>
        </is>
      </c>
      <c r="H8" s="522" t="n"/>
      <c r="I8" s="522" t="n"/>
      <c r="J8" s="522" t="n"/>
      <c r="K8" s="522" t="n"/>
      <c r="L8" s="522" t="n"/>
      <c r="M8" s="522" t="n"/>
      <c r="N8" s="522" t="n"/>
      <c r="O8" s="522" t="n"/>
      <c r="P8" s="522" t="n"/>
      <c r="Q8" s="522" t="n"/>
      <c r="R8" s="522" t="n"/>
      <c r="S8" s="522" t="n"/>
      <c r="T8" s="522" t="n"/>
      <c r="U8" s="523" t="n"/>
      <c r="V8" s="157">
        <f>'Master List'!$G$1</f>
        <v/>
      </c>
      <c r="X8" s="528" t="n"/>
      <c r="Y8" s="530" t="inlineStr">
        <is>
          <t>Equipment Utilization</t>
        </is>
      </c>
      <c r="Z8" s="522" t="n"/>
      <c r="AA8" s="522" t="n"/>
      <c r="AB8" s="522" t="n"/>
      <c r="AC8" s="522" t="n"/>
      <c r="AD8" s="522" t="n"/>
      <c r="AE8" s="522" t="n"/>
      <c r="AF8" s="522" t="n"/>
      <c r="AG8" s="522" t="n"/>
      <c r="AH8" s="522" t="n"/>
      <c r="AI8" s="522" t="n"/>
      <c r="AJ8" s="522" t="n"/>
      <c r="AK8" s="522" t="n"/>
      <c r="AL8" s="522" t="n"/>
      <c r="AM8" s="523" t="n"/>
      <c r="AN8" s="157">
        <f>'Master List'!$G$1</f>
        <v/>
      </c>
    </row>
    <row r="9" ht="18" customHeight="1" s="516">
      <c r="A9" s="35" t="inlineStr">
        <is>
          <t>Cycles/ Hr</t>
        </is>
      </c>
      <c r="B9" s="53">
        <f>SUMPRODUCT(B19:B21,C19:C21)</f>
        <v/>
      </c>
      <c r="C9" s="6" t="n"/>
      <c r="D9" s="6" t="n"/>
      <c r="E9" s="6" t="n"/>
      <c r="F9" s="528" t="n"/>
      <c r="G9" s="530" t="inlineStr">
        <is>
          <t>Cycle Time</t>
        </is>
      </c>
      <c r="H9" s="522" t="n"/>
      <c r="I9" s="522" t="n"/>
      <c r="J9" s="522" t="n"/>
      <c r="K9" s="522" t="n"/>
      <c r="L9" s="522" t="n"/>
      <c r="M9" s="522" t="n"/>
      <c r="N9" s="522" t="n"/>
      <c r="O9" s="522" t="n"/>
      <c r="P9" s="522" t="n"/>
      <c r="Q9" s="522" t="n"/>
      <c r="R9" s="522" t="n"/>
      <c r="S9" s="522" t="n"/>
      <c r="T9" s="522" t="n"/>
      <c r="U9" s="523" t="n"/>
      <c r="V9" s="158">
        <f>SUM(V11:V96)</f>
        <v/>
      </c>
      <c r="X9" s="528" t="n"/>
      <c r="Y9" s="530" t="inlineStr">
        <is>
          <t>Cycle Time</t>
        </is>
      </c>
      <c r="Z9" s="522" t="n"/>
      <c r="AA9" s="522" t="n"/>
      <c r="AB9" s="522" t="n"/>
      <c r="AC9" s="522" t="n"/>
      <c r="AD9" s="522" t="n"/>
      <c r="AE9" s="522" t="n"/>
      <c r="AF9" s="522" t="n"/>
      <c r="AG9" s="522" t="n"/>
      <c r="AH9" s="522" t="n"/>
      <c r="AI9" s="522" t="n"/>
      <c r="AJ9" s="522" t="n"/>
      <c r="AK9" s="522" t="n"/>
      <c r="AL9" s="522" t="n"/>
      <c r="AM9" s="523" t="n"/>
      <c r="AN9" s="158">
        <f>SUM(AN11:AN96)</f>
        <v/>
      </c>
    </row>
    <row r="10" ht="70" customFormat="1" customHeight="1" s="6">
      <c r="A10" s="35" t="inlineStr">
        <is>
          <t>Pallets/ Hr</t>
        </is>
      </c>
      <c r="B10" s="53">
        <f>SUMPRODUCT(C19:C21,D19:D21)</f>
        <v/>
      </c>
      <c r="C10" s="1" t="n"/>
      <c r="D10" s="1" t="n"/>
      <c r="E10" s="1" t="n"/>
      <c r="F10" s="529" t="n"/>
      <c r="G10" s="531" t="inlineStr">
        <is>
          <t>Activity Type</t>
        </is>
      </c>
      <c r="H10" s="159" t="inlineStr">
        <is>
          <t>Steps</t>
        </is>
      </c>
      <c r="I10" s="159" t="inlineStr">
        <is>
          <t>Time to consider in absence of data (sec)</t>
        </is>
      </c>
      <c r="J10" s="159" t="inlineStr">
        <is>
          <t>Speed (m / sec)</t>
        </is>
      </c>
      <c r="K10" s="159" t="inlineStr">
        <is>
          <t>Acceleration (m / sec^2)</t>
        </is>
      </c>
      <c r="L10" s="166" t="inlineStr">
        <is>
          <t>Total Distance (m)</t>
        </is>
      </c>
      <c r="M10" s="159" t="inlineStr">
        <is>
          <t>Time to Reach Max Speed (sec)</t>
        </is>
      </c>
      <c r="N10" s="159" t="inlineStr">
        <is>
          <t>Distance in accerlaration (m)</t>
        </is>
      </c>
      <c r="O10" s="159" t="inlineStr">
        <is>
          <t>Distance in Max speed (m)</t>
        </is>
      </c>
      <c r="P10" s="159" t="inlineStr">
        <is>
          <t>Distance in de-acceleration (m)</t>
        </is>
      </c>
      <c r="Q10" s="159" t="inlineStr">
        <is>
          <t>Time in acceleration (sec)</t>
        </is>
      </c>
      <c r="R10" s="159" t="inlineStr">
        <is>
          <t>Time in full speed (sec)</t>
        </is>
      </c>
      <c r="S10" s="159" t="inlineStr">
        <is>
          <t>Time in de-acceleration (sec)</t>
        </is>
      </c>
      <c r="T10" s="159" t="inlineStr">
        <is>
          <t>Time (sec)</t>
        </is>
      </c>
      <c r="U10" s="159" t="inlineStr">
        <is>
          <t>Units</t>
        </is>
      </c>
      <c r="V10" s="159" t="inlineStr">
        <is>
          <t>Total Time</t>
        </is>
      </c>
      <c r="W10" s="154" t="n"/>
      <c r="X10" s="529" t="n"/>
      <c r="Y10" s="531" t="inlineStr">
        <is>
          <t>Activity Type</t>
        </is>
      </c>
      <c r="Z10" s="159" t="inlineStr">
        <is>
          <t>Steps</t>
        </is>
      </c>
      <c r="AA10" s="159" t="inlineStr">
        <is>
          <t>Time to consider in absence of data (sec)</t>
        </is>
      </c>
      <c r="AB10" s="159" t="inlineStr">
        <is>
          <t>Speed (m / sec)</t>
        </is>
      </c>
      <c r="AC10" s="159" t="inlineStr">
        <is>
          <t>Acceleration (m / sec^2)</t>
        </is>
      </c>
      <c r="AD10" s="166" t="inlineStr">
        <is>
          <t>Total Distance (m)</t>
        </is>
      </c>
      <c r="AE10" s="159" t="inlineStr">
        <is>
          <t>Time to Reach Max Speed (sec)</t>
        </is>
      </c>
      <c r="AF10" s="159" t="inlineStr">
        <is>
          <t>Distance in accerlaration (m)</t>
        </is>
      </c>
      <c r="AG10" s="159" t="inlineStr">
        <is>
          <t>Distance in Max speed (m)</t>
        </is>
      </c>
      <c r="AH10" s="159" t="inlineStr">
        <is>
          <t>Distance in de-acceleration (m)</t>
        </is>
      </c>
      <c r="AI10" s="159" t="inlineStr">
        <is>
          <t>Time in acceleration (sec)</t>
        </is>
      </c>
      <c r="AJ10" s="159" t="inlineStr">
        <is>
          <t>Time in full speed (sec)</t>
        </is>
      </c>
      <c r="AK10" s="159" t="inlineStr">
        <is>
          <t>Time in de-acceleration (sec)</t>
        </is>
      </c>
      <c r="AL10" s="159" t="inlineStr">
        <is>
          <t>Time (sec)</t>
        </is>
      </c>
      <c r="AM10" s="159" t="inlineStr">
        <is>
          <t>Units</t>
        </is>
      </c>
      <c r="AN10" s="159" t="inlineStr">
        <is>
          <t>Total Time</t>
        </is>
      </c>
      <c r="AO10" s="152" t="n"/>
      <c r="AP10" s="69" t="n"/>
      <c r="AQ10" s="69" t="n"/>
      <c r="AR10" s="69" t="n"/>
      <c r="BY10" s="245" t="n"/>
    </row>
    <row r="11" ht="19" customHeight="1" s="516">
      <c r="A11" s="63" t="inlineStr">
        <is>
          <t>Multi Pro required</t>
        </is>
      </c>
      <c r="B11" s="242">
        <f>ROUNDUP(B12/B10,0)</f>
        <v/>
      </c>
      <c r="F11" s="160" t="n">
        <v>1</v>
      </c>
      <c r="G11" s="161" t="inlineStr">
        <is>
          <t>Pallet Chain Conveyor</t>
        </is>
      </c>
      <c r="H11" s="162" t="inlineStr">
        <is>
          <t>Transfer of pallet from buffer conveyor to Multi pro</t>
        </is>
      </c>
      <c r="I11" s="163">
        <f>IFERROR(VLOOKUP(G11,'Master List'!$A:$D,2,0),0)</f>
        <v/>
      </c>
      <c r="J11" s="163">
        <f>IFERROR(VLOOKUP(G11,'Master List'!$A:$D,3,0),0)</f>
        <v/>
      </c>
      <c r="K11" s="163">
        <f>IFERROR(VLOOKUP(G11,'Master List'!$A:$D,4,0),0)</f>
        <v/>
      </c>
      <c r="L11" s="167">
        <f>B16</f>
        <v/>
      </c>
      <c r="M11" s="163">
        <f>IFERROR(J11/K11,0)</f>
        <v/>
      </c>
      <c r="N11" s="163">
        <f>IFERROR(IF(L11&lt;((1/2*K11*M11^2)*2),1/2*K11*SQRT((L11/2)*2/K11)^2,1/2*K11*M11^2),0)</f>
        <v/>
      </c>
      <c r="O11" s="163">
        <f>IFERROR(IF(L11-N11-P11&lt;=0,0,L11-N11-P11),0)</f>
        <v/>
      </c>
      <c r="P11" s="163">
        <f>N11</f>
        <v/>
      </c>
      <c r="Q11" s="163">
        <f>IFERROR(IF(L11&lt;((1/2*K11*M11^2)*2),SQRT((L11/2)*2/K11),M11),0)</f>
        <v/>
      </c>
      <c r="R11" s="163">
        <f>IFERROR(O11/J11,0)</f>
        <v/>
      </c>
      <c r="S11" s="163">
        <f>Q11</f>
        <v/>
      </c>
      <c r="T11" s="164">
        <f>IF(I11&gt;0,I11,SUM(Q11:S11))</f>
        <v/>
      </c>
      <c r="U11" s="163" t="n">
        <v>1</v>
      </c>
      <c r="V11" s="163">
        <f>T11*U11</f>
        <v/>
      </c>
      <c r="X11" s="160" t="n">
        <v>1</v>
      </c>
      <c r="Y11" s="161" t="inlineStr">
        <is>
          <t>Pallet Chain Conveyor</t>
        </is>
      </c>
      <c r="Z11" s="162" t="inlineStr">
        <is>
          <t>Transfer of pallet from buffer conveyor to Multi pro</t>
        </is>
      </c>
      <c r="AA11" s="163">
        <f>IFERROR(VLOOKUP(Y11,'Master List'!$A:$D,2,0),0)</f>
        <v/>
      </c>
      <c r="AB11" s="163">
        <f>IFERROR(VLOOKUP(Y11,'Master List'!$A:$D,3,0),0)</f>
        <v/>
      </c>
      <c r="AC11" s="163">
        <f>IFERROR(VLOOKUP(Y11,'Master List'!$A:$D,4,0),0)</f>
        <v/>
      </c>
      <c r="AD11" s="167">
        <f>B16</f>
        <v/>
      </c>
      <c r="AE11" s="163">
        <f>IFERROR(AB11/AC11,0)</f>
        <v/>
      </c>
      <c r="AF11" s="163">
        <f>IFERROR(IF(AD11&lt;((1/2*AC11*AE11^2)*2),1/2*AC11*SQRT((AD11/2)*2/AC11)^2,1/2*AC11*AE11^2),0)</f>
        <v/>
      </c>
      <c r="AG11" s="163">
        <f>IFERROR(IF(AD11-AF11-AH11&lt;=0,0,AD11-AF11-AH11),0)</f>
        <v/>
      </c>
      <c r="AH11" s="163">
        <f>AF11</f>
        <v/>
      </c>
      <c r="AI11" s="163">
        <f>IFERROR(IF(AD11&lt;((1/2*AC11*AE11^2)*2),SQRT((AD11/2)*2/AC11),AE11),0)</f>
        <v/>
      </c>
      <c r="AJ11" s="163">
        <f>IFERROR(AG11/AB11,0)</f>
        <v/>
      </c>
      <c r="AK11" s="163">
        <f>AI11</f>
        <v/>
      </c>
      <c r="AL11" s="164">
        <f>IF(AA11&gt;0,AA11,SUM(AI11:AK11))</f>
        <v/>
      </c>
      <c r="AM11" s="163" t="n">
        <v>1</v>
      </c>
      <c r="AN11" s="163">
        <f>AL11*AM11</f>
        <v/>
      </c>
    </row>
    <row r="12" ht="38" customHeight="1" s="516">
      <c r="A12" s="63" t="inlineStr">
        <is>
          <t>Throughput Pallets/ Hr (In + Out)</t>
        </is>
      </c>
      <c r="B12" s="65" t="n">
        <v>1000</v>
      </c>
      <c r="E12" s="250" t="n"/>
      <c r="F12" s="160">
        <f>F11+1</f>
        <v/>
      </c>
      <c r="G12" s="161" t="inlineStr">
        <is>
          <t>Multipro Running Loaded/Unloaded</t>
        </is>
      </c>
      <c r="H12" s="162" t="inlineStr">
        <is>
          <t>Multi pro moving to location</t>
        </is>
      </c>
      <c r="I12" s="163">
        <f>IFERROR(VLOOKUP(G12,'Master List'!$A:$D,2,0),0)</f>
        <v/>
      </c>
      <c r="J12" s="163">
        <f>IFERROR(VLOOKUP(G12,'Master List'!$A:$D,3,0),0)</f>
        <v/>
      </c>
      <c r="K12" s="163">
        <f>IFERROR(VLOOKUP(G12,'Master List'!$A:$D,4,0),0)</f>
        <v/>
      </c>
      <c r="L12" s="167">
        <f>B14*50%</f>
        <v/>
      </c>
      <c r="M12" s="163">
        <f>IFERROR(J12/K12,0)</f>
        <v/>
      </c>
      <c r="N12" s="163">
        <f>IFERROR(IF(L12&lt;((1/2*K12*M12^2)*2),1/2*K12*SQRT((L12/2)*2/K12)^2,1/2*K12*M12^2),0)</f>
        <v/>
      </c>
      <c r="O12" s="163">
        <f>IFERROR(IF(L12-N12-P12&lt;=0,0,L12-N12-P12),0)</f>
        <v/>
      </c>
      <c r="P12" s="163">
        <f>N12</f>
        <v/>
      </c>
      <c r="Q12" s="163">
        <f>IFERROR(IF(L12&lt;((1/2*K12*M12^2)*2),SQRT((L12/2)*2/K12),M12),0)</f>
        <v/>
      </c>
      <c r="R12" s="163">
        <f>IFERROR(O12/J12,0)</f>
        <v/>
      </c>
      <c r="S12" s="163">
        <f>Q12</f>
        <v/>
      </c>
      <c r="T12" s="164">
        <f>IF(I12&gt;0,I12,SUM(Q12:S12))</f>
        <v/>
      </c>
      <c r="U12" s="163" t="n">
        <v>1</v>
      </c>
      <c r="V12" s="163">
        <f>T12*U12</f>
        <v/>
      </c>
      <c r="X12" s="160">
        <f>X11+1</f>
        <v/>
      </c>
      <c r="Y12" s="161" t="inlineStr">
        <is>
          <t>Multipro Running Loaded/Unloaded</t>
        </is>
      </c>
      <c r="Z12" s="162" t="inlineStr">
        <is>
          <t>Multi pro moving to location</t>
        </is>
      </c>
      <c r="AA12" s="163">
        <f>IFERROR(VLOOKUP(Y12,'Master List'!$A:$D,2,0),0)</f>
        <v/>
      </c>
      <c r="AB12" s="163">
        <f>IFERROR(VLOOKUP(Y12,'Master List'!$A:$D,3,0),0)</f>
        <v/>
      </c>
      <c r="AC12" s="163">
        <f>IFERROR(VLOOKUP(Y12,'Master List'!$A:$D,4,0),0)</f>
        <v/>
      </c>
      <c r="AD12" s="167">
        <f>B14*50%</f>
        <v/>
      </c>
      <c r="AE12" s="163">
        <f>IFERROR(AB12/AC12,0)</f>
        <v/>
      </c>
      <c r="AF12" s="163">
        <f>IFERROR(IF(AD12&lt;((1/2*AC12*AE12^2)*2),1/2*AC12*SQRT((AD12/2)*2/AC12)^2,1/2*AC12*AE12^2),0)</f>
        <v/>
      </c>
      <c r="AG12" s="163">
        <f>IFERROR(IF(AD12-AF12-AH12&lt;=0,0,AD12-AF12-AH12),0)</f>
        <v/>
      </c>
      <c r="AH12" s="163">
        <f>AF12</f>
        <v/>
      </c>
      <c r="AI12" s="163">
        <f>IFERROR(IF(AD12&lt;((1/2*AC12*AE12^2)*2),SQRT((AD12/2)*2/AC12),AE12),0)</f>
        <v/>
      </c>
      <c r="AJ12" s="163">
        <f>IFERROR(AG12/AB12,0)</f>
        <v/>
      </c>
      <c r="AK12" s="163">
        <f>AI12</f>
        <v/>
      </c>
      <c r="AL12" s="164">
        <f>IF(AA12&gt;0,AA12,SUM(AI12:AK12))</f>
        <v/>
      </c>
      <c r="AM12" s="163" t="n">
        <v>1</v>
      </c>
      <c r="AN12" s="163">
        <f>AL12*AM12</f>
        <v/>
      </c>
    </row>
    <row r="13">
      <c r="F13" s="160">
        <f>F12+1</f>
        <v/>
      </c>
      <c r="G13" s="161" t="inlineStr">
        <is>
          <t>Cruiser lift/ drop time</t>
        </is>
      </c>
      <c r="H13" s="162" t="inlineStr">
        <is>
          <t>Cruiser lifting pallet</t>
        </is>
      </c>
      <c r="I13" s="163">
        <f>IFERROR(VLOOKUP(G13,'Master List'!$A:$D,2,0),0)</f>
        <v/>
      </c>
      <c r="J13" s="163">
        <f>IFERROR(VLOOKUP(G13,'Master List'!$A:$D,3,0),0)</f>
        <v/>
      </c>
      <c r="K13" s="163">
        <f>IFERROR(VLOOKUP(G13,'Master List'!$A:$D,4,0),0)</f>
        <v/>
      </c>
      <c r="L13" s="167" t="n"/>
      <c r="M13" s="163">
        <f>IFERROR(J13/K13,0)</f>
        <v/>
      </c>
      <c r="N13" s="163">
        <f>IFERROR(IF(L13&lt;((1/2*K13*M13^2)*2),1/2*K13*SQRT((L13/2)*2/K13)^2,1/2*K13*M13^2),0)</f>
        <v/>
      </c>
      <c r="O13" s="163">
        <f>IFERROR(IF(L13-N13-P13&lt;=0,0,L13-N13-P13),0)</f>
        <v/>
      </c>
      <c r="P13" s="163">
        <f>N13</f>
        <v/>
      </c>
      <c r="Q13" s="163">
        <f>IFERROR(IF(L13&lt;((1/2*K13*M13^2)*2),SQRT((L13/2)*2/K13),M13),0)</f>
        <v/>
      </c>
      <c r="R13" s="163">
        <f>IFERROR(O13/J13,0)</f>
        <v/>
      </c>
      <c r="S13" s="163">
        <f>Q13</f>
        <v/>
      </c>
      <c r="T13" s="164">
        <f>IF(I13&gt;0,I13,SUM(Q13:S13))</f>
        <v/>
      </c>
      <c r="U13" s="163" t="n">
        <v>1</v>
      </c>
      <c r="V13" s="163">
        <f>T13*U13</f>
        <v/>
      </c>
      <c r="X13" s="160">
        <f>X12+1</f>
        <v/>
      </c>
      <c r="Y13" s="161" t="inlineStr">
        <is>
          <t>Cruiser lift/ drop time</t>
        </is>
      </c>
      <c r="Z13" s="162" t="inlineStr">
        <is>
          <t>Cruiser lifting pallet</t>
        </is>
      </c>
      <c r="AA13" s="163">
        <f>IFERROR(VLOOKUP(Y13,'Master List'!$A:$D,2,0),0)</f>
        <v/>
      </c>
      <c r="AB13" s="163">
        <f>IFERROR(VLOOKUP(Y13,'Master List'!$A:$D,3,0),0)</f>
        <v/>
      </c>
      <c r="AC13" s="163">
        <f>IFERROR(VLOOKUP(Y13,'Master List'!$A:$D,4,0),0)</f>
        <v/>
      </c>
      <c r="AD13" s="167" t="n"/>
      <c r="AE13" s="163">
        <f>IFERROR(AB13/AC13,0)</f>
        <v/>
      </c>
      <c r="AF13" s="163">
        <f>IFERROR(IF(AD13&lt;((1/2*AC13*AE13^2)*2),1/2*AC13*SQRT((AD13/2)*2/AC13)^2,1/2*AC13*AE13^2),0)</f>
        <v/>
      </c>
      <c r="AG13" s="163">
        <f>IFERROR(IF(AD13-AF13-AH13&lt;=0,0,AD13-AF13-AH13),0)</f>
        <v/>
      </c>
      <c r="AH13" s="163">
        <f>AF13</f>
        <v/>
      </c>
      <c r="AI13" s="163">
        <f>IFERROR(IF(AD13&lt;((1/2*AC13*AE13^2)*2),SQRT((AD13/2)*2/AC13),AE13),0)</f>
        <v/>
      </c>
      <c r="AJ13" s="163">
        <f>IFERROR(AG13/AB13,0)</f>
        <v/>
      </c>
      <c r="AK13" s="163">
        <f>AI13</f>
        <v/>
      </c>
      <c r="AL13" s="164">
        <f>IF(AA13&gt;0,AA13,SUM(AI13:AK13))</f>
        <v/>
      </c>
      <c r="AM13" s="163" t="n">
        <v>1</v>
      </c>
      <c r="AN13" s="163">
        <f>AL13*AM13</f>
        <v/>
      </c>
    </row>
    <row r="14">
      <c r="A14" s="33" t="inlineStr">
        <is>
          <t>Aisle length max m (Mother)</t>
        </is>
      </c>
      <c r="B14" s="26" t="n">
        <v>60.9</v>
      </c>
      <c r="C14" s="1" t="inlineStr">
        <is>
          <t>Max length travelled by multi pro in a level in meters</t>
        </is>
      </c>
      <c r="F14" s="160">
        <f>F13+1</f>
        <v/>
      </c>
      <c r="G14" s="161" t="inlineStr">
        <is>
          <t>Cruiser Running loaded</t>
        </is>
      </c>
      <c r="H14" s="162" t="inlineStr">
        <is>
          <t>Cruiser moves to rack depth</t>
        </is>
      </c>
      <c r="I14" s="163">
        <f>IFERROR(VLOOKUP(G14,'Master List'!$A:$D,2,0),0)</f>
        <v/>
      </c>
      <c r="J14" s="163">
        <f>IFERROR(VLOOKUP(G14,'Master List'!$A:$D,3,0),0)</f>
        <v/>
      </c>
      <c r="K14" s="163">
        <f>IFERROR(VLOOKUP(G14,'Master List'!$A:$D,4,0),0)</f>
        <v/>
      </c>
      <c r="L14" s="167">
        <f>B23</f>
        <v/>
      </c>
      <c r="M14" s="163">
        <f>IFERROR(J14/K14,0)</f>
        <v/>
      </c>
      <c r="N14" s="163">
        <f>IFERROR(IF(L14&lt;((1/2*K14*M14^2)*2),1/2*K14*SQRT((L14/2)*2/K14)^2,1/2*K14*M14^2),0)</f>
        <v/>
      </c>
      <c r="O14" s="163">
        <f>IFERROR(IF(L14-N14-P14&lt;=0,0,L14-N14-P14),0)</f>
        <v/>
      </c>
      <c r="P14" s="163">
        <f>N14</f>
        <v/>
      </c>
      <c r="Q14" s="163">
        <f>IFERROR(IF(L14&lt;((1/2*K14*M14^2)*2),SQRT((L14/2)*2/K14),M14),0)</f>
        <v/>
      </c>
      <c r="R14" s="163">
        <f>IFERROR(O14/J14,0)</f>
        <v/>
      </c>
      <c r="S14" s="163">
        <f>Q14</f>
        <v/>
      </c>
      <c r="T14" s="164">
        <f>IF(I14&gt;0,I14,SUM(Q14:S14))</f>
        <v/>
      </c>
      <c r="U14" s="163" t="n">
        <v>1</v>
      </c>
      <c r="V14" s="163">
        <f>T14*U14</f>
        <v/>
      </c>
      <c r="X14" s="160">
        <f>X13+1</f>
        <v/>
      </c>
      <c r="Y14" s="161" t="inlineStr">
        <is>
          <t>Cruiser Running loaded</t>
        </is>
      </c>
      <c r="Z14" s="162" t="inlineStr">
        <is>
          <t>Cruiser moves to rack depth</t>
        </is>
      </c>
      <c r="AA14" s="163">
        <f>IFERROR(VLOOKUP(Y14,'Master List'!$A:$D,2,0),0)</f>
        <v/>
      </c>
      <c r="AB14" s="163">
        <f>IFERROR(VLOOKUP(Y14,'Master List'!$A:$D,3,0),0)</f>
        <v/>
      </c>
      <c r="AC14" s="163">
        <f>IFERROR(VLOOKUP(Y14,'Master List'!$A:$D,4,0),0)</f>
        <v/>
      </c>
      <c r="AD14" s="167">
        <f>B23</f>
        <v/>
      </c>
      <c r="AE14" s="163">
        <f>IFERROR(AB14/AC14,0)</f>
        <v/>
      </c>
      <c r="AF14" s="163">
        <f>IFERROR(IF(AD14&lt;((1/2*AC14*AE14^2)*2),1/2*AC14*SQRT((AD14/2)*2/AC14)^2,1/2*AC14*AE14^2),0)</f>
        <v/>
      </c>
      <c r="AG14" s="163">
        <f>IFERROR(IF(AD14-AF14-AH14&lt;=0,0,AD14-AF14-AH14),0)</f>
        <v/>
      </c>
      <c r="AH14" s="163">
        <f>AF14</f>
        <v/>
      </c>
      <c r="AI14" s="163">
        <f>IFERROR(IF(AD14&lt;((1/2*AC14*AE14^2)*2),SQRT((AD14/2)*2/AC14),AE14),0)</f>
        <v/>
      </c>
      <c r="AJ14" s="163">
        <f>IFERROR(AG14/AB14,0)</f>
        <v/>
      </c>
      <c r="AK14" s="163">
        <f>AI14</f>
        <v/>
      </c>
      <c r="AL14" s="164">
        <f>IF(AA14&gt;0,AA14,SUM(AI14:AK14))</f>
        <v/>
      </c>
      <c r="AM14" s="163" t="n">
        <v>1</v>
      </c>
      <c r="AN14" s="163">
        <f>AL14*AM14</f>
        <v/>
      </c>
    </row>
    <row r="15">
      <c r="A15" s="33" t="inlineStr">
        <is>
          <t>Travel depth max m (Child)</t>
        </is>
      </c>
      <c r="B15" s="26" t="n">
        <v>11</v>
      </c>
      <c r="C15" s="1" t="inlineStr">
        <is>
          <t>Max length travelled by cruiser in rack depth</t>
        </is>
      </c>
      <c r="F15" s="160">
        <f>F14+1</f>
        <v/>
      </c>
      <c r="G15" s="161" t="inlineStr">
        <is>
          <t>Cruiser lift/ drop time</t>
        </is>
      </c>
      <c r="H15" s="162" t="inlineStr">
        <is>
          <t>Cruiser drops pallet</t>
        </is>
      </c>
      <c r="I15" s="163">
        <f>IFERROR(VLOOKUP(G15,'Master List'!$A:$D,2,0),0)</f>
        <v/>
      </c>
      <c r="J15" s="163">
        <f>IFERROR(VLOOKUP(G15,'Master List'!$A:$D,3,0),0)</f>
        <v/>
      </c>
      <c r="K15" s="163">
        <f>IFERROR(VLOOKUP(G15,'Master List'!$A:$D,4,0),0)</f>
        <v/>
      </c>
      <c r="L15" s="167" t="n"/>
      <c r="M15" s="163">
        <f>IFERROR(J15/K15,0)</f>
        <v/>
      </c>
      <c r="N15" s="163">
        <f>IFERROR(IF(L15&lt;((1/2*K15*M15^2)*2),1/2*K15*SQRT((L15/2)*2/K15)^2,1/2*K15*M15^2),0)</f>
        <v/>
      </c>
      <c r="O15" s="163">
        <f>IFERROR(IF(L15-N15-P15&lt;=0,0,L15-N15-P15),0)</f>
        <v/>
      </c>
      <c r="P15" s="163">
        <f>N15</f>
        <v/>
      </c>
      <c r="Q15" s="163">
        <f>IFERROR(IF(L15&lt;((1/2*K15*M15^2)*2),SQRT((L15/2)*2/K15),M15),0)</f>
        <v/>
      </c>
      <c r="R15" s="163">
        <f>IFERROR(O15/J15,0)</f>
        <v/>
      </c>
      <c r="S15" s="163">
        <f>Q15</f>
        <v/>
      </c>
      <c r="T15" s="164">
        <f>IF(I15&gt;0,I15,SUM(Q15:S15))</f>
        <v/>
      </c>
      <c r="U15" s="163" t="n">
        <v>1</v>
      </c>
      <c r="V15" s="163">
        <f>T15*U15</f>
        <v/>
      </c>
      <c r="X15" s="160">
        <f>X14+1</f>
        <v/>
      </c>
      <c r="Y15" s="161" t="inlineStr">
        <is>
          <t>Cruiser lift/ drop time</t>
        </is>
      </c>
      <c r="Z15" s="162" t="inlineStr">
        <is>
          <t>Cruiser drops pallet</t>
        </is>
      </c>
      <c r="AA15" s="163">
        <f>IFERROR(VLOOKUP(Y15,'Master List'!$A:$D,2,0),0)</f>
        <v/>
      </c>
      <c r="AB15" s="163">
        <f>IFERROR(VLOOKUP(Y15,'Master List'!$A:$D,3,0),0)</f>
        <v/>
      </c>
      <c r="AC15" s="163">
        <f>IFERROR(VLOOKUP(Y15,'Master List'!$A:$D,4,0),0)</f>
        <v/>
      </c>
      <c r="AD15" s="167" t="n"/>
      <c r="AE15" s="163">
        <f>IFERROR(AB15/AC15,0)</f>
        <v/>
      </c>
      <c r="AF15" s="163">
        <f>IFERROR(IF(AD15&lt;((1/2*AC15*AE15^2)*2),1/2*AC15*SQRT((AD15/2)*2/AC15)^2,1/2*AC15*AE15^2),0)</f>
        <v/>
      </c>
      <c r="AG15" s="163">
        <f>IFERROR(IF(AD15-AF15-AH15&lt;=0,0,AD15-AF15-AH15),0)</f>
        <v/>
      </c>
      <c r="AH15" s="163">
        <f>AF15</f>
        <v/>
      </c>
      <c r="AI15" s="163">
        <f>IFERROR(IF(AD15&lt;((1/2*AC15*AE15^2)*2),SQRT((AD15/2)*2/AC15),AE15),0)</f>
        <v/>
      </c>
      <c r="AJ15" s="163">
        <f>IFERROR(AG15/AB15,0)</f>
        <v/>
      </c>
      <c r="AK15" s="163">
        <f>AI15</f>
        <v/>
      </c>
      <c r="AL15" s="164">
        <f>IF(AA15&gt;0,AA15,SUM(AI15:AK15))</f>
        <v/>
      </c>
      <c r="AM15" s="163" t="n">
        <v>1</v>
      </c>
      <c r="AN15" s="163">
        <f>AL15*AM15</f>
        <v/>
      </c>
    </row>
    <row r="16">
      <c r="A16" s="33" t="inlineStr">
        <is>
          <t>Pallet depth m</t>
        </is>
      </c>
      <c r="B16" s="26" t="n">
        <v>1.2</v>
      </c>
      <c r="C16" s="1" t="inlineStr">
        <is>
          <t>Lead side on multi pro travel direction</t>
        </is>
      </c>
      <c r="F16" s="160">
        <f>F15+1</f>
        <v/>
      </c>
      <c r="G16" s="161" t="inlineStr">
        <is>
          <t>Cruiser Running Unloaded</t>
        </is>
      </c>
      <c r="H16" s="162" t="inlineStr">
        <is>
          <t>Cruiser comes back to multi pro</t>
        </is>
      </c>
      <c r="I16" s="163">
        <f>IFERROR(VLOOKUP(G16,'Master List'!$A:$D,2,0),0)</f>
        <v/>
      </c>
      <c r="J16" s="163">
        <f>IFERROR(VLOOKUP(G16,'Master List'!$A:$D,3,0),0)</f>
        <v/>
      </c>
      <c r="K16" s="163">
        <f>IFERROR(VLOOKUP(G16,'Master List'!$A:$D,4,0),0)</f>
        <v/>
      </c>
      <c r="L16" s="167">
        <f>B23</f>
        <v/>
      </c>
      <c r="M16" s="163">
        <f>IFERROR(J16/K16,0)</f>
        <v/>
      </c>
      <c r="N16" s="163">
        <f>IFERROR(IF(L16&lt;((1/2*K16*M16^2)*2),1/2*K16*SQRT((L16/2)*2/K16)^2,1/2*K16*M16^2),0)</f>
        <v/>
      </c>
      <c r="O16" s="163">
        <f>IFERROR(IF(L16-N16-P16&lt;=0,0,L16-N16-P16),0)</f>
        <v/>
      </c>
      <c r="P16" s="163">
        <f>N16</f>
        <v/>
      </c>
      <c r="Q16" s="163">
        <f>IFERROR(IF(L16&lt;((1/2*K16*M16^2)*2),SQRT((L16/2)*2/K16),M16),0)</f>
        <v/>
      </c>
      <c r="R16" s="163">
        <f>IFERROR(O16/J16,0)</f>
        <v/>
      </c>
      <c r="S16" s="163">
        <f>Q16</f>
        <v/>
      </c>
      <c r="T16" s="164">
        <f>IF(I16&gt;0,I16,SUM(Q16:S16))</f>
        <v/>
      </c>
      <c r="U16" s="163" t="n">
        <v>1</v>
      </c>
      <c r="V16" s="163">
        <f>T16*U16</f>
        <v/>
      </c>
      <c r="X16" s="160">
        <f>X15+1</f>
        <v/>
      </c>
      <c r="Y16" s="161" t="inlineStr">
        <is>
          <t>Cruiser Running Unloaded</t>
        </is>
      </c>
      <c r="Z16" s="162" t="inlineStr">
        <is>
          <t>Cruiser comes back to multi pro</t>
        </is>
      </c>
      <c r="AA16" s="163">
        <f>IFERROR(VLOOKUP(Y16,'Master List'!$A:$D,2,0),0)</f>
        <v/>
      </c>
      <c r="AB16" s="163">
        <f>IFERROR(VLOOKUP(Y16,'Master List'!$A:$D,3,0),0)</f>
        <v/>
      </c>
      <c r="AC16" s="163">
        <f>IFERROR(VLOOKUP(Y16,'Master List'!$A:$D,4,0),0)</f>
        <v/>
      </c>
      <c r="AD16" s="167">
        <f>AD14</f>
        <v/>
      </c>
      <c r="AE16" s="163">
        <f>IFERROR(AB16/AC16,0)</f>
        <v/>
      </c>
      <c r="AF16" s="163">
        <f>IFERROR(IF(AD16&lt;((1/2*AC16*AE16^2)*2),1/2*AC16*SQRT((AD16/2)*2/AC16)^2,1/2*AC16*AE16^2),0)</f>
        <v/>
      </c>
      <c r="AG16" s="163">
        <f>IFERROR(IF(AD16-AF16-AH16&lt;=0,0,AD16-AF16-AH16),0)</f>
        <v/>
      </c>
      <c r="AH16" s="163">
        <f>AF16</f>
        <v/>
      </c>
      <c r="AI16" s="163">
        <f>IFERROR(IF(AD16&lt;((1/2*AC16*AE16^2)*2),SQRT((AD16/2)*2/AC16),AE16),0)</f>
        <v/>
      </c>
      <c r="AJ16" s="163">
        <f>IFERROR(AG16/AB16,0)</f>
        <v/>
      </c>
      <c r="AK16" s="163">
        <f>AI16</f>
        <v/>
      </c>
      <c r="AL16" s="164">
        <f>IF(AA16&gt;0,AA16,SUM(AI16:AK16))</f>
        <v/>
      </c>
      <c r="AM16" s="163" t="n">
        <v>1</v>
      </c>
      <c r="AN16" s="163">
        <f>AL16*AM16</f>
        <v/>
      </c>
    </row>
    <row r="17">
      <c r="F17" s="160">
        <f>F16+1</f>
        <v/>
      </c>
      <c r="G17" s="161" t="inlineStr">
        <is>
          <t>Multipro Running Loaded/Unloaded</t>
        </is>
      </c>
      <c r="H17" s="162" t="inlineStr">
        <is>
          <t>Multi Pro moving next location to pick a pallet</t>
        </is>
      </c>
      <c r="I17" s="163">
        <f>IFERROR(VLOOKUP(G17,'Master List'!$A:$D,2,0),0)</f>
        <v/>
      </c>
      <c r="J17" s="163">
        <f>IFERROR(VLOOKUP(G17,'Master List'!$A:$D,3,0),0)</f>
        <v/>
      </c>
      <c r="K17" s="163">
        <f>IFERROR(VLOOKUP(G17,'Master List'!$A:$D,4,0),0)</f>
        <v/>
      </c>
      <c r="L17" s="167">
        <f>B22</f>
        <v/>
      </c>
      <c r="M17" s="163">
        <f>IFERROR(J17/K17,0)</f>
        <v/>
      </c>
      <c r="N17" s="163">
        <f>IFERROR(IF(L17&lt;((1/2*K17*M17^2)*2),1/2*K17*SQRT((L17/2)*2/K17)^2,1/2*K17*M17^2),0)</f>
        <v/>
      </c>
      <c r="O17" s="163">
        <f>IFERROR(IF(L17-N17-P17&lt;=0,0,L17-N17-P17),0)</f>
        <v/>
      </c>
      <c r="P17" s="163">
        <f>N17</f>
        <v/>
      </c>
      <c r="Q17" s="163">
        <f>IFERROR(IF(L17&lt;((1/2*K17*M17^2)*2),SQRT((L17/2)*2/K17),M17),0)</f>
        <v/>
      </c>
      <c r="R17" s="163">
        <f>IFERROR(O17/J17,0)</f>
        <v/>
      </c>
      <c r="S17" s="163">
        <f>Q17</f>
        <v/>
      </c>
      <c r="T17" s="164">
        <f>IF(I17&gt;0,I17,SUM(Q17:S17))</f>
        <v/>
      </c>
      <c r="U17" s="163" t="n">
        <v>1</v>
      </c>
      <c r="V17" s="163">
        <f>T17*U17</f>
        <v/>
      </c>
      <c r="X17" s="160">
        <f>X16+1</f>
        <v/>
      </c>
      <c r="Y17" s="161" t="n"/>
      <c r="Z17" s="162" t="n"/>
      <c r="AA17" s="163">
        <f>IFERROR(VLOOKUP(Y17,'Master List'!$A:$D,2,0),0)</f>
        <v/>
      </c>
      <c r="AB17" s="163">
        <f>IFERROR(VLOOKUP(Y17,'Master List'!$A:$D,3,0),0)</f>
        <v/>
      </c>
      <c r="AC17" s="163">
        <f>IFERROR(VLOOKUP(Y17,'Master List'!$A:$D,4,0),0)</f>
        <v/>
      </c>
      <c r="AD17" s="167" t="n">
        <v>0</v>
      </c>
      <c r="AE17" s="163">
        <f>IFERROR(AB17/AC17,0)</f>
        <v/>
      </c>
      <c r="AF17" s="163">
        <f>IFERROR(IF(AD17&lt;((1/2*AC17*AE17^2)*2),1/2*AC17*SQRT((AD17/2)*2/AC17)^2,1/2*AC17*AE17^2),0)</f>
        <v/>
      </c>
      <c r="AG17" s="163">
        <f>IFERROR(IF(AD17-AF17-AH17&lt;=0,0,AD17-AF17-AH17),0)</f>
        <v/>
      </c>
      <c r="AH17" s="163">
        <f>AF17</f>
        <v/>
      </c>
      <c r="AI17" s="163">
        <f>IFERROR(IF(AD17&lt;((1/2*AC17*AE17^2)*2),SQRT((AD17/2)*2/AC17),AE17),0)</f>
        <v/>
      </c>
      <c r="AJ17" s="163">
        <f>IFERROR(AG17/AB17,0)</f>
        <v/>
      </c>
      <c r="AK17" s="163">
        <f>AI17</f>
        <v/>
      </c>
      <c r="AL17" s="164">
        <f>IF(AA17&gt;0,AA17,SUM(AI17:AK17))</f>
        <v/>
      </c>
      <c r="AM17" s="163" t="n">
        <v>0</v>
      </c>
      <c r="AN17" s="163">
        <f>AL17*AM17</f>
        <v/>
      </c>
    </row>
    <row r="18">
      <c r="A18" s="33" t="n"/>
      <c r="B18" s="34" t="inlineStr">
        <is>
          <t>Cycles/ Hr</t>
        </is>
      </c>
      <c r="C18" s="34" t="inlineStr">
        <is>
          <t>Weightage</t>
        </is>
      </c>
      <c r="D18" s="34" t="inlineStr">
        <is>
          <t>Pallets/ Hr</t>
        </is>
      </c>
      <c r="F18" s="160">
        <f>F17+1</f>
        <v/>
      </c>
      <c r="G18" s="161" t="inlineStr">
        <is>
          <t>Cruiser Running Unloaded</t>
        </is>
      </c>
      <c r="H18" s="162" t="inlineStr">
        <is>
          <t>Cruiser moves in rack depth to pick pallet</t>
        </is>
      </c>
      <c r="I18" s="163">
        <f>IFERROR(VLOOKUP(G18,'Master List'!$A:$D,2,0),0)</f>
        <v/>
      </c>
      <c r="J18" s="163">
        <f>IFERROR(VLOOKUP(G18,'Master List'!$A:$D,3,0),0)</f>
        <v/>
      </c>
      <c r="K18" s="163">
        <f>IFERROR(VLOOKUP(G18,'Master List'!$A:$D,4,0),0)</f>
        <v/>
      </c>
      <c r="L18" s="167">
        <f>L14</f>
        <v/>
      </c>
      <c r="M18" s="163">
        <f>IFERROR(J18/K18,0)</f>
        <v/>
      </c>
      <c r="N18" s="163">
        <f>IFERROR(IF(L18&lt;((1/2*K18*M18^2)*2),1/2*K18*SQRT((L18/2)*2/K18)^2,1/2*K18*M18^2),0)</f>
        <v/>
      </c>
      <c r="O18" s="163">
        <f>IFERROR(IF(L18-N18-P18&lt;=0,0,L18-N18-P18),0)</f>
        <v/>
      </c>
      <c r="P18" s="163">
        <f>N18</f>
        <v/>
      </c>
      <c r="Q18" s="163">
        <f>IFERROR(IF(L18&lt;((1/2*K18*M18^2)*2),SQRT((L18/2)*2/K18),M18),0)</f>
        <v/>
      </c>
      <c r="R18" s="163">
        <f>IFERROR(O18/J18,0)</f>
        <v/>
      </c>
      <c r="S18" s="163">
        <f>Q18</f>
        <v/>
      </c>
      <c r="T18" s="164">
        <f>IF(I18&gt;0,I18,SUM(Q18:S18))</f>
        <v/>
      </c>
      <c r="U18" s="163" t="n">
        <v>1</v>
      </c>
      <c r="V18" s="163">
        <f>T18*U18</f>
        <v/>
      </c>
      <c r="X18" s="160">
        <f>X17+1</f>
        <v/>
      </c>
      <c r="Y18" s="161" t="n"/>
      <c r="Z18" s="162" t="n"/>
      <c r="AA18" s="163">
        <f>IFERROR(VLOOKUP(Y18,'Master List'!$A:$D,2,0),0)</f>
        <v/>
      </c>
      <c r="AB18" s="163">
        <f>IFERROR(VLOOKUP(Y18,'Master List'!$A:$D,3,0),0)</f>
        <v/>
      </c>
      <c r="AC18" s="163">
        <f>IFERROR(VLOOKUP(Y18,'Master List'!$A:$D,4,0),0)</f>
        <v/>
      </c>
      <c r="AD18" s="167" t="n">
        <v>0</v>
      </c>
      <c r="AE18" s="163">
        <f>IFERROR(AB18/AC18,0)</f>
        <v/>
      </c>
      <c r="AF18" s="163">
        <f>IFERROR(IF(AD18&lt;((1/2*AC18*AE18^2)*2),1/2*AC18*SQRT((AD18/2)*2/AC18)^2,1/2*AC18*AE18^2),0)</f>
        <v/>
      </c>
      <c r="AG18" s="163">
        <f>IFERROR(IF(AD18-AF18-AH18&lt;=0,0,AD18-AF18-AH18),0)</f>
        <v/>
      </c>
      <c r="AH18" s="163">
        <f>AF18</f>
        <v/>
      </c>
      <c r="AI18" s="163">
        <f>IFERROR(IF(AD18&lt;((1/2*AC18*AE18^2)*2),SQRT((AD18/2)*2/AC18),AE18),0)</f>
        <v/>
      </c>
      <c r="AJ18" s="163">
        <f>IFERROR(AG18/AB18,0)</f>
        <v/>
      </c>
      <c r="AK18" s="163">
        <f>AI18</f>
        <v/>
      </c>
      <c r="AL18" s="164">
        <f>IF(AA18&gt;0,AA18,SUM(AI18:AK18))</f>
        <v/>
      </c>
      <c r="AM18" s="163" t="n">
        <v>0</v>
      </c>
      <c r="AN18" s="163">
        <f>AL18*AM18</f>
        <v/>
      </c>
    </row>
    <row r="19">
      <c r="A19" s="33" t="inlineStr">
        <is>
          <t>Combined cycle</t>
        </is>
      </c>
      <c r="B19" s="43">
        <f>V6</f>
        <v/>
      </c>
      <c r="C19" s="36" t="n">
        <v>0.3</v>
      </c>
      <c r="D19" s="43">
        <f>B19*2</f>
        <v/>
      </c>
      <c r="F19" s="160">
        <f>F18+1</f>
        <v/>
      </c>
      <c r="G19" s="161" t="inlineStr">
        <is>
          <t>Cruiser lift/ drop time</t>
        </is>
      </c>
      <c r="H19" s="162" t="inlineStr">
        <is>
          <t>Cruiser lifts pallet</t>
        </is>
      </c>
      <c r="I19" s="163">
        <f>IFERROR(VLOOKUP(G19,'Master List'!$A:$D,2,0),0)</f>
        <v/>
      </c>
      <c r="J19" s="163">
        <f>IFERROR(VLOOKUP(G19,'Master List'!$A:$D,3,0),0)</f>
        <v/>
      </c>
      <c r="K19" s="163">
        <f>IFERROR(VLOOKUP(G19,'Master List'!$A:$D,4,0),0)</f>
        <v/>
      </c>
      <c r="L19" s="167" t="n"/>
      <c r="M19" s="163">
        <f>IFERROR(J19/K19,0)</f>
        <v/>
      </c>
      <c r="N19" s="163">
        <f>IFERROR(IF(L19&lt;((1/2*K19*M19^2)*2),1/2*K19*SQRT((L19/2)*2/K19)^2,1/2*K19*M19^2),0)</f>
        <v/>
      </c>
      <c r="O19" s="163">
        <f>IFERROR(IF(L19-N19-P19&lt;=0,0,L19-N19-P19),0)</f>
        <v/>
      </c>
      <c r="P19" s="163">
        <f>N19</f>
        <v/>
      </c>
      <c r="Q19" s="163">
        <f>IFERROR(IF(L19&lt;((1/2*K19*M19^2)*2),SQRT((L19/2)*2/K19),M19),0)</f>
        <v/>
      </c>
      <c r="R19" s="163">
        <f>IFERROR(O19/J19,0)</f>
        <v/>
      </c>
      <c r="S19" s="163">
        <f>Q19</f>
        <v/>
      </c>
      <c r="T19" s="164">
        <f>IF(I19&gt;0,I19,SUM(Q19:S19))</f>
        <v/>
      </c>
      <c r="U19" s="163" t="n">
        <v>1</v>
      </c>
      <c r="V19" s="163">
        <f>T19*U19</f>
        <v/>
      </c>
      <c r="X19" s="160">
        <f>X18+1</f>
        <v/>
      </c>
      <c r="Y19" s="161" t="n"/>
      <c r="Z19" s="162" t="n"/>
      <c r="AA19" s="163">
        <f>IFERROR(VLOOKUP(Y19,'Master List'!$A:$D,2,0),0)</f>
        <v/>
      </c>
      <c r="AB19" s="163">
        <f>IFERROR(VLOOKUP(Y19,'Master List'!$A:$D,3,0),0)</f>
        <v/>
      </c>
      <c r="AC19" s="163">
        <f>IFERROR(VLOOKUP(Y19,'Master List'!$A:$D,4,0),0)</f>
        <v/>
      </c>
      <c r="AD19" s="167" t="n"/>
      <c r="AE19" s="163">
        <f>IFERROR(AB19/AC19,0)</f>
        <v/>
      </c>
      <c r="AF19" s="163">
        <f>IFERROR(IF(AD19&lt;((1/2*AC19*AE19^2)*2),1/2*AC19*SQRT((AD19/2)*2/AC19)^2,1/2*AC19*AE19^2),0)</f>
        <v/>
      </c>
      <c r="AG19" s="163">
        <f>IFERROR(IF(AD19-AF19-AH19&lt;=0,0,AD19-AF19-AH19),0)</f>
        <v/>
      </c>
      <c r="AH19" s="163">
        <f>AF19</f>
        <v/>
      </c>
      <c r="AI19" s="163">
        <f>IFERROR(IF(AD19&lt;((1/2*AC19*AE19^2)*2),SQRT((AD19/2)*2/AC19),AE19),0)</f>
        <v/>
      </c>
      <c r="AJ19" s="163">
        <f>IFERROR(AG19/AB19,0)</f>
        <v/>
      </c>
      <c r="AK19" s="163">
        <f>AI19</f>
        <v/>
      </c>
      <c r="AL19" s="164">
        <f>IF(AA19&gt;0,AA19,SUM(AI19:AK19))</f>
        <v/>
      </c>
      <c r="AM19" s="163" t="n">
        <v>0</v>
      </c>
      <c r="AN19" s="163">
        <f>AL19*AM19</f>
        <v/>
      </c>
    </row>
    <row r="20">
      <c r="A20" s="33" t="inlineStr">
        <is>
          <t>Single cycle</t>
        </is>
      </c>
      <c r="B20" s="43">
        <f>AN6</f>
        <v/>
      </c>
      <c r="C20" s="36" t="n">
        <v>0.7</v>
      </c>
      <c r="D20" s="43">
        <f>B20*1</f>
        <v/>
      </c>
      <c r="F20" s="160">
        <f>F19+1</f>
        <v/>
      </c>
      <c r="G20" s="161" t="inlineStr">
        <is>
          <t>Cruiser Running loaded</t>
        </is>
      </c>
      <c r="H20" s="162" t="inlineStr">
        <is>
          <t>Cruiser moves back to Multi pro with loaded pallet</t>
        </is>
      </c>
      <c r="I20" s="163">
        <f>IFERROR(VLOOKUP(G20,'Master List'!$A:$D,2,0),0)</f>
        <v/>
      </c>
      <c r="J20" s="163">
        <f>IFERROR(VLOOKUP(G20,'Master List'!$A:$D,3,0),0)</f>
        <v/>
      </c>
      <c r="K20" s="163">
        <f>IFERROR(VLOOKUP(G20,'Master List'!$A:$D,4,0),0)</f>
        <v/>
      </c>
      <c r="L20" s="167">
        <f>L18</f>
        <v/>
      </c>
      <c r="M20" s="163">
        <f>IFERROR(J20/K20,0)</f>
        <v/>
      </c>
      <c r="N20" s="163">
        <f>IFERROR(IF(L20&lt;((1/2*K20*M20^2)*2),1/2*K20*SQRT((L20/2)*2/K20)^2,1/2*K20*M20^2),0)</f>
        <v/>
      </c>
      <c r="O20" s="163">
        <f>IFERROR(IF(L20-N20-P20&lt;=0,0,L20-N20-P20),0)</f>
        <v/>
      </c>
      <c r="P20" s="163">
        <f>N20</f>
        <v/>
      </c>
      <c r="Q20" s="163">
        <f>IFERROR(IF(L20&lt;((1/2*K20*M20^2)*2),SQRT((L20/2)*2/K20),M20),0)</f>
        <v/>
      </c>
      <c r="R20" s="163">
        <f>IFERROR(O20/J20,0)</f>
        <v/>
      </c>
      <c r="S20" s="163">
        <f>Q20</f>
        <v/>
      </c>
      <c r="T20" s="164">
        <f>IF(I20&gt;0,I20,SUM(Q20:S20))</f>
        <v/>
      </c>
      <c r="U20" s="163" t="n">
        <v>1</v>
      </c>
      <c r="V20" s="163">
        <f>T20*U20</f>
        <v/>
      </c>
      <c r="X20" s="160">
        <f>X19+1</f>
        <v/>
      </c>
      <c r="Y20" s="161" t="n"/>
      <c r="Z20" s="162" t="n"/>
      <c r="AA20" s="163">
        <f>IFERROR(VLOOKUP(Y20,'Master List'!$A:$D,2,0),0)</f>
        <v/>
      </c>
      <c r="AB20" s="163">
        <f>IFERROR(VLOOKUP(Y20,'Master List'!$A:$D,3,0),0)</f>
        <v/>
      </c>
      <c r="AC20" s="163">
        <f>IFERROR(VLOOKUP(Y20,'Master List'!$A:$D,4,0),0)</f>
        <v/>
      </c>
      <c r="AD20" s="167">
        <f>AD18</f>
        <v/>
      </c>
      <c r="AE20" s="163">
        <f>IFERROR(AB20/AC20,0)</f>
        <v/>
      </c>
      <c r="AF20" s="163">
        <f>IFERROR(IF(AD20&lt;((1/2*AC20*AE20^2)*2),1/2*AC20*SQRT((AD20/2)*2/AC20)^2,1/2*AC20*AE20^2),0)</f>
        <v/>
      </c>
      <c r="AG20" s="163">
        <f>IFERROR(IF(AD20-AF20-AH20&lt;=0,0,AD20-AF20-AH20),0)</f>
        <v/>
      </c>
      <c r="AH20" s="163">
        <f>AF20</f>
        <v/>
      </c>
      <c r="AI20" s="163">
        <f>IFERROR(IF(AD20&lt;((1/2*AC20*AE20^2)*2),SQRT((AD20/2)*2/AC20),AE20),0)</f>
        <v/>
      </c>
      <c r="AJ20" s="163">
        <f>IFERROR(AG20/AB20,0)</f>
        <v/>
      </c>
      <c r="AK20" s="163">
        <f>AI20</f>
        <v/>
      </c>
      <c r="AL20" s="164">
        <f>IF(AA20&gt;0,AA20,SUM(AI20:AK20))</f>
        <v/>
      </c>
      <c r="AM20" s="163" t="n">
        <v>0</v>
      </c>
      <c r="AN20" s="163">
        <f>AL20*AM20</f>
        <v/>
      </c>
    </row>
    <row r="21">
      <c r="C21" s="44">
        <f>SUM(C19:C20)</f>
        <v/>
      </c>
      <c r="F21" s="160">
        <f>F20+1</f>
        <v/>
      </c>
      <c r="G21" s="161" t="inlineStr">
        <is>
          <t>Multipro Running Loaded/Unloaded</t>
        </is>
      </c>
      <c r="H21" s="162" t="inlineStr">
        <is>
          <t>Multi pro moves back to outbound buffer conveyor</t>
        </is>
      </c>
      <c r="I21" s="163">
        <f>IFERROR(VLOOKUP(G21,'Master List'!$A:$D,2,0),0)</f>
        <v/>
      </c>
      <c r="J21" s="163">
        <f>IFERROR(VLOOKUP(G21,'Master List'!$A:$D,3,0),0)</f>
        <v/>
      </c>
      <c r="K21" s="163">
        <f>IFERROR(VLOOKUP(G21,'Master List'!$A:$D,4,0),0)</f>
        <v/>
      </c>
      <c r="L21" s="167">
        <f>$B$14-(L12+L17)</f>
        <v/>
      </c>
      <c r="M21" s="163">
        <f>IFERROR(J21/K21,0)</f>
        <v/>
      </c>
      <c r="N21" s="163">
        <f>IFERROR(IF(L21&lt;((1/2*K21*M21^2)*2),1/2*K21*SQRT((L21/2)*2/K21)^2,1/2*K21*M21^2),0)</f>
        <v/>
      </c>
      <c r="O21" s="163">
        <f>IFERROR(IF(L21-N21-P21&lt;=0,0,L21-N21-P21),0)</f>
        <v/>
      </c>
      <c r="P21" s="163">
        <f>N21</f>
        <v/>
      </c>
      <c r="Q21" s="163">
        <f>IFERROR(IF(L21&lt;((1/2*K21*M21^2)*2),SQRT((L21/2)*2/K21),M21),0)</f>
        <v/>
      </c>
      <c r="R21" s="163">
        <f>IFERROR(O21/J21,0)</f>
        <v/>
      </c>
      <c r="S21" s="163">
        <f>Q21</f>
        <v/>
      </c>
      <c r="T21" s="164">
        <f>IF(I21&gt;0,I21,SUM(Q21:S21))</f>
        <v/>
      </c>
      <c r="U21" s="163" t="n">
        <v>1</v>
      </c>
      <c r="V21" s="163">
        <f>T21*U21</f>
        <v/>
      </c>
      <c r="X21" s="160">
        <f>X20+1</f>
        <v/>
      </c>
      <c r="Y21" s="161" t="inlineStr">
        <is>
          <t>Multipro Running Loaded/Unloaded</t>
        </is>
      </c>
      <c r="Z21" s="162" t="inlineStr">
        <is>
          <t>Multi pro moves back to outbound buffer conveyor</t>
        </is>
      </c>
      <c r="AA21" s="163">
        <f>IFERROR(VLOOKUP(Y21,'Master List'!$A:$D,2,0),0)</f>
        <v/>
      </c>
      <c r="AB21" s="163">
        <f>IFERROR(VLOOKUP(Y21,'Master List'!$A:$D,3,0),0)</f>
        <v/>
      </c>
      <c r="AC21" s="163">
        <f>IFERROR(VLOOKUP(Y21,'Master List'!$A:$D,4,0),0)</f>
        <v/>
      </c>
      <c r="AD21" s="167">
        <f>$B$14-(AD12+AD17)</f>
        <v/>
      </c>
      <c r="AE21" s="163">
        <f>IFERROR(AB21/AC21,0)</f>
        <v/>
      </c>
      <c r="AF21" s="163">
        <f>IFERROR(IF(AD21&lt;((1/2*AC21*AE21^2)*2),1/2*AC21*SQRT((AD21/2)*2/AC21)^2,1/2*AC21*AE21^2),0)</f>
        <v/>
      </c>
      <c r="AG21" s="163">
        <f>IFERROR(IF(AD21-AF21-AH21&lt;=0,0,AD21-AF21-AH21),0)</f>
        <v/>
      </c>
      <c r="AH21" s="163">
        <f>AF21</f>
        <v/>
      </c>
      <c r="AI21" s="163">
        <f>IFERROR(IF(AD21&lt;((1/2*AC21*AE21^2)*2),SQRT((AD21/2)*2/AC21),AE21),0)</f>
        <v/>
      </c>
      <c r="AJ21" s="163">
        <f>IFERROR(AG21/AB21,0)</f>
        <v/>
      </c>
      <c r="AK21" s="163">
        <f>AI21</f>
        <v/>
      </c>
      <c r="AL21" s="164">
        <f>IF(AA21&gt;0,AA21,SUM(AI21:AK21))</f>
        <v/>
      </c>
      <c r="AM21" s="163" t="n">
        <v>1</v>
      </c>
      <c r="AN21" s="163">
        <f>AL21*AM21</f>
        <v/>
      </c>
    </row>
    <row r="22">
      <c r="A22" s="30" t="inlineStr">
        <is>
          <t>Combined cycle next location distance m</t>
        </is>
      </c>
      <c r="B22" s="62">
        <f>B14*15%</f>
        <v/>
      </c>
      <c r="F22" s="160">
        <f>F21+1</f>
        <v/>
      </c>
      <c r="G22" s="161" t="inlineStr">
        <is>
          <t>Cruiser lift/ drop time</t>
        </is>
      </c>
      <c r="H22" s="162" t="inlineStr">
        <is>
          <t>Cruiser drops pallet</t>
        </is>
      </c>
      <c r="I22" s="163">
        <f>IFERROR(VLOOKUP(G22,'Master List'!$A:$D,2,0),0)</f>
        <v/>
      </c>
      <c r="J22" s="163">
        <f>IFERROR(VLOOKUP(G22,'Master List'!$A:$D,3,0),0)</f>
        <v/>
      </c>
      <c r="K22" s="163">
        <f>IFERROR(VLOOKUP(G22,'Master List'!$A:$D,4,0),0)</f>
        <v/>
      </c>
      <c r="L22" s="167" t="n"/>
      <c r="M22" s="163">
        <f>IFERROR(J22/K22,0)</f>
        <v/>
      </c>
      <c r="N22" s="163">
        <f>IFERROR(IF(L22&lt;((1/2*K22*M22^2)*2),1/2*K22*SQRT((L22/2)*2/K22)^2,1/2*K22*M22^2),0)</f>
        <v/>
      </c>
      <c r="O22" s="163">
        <f>IFERROR(IF(L22-N22-P22&lt;=0,0,L22-N22-P22),0)</f>
        <v/>
      </c>
      <c r="P22" s="163">
        <f>N22</f>
        <v/>
      </c>
      <c r="Q22" s="163">
        <f>IFERROR(IF(L22&lt;((1/2*K22*M22^2)*2),SQRT((L22/2)*2/K22),M22),0)</f>
        <v/>
      </c>
      <c r="R22" s="163">
        <f>IFERROR(O22/J22,0)</f>
        <v/>
      </c>
      <c r="S22" s="163">
        <f>Q22</f>
        <v/>
      </c>
      <c r="T22" s="164">
        <f>IF(I22&gt;0,I22,SUM(Q22:S22))</f>
        <v/>
      </c>
      <c r="U22" s="163" t="n">
        <v>1</v>
      </c>
      <c r="V22" s="163">
        <f>T22*U22</f>
        <v/>
      </c>
      <c r="X22" s="160">
        <f>X21+1</f>
        <v/>
      </c>
      <c r="Y22" s="161" t="n"/>
      <c r="Z22" s="162" t="n"/>
      <c r="AA22" s="163">
        <f>IFERROR(VLOOKUP(Y22,'Master List'!$A:$D,2,0),0)</f>
        <v/>
      </c>
      <c r="AB22" s="163">
        <f>IFERROR(VLOOKUP(Y22,'Master List'!$A:$D,3,0),0)</f>
        <v/>
      </c>
      <c r="AC22" s="163">
        <f>IFERROR(VLOOKUP(Y22,'Master List'!$A:$D,4,0),0)</f>
        <v/>
      </c>
      <c r="AD22" s="167" t="n"/>
      <c r="AE22" s="163">
        <f>IFERROR(AB22/AC22,0)</f>
        <v/>
      </c>
      <c r="AF22" s="163">
        <f>IFERROR(IF(AD22&lt;((1/2*AC22*AE22^2)*2),1/2*AC22*SQRT((AD22/2)*2/AC22)^2,1/2*AC22*AE22^2),0)</f>
        <v/>
      </c>
      <c r="AG22" s="163">
        <f>IFERROR(IF(AD22-AF22-AH22&lt;=0,0,AD22-AF22-AH22),0)</f>
        <v/>
      </c>
      <c r="AH22" s="163">
        <f>AF22</f>
        <v/>
      </c>
      <c r="AI22" s="163">
        <f>IFERROR(IF(AD22&lt;((1/2*AC22*AE22^2)*2),SQRT((AD22/2)*2/AC22),AE22),0)</f>
        <v/>
      </c>
      <c r="AJ22" s="163">
        <f>IFERROR(AG22/AB22,0)</f>
        <v/>
      </c>
      <c r="AK22" s="163">
        <f>AI22</f>
        <v/>
      </c>
      <c r="AL22" s="164">
        <f>IF(AA22&gt;0,AA22,SUM(AI22:AK22))</f>
        <v/>
      </c>
      <c r="AM22" s="163" t="n"/>
      <c r="AN22" s="163">
        <f>AL22*AM22</f>
        <v/>
      </c>
    </row>
    <row r="23">
      <c r="A23" s="30" t="inlineStr">
        <is>
          <t>Cruiser travel length m (Avg travel length)</t>
        </is>
      </c>
      <c r="B23" s="533">
        <f>B15*50%</f>
        <v/>
      </c>
      <c r="F23" s="160">
        <f>F22+1</f>
        <v/>
      </c>
      <c r="G23" s="161" t="inlineStr">
        <is>
          <t>Pallet Chain Conveyor</t>
        </is>
      </c>
      <c r="H23" s="162" t="inlineStr">
        <is>
          <t>Pallet transferred to chain conveyor</t>
        </is>
      </c>
      <c r="I23" s="163">
        <f>IFERROR(VLOOKUP(G23,'Master List'!$A:$D,2,0),0)</f>
        <v/>
      </c>
      <c r="J23" s="163">
        <f>IFERROR(VLOOKUP(G23,'Master List'!$A:$D,3,0),0)</f>
        <v/>
      </c>
      <c r="K23" s="163">
        <f>IFERROR(VLOOKUP(G23,'Master List'!$A:$D,4,0),0)</f>
        <v/>
      </c>
      <c r="L23" s="167">
        <f>B16</f>
        <v/>
      </c>
      <c r="M23" s="163">
        <f>IFERROR(J23/K23,0)</f>
        <v/>
      </c>
      <c r="N23" s="163">
        <f>IFERROR(IF(L23&lt;((1/2*K23*M23^2)*2),1/2*K23*SQRT((L23/2)*2/K23)^2,1/2*K23*M23^2),0)</f>
        <v/>
      </c>
      <c r="O23" s="163">
        <f>IFERROR(IF(L23-N23-P23&lt;=0,0,L23-N23-P23),0)</f>
        <v/>
      </c>
      <c r="P23" s="163">
        <f>N23</f>
        <v/>
      </c>
      <c r="Q23" s="163">
        <f>IFERROR(IF(L23&lt;((1/2*K23*M23^2)*2),SQRT((L23/2)*2/K23),M23),0)</f>
        <v/>
      </c>
      <c r="R23" s="163">
        <f>IFERROR(O23/J23,0)</f>
        <v/>
      </c>
      <c r="S23" s="163">
        <f>Q23</f>
        <v/>
      </c>
      <c r="T23" s="164">
        <f>IF(I23&gt;0,I23,SUM(Q23:S23))</f>
        <v/>
      </c>
      <c r="U23" s="163" t="n">
        <v>1</v>
      </c>
      <c r="V23" s="163">
        <f>T23*U23</f>
        <v/>
      </c>
      <c r="X23" s="160">
        <f>X22+1</f>
        <v/>
      </c>
      <c r="Y23" s="161" t="n"/>
      <c r="Z23" s="162" t="n"/>
      <c r="AA23" s="163">
        <f>IFERROR(VLOOKUP(Y23,'Master List'!$A:$D,2,0),0)</f>
        <v/>
      </c>
      <c r="AB23" s="163">
        <f>IFERROR(VLOOKUP(Y23,'Master List'!$A:$D,3,0),0)</f>
        <v/>
      </c>
      <c r="AC23" s="163">
        <f>IFERROR(VLOOKUP(Y23,'Master List'!$A:$D,4,0),0)</f>
        <v/>
      </c>
      <c r="AD23" s="167">
        <f>AD11</f>
        <v/>
      </c>
      <c r="AE23" s="163">
        <f>IFERROR(AB23/AC23,0)</f>
        <v/>
      </c>
      <c r="AF23" s="163">
        <f>IFERROR(IF(AD23&lt;((1/2*AC23*AE23^2)*2),1/2*AC23*SQRT((AD23/2)*2/AC23)^2,1/2*AC23*AE23^2),0)</f>
        <v/>
      </c>
      <c r="AG23" s="163">
        <f>IFERROR(IF(AD23-AF23-AH23&lt;=0,0,AD23-AF23-AH23),0)</f>
        <v/>
      </c>
      <c r="AH23" s="163">
        <f>AF23</f>
        <v/>
      </c>
      <c r="AI23" s="163">
        <f>IFERROR(IF(AD23&lt;((1/2*AC23*AE23^2)*2),SQRT((AD23/2)*2/AC23),AE23),0)</f>
        <v/>
      </c>
      <c r="AJ23" s="163">
        <f>IFERROR(AG23/AB23,0)</f>
        <v/>
      </c>
      <c r="AK23" s="163">
        <f>AI23</f>
        <v/>
      </c>
      <c r="AL23" s="164">
        <f>IF(AA23&gt;0,AA23,SUM(AI23:AK23))</f>
        <v/>
      </c>
      <c r="AM23" s="163" t="n"/>
      <c r="AN23" s="163">
        <f>AL23*AM23</f>
        <v/>
      </c>
    </row>
    <row r="24">
      <c r="F24" s="160">
        <f>F23+1</f>
        <v/>
      </c>
      <c r="G24" s="161" t="inlineStr">
        <is>
          <t>Multipro Running Loaded/Unloaded</t>
        </is>
      </c>
      <c r="H24" s="162" t="inlineStr">
        <is>
          <t>Multi pro moves back to Iutbound buffer conveyor</t>
        </is>
      </c>
      <c r="I24" s="163">
        <f>IFERROR(VLOOKUP(G24,'Master List'!$A:$D,2,0),0)</f>
        <v/>
      </c>
      <c r="J24" s="163">
        <f>IFERROR(VLOOKUP(G24,'Master List'!$A:$D,3,0),0)</f>
        <v/>
      </c>
      <c r="K24" s="163">
        <f>IFERROR(VLOOKUP(G24,'Master List'!$A:$D,4,0),0)</f>
        <v/>
      </c>
      <c r="L24" s="167">
        <f>B14</f>
        <v/>
      </c>
      <c r="M24" s="163">
        <f>IFERROR(J24/K24,0)</f>
        <v/>
      </c>
      <c r="N24" s="163">
        <f>IFERROR(IF(L24&lt;((1/2*K24*M24^2)*2),1/2*K24*SQRT((L24/2)*2/K24)^2,1/2*K24*M24^2),0)</f>
        <v/>
      </c>
      <c r="O24" s="163">
        <f>IFERROR(IF(L24-N24-P24&lt;=0,0,L24-N24-P24),0)</f>
        <v/>
      </c>
      <c r="P24" s="163">
        <f>N24</f>
        <v/>
      </c>
      <c r="Q24" s="163">
        <f>IFERROR(IF(L24&lt;((1/2*K24*M24^2)*2),SQRT((L24/2)*2/K24),M24),0)</f>
        <v/>
      </c>
      <c r="R24" s="163">
        <f>IFERROR(O24/J24,0)</f>
        <v/>
      </c>
      <c r="S24" s="163">
        <f>Q24</f>
        <v/>
      </c>
      <c r="T24" s="163">
        <f>IF(I24&gt;0,I24,SUM(Q24:S24))</f>
        <v/>
      </c>
      <c r="U24" s="163" t="n">
        <v>1</v>
      </c>
      <c r="V24" s="163">
        <f>T24*U24</f>
        <v/>
      </c>
      <c r="X24" s="160">
        <f>X23+1</f>
        <v/>
      </c>
      <c r="Y24" s="161" t="n"/>
      <c r="Z24" s="162" t="n"/>
      <c r="AA24" s="163">
        <f>IFERROR(VLOOKUP(Y24,'Master List'!$A:$D,2,0),0)</f>
        <v/>
      </c>
      <c r="AB24" s="163">
        <f>IFERROR(VLOOKUP(Y24,'Master List'!$A:$D,3,0),0)</f>
        <v/>
      </c>
      <c r="AC24" s="163">
        <f>IFERROR(VLOOKUP(Y24,'Master List'!$A:$D,4,0),0)</f>
        <v/>
      </c>
      <c r="AD24" s="167">
        <f>B14</f>
        <v/>
      </c>
      <c r="AE24" s="163">
        <f>IFERROR(AB24/AC24,0)</f>
        <v/>
      </c>
      <c r="AF24" s="163">
        <f>IFERROR(IF(AD24&lt;((1/2*AC24*AE24^2)*2),1/2*AC24*SQRT((AD24/2)*2/AC24)^2,1/2*AC24*AE24^2),0)</f>
        <v/>
      </c>
      <c r="AG24" s="163">
        <f>IFERROR(IF(AD24-AF24-AH24&lt;=0,0,AD24-AF24-AH24),0)</f>
        <v/>
      </c>
      <c r="AH24" s="163">
        <f>AF24</f>
        <v/>
      </c>
      <c r="AI24" s="163">
        <f>IFERROR(IF(AD24&lt;((1/2*AC24*AE24^2)*2),SQRT((AD24/2)*2/AC24),AE24),0)</f>
        <v/>
      </c>
      <c r="AJ24" s="163">
        <f>IFERROR(AG24/AB24,0)</f>
        <v/>
      </c>
      <c r="AK24" s="163">
        <f>AI24</f>
        <v/>
      </c>
      <c r="AL24" s="163">
        <f>IF(AA24&gt;0,AA24,SUM(AI24:AK24))</f>
        <v/>
      </c>
      <c r="AM24" s="163" t="n"/>
      <c r="AN24" s="163">
        <f>AL24*AM24</f>
        <v/>
      </c>
    </row>
    <row r="25">
      <c r="F25" s="160">
        <f>F24+1</f>
        <v/>
      </c>
      <c r="G25" s="161" t="n"/>
      <c r="H25" s="162" t="n"/>
      <c r="I25" s="163">
        <f>IFERROR(VLOOKUP(G25,'Master List'!$A:$D,2,0),0)</f>
        <v/>
      </c>
      <c r="J25" s="163">
        <f>IFERROR(VLOOKUP(G25,'Master List'!$A:$D,3,0),0)</f>
        <v/>
      </c>
      <c r="K25" s="163">
        <f>IFERROR(VLOOKUP(G25,'Master List'!$A:$D,4,0),0)</f>
        <v/>
      </c>
      <c r="L25" s="163" t="n"/>
      <c r="M25" s="163">
        <f>IFERROR(J25/K25,0)</f>
        <v/>
      </c>
      <c r="N25" s="163">
        <f>IFERROR(IF(L25&lt;((1/2*K25*M25^2)*2),1/2*K25*SQRT((L25/2)*2/K25)^2,1/2*K25*M25^2),0)</f>
        <v/>
      </c>
      <c r="O25" s="163">
        <f>IFERROR(IF(L25-N25-P25&lt;=0,0,L25-N25-P25),0)</f>
        <v/>
      </c>
      <c r="P25" s="163">
        <f>N25</f>
        <v/>
      </c>
      <c r="Q25" s="163">
        <f>IFERROR(IF(L25&lt;((1/2*K25*M25^2)*2),SQRT((L25/2)*2/K25),M25),0)</f>
        <v/>
      </c>
      <c r="R25" s="163">
        <f>IFERROR(O25/J25,0)</f>
        <v/>
      </c>
      <c r="S25" s="163">
        <f>Q25</f>
        <v/>
      </c>
      <c r="T25" s="163">
        <f>IF(I25&gt;0,I25,SUM(Q25:S25))</f>
        <v/>
      </c>
      <c r="U25" s="163" t="n"/>
      <c r="V25" s="163">
        <f>T25*U25</f>
        <v/>
      </c>
      <c r="X25" s="160">
        <f>X24+1</f>
        <v/>
      </c>
      <c r="Y25" s="161" t="n"/>
      <c r="Z25" s="162" t="n"/>
      <c r="AA25" s="163">
        <f>IFERROR(VLOOKUP(Y25,'Master List'!$A:$D,2,0),0)</f>
        <v/>
      </c>
      <c r="AB25" s="163">
        <f>IFERROR(VLOOKUP(Y25,'Master List'!$A:$D,3,0),0)</f>
        <v/>
      </c>
      <c r="AC25" s="163">
        <f>IFERROR(VLOOKUP(Y25,'Master List'!$A:$D,4,0),0)</f>
        <v/>
      </c>
      <c r="AD25" s="163" t="n"/>
      <c r="AE25" s="163">
        <f>IFERROR(AB25/AC25,0)</f>
        <v/>
      </c>
      <c r="AF25" s="163">
        <f>IFERROR(IF(AD25&lt;((1/2*AC25*AE25^2)*2),1/2*AC25*SQRT((AD25/2)*2/AC25)^2,1/2*AC25*AE25^2),0)</f>
        <v/>
      </c>
      <c r="AG25" s="163">
        <f>IFERROR(IF(AD25-AF25-AH25&lt;=0,0,AD25-AF25-AH25),0)</f>
        <v/>
      </c>
      <c r="AH25" s="163">
        <f>AF25</f>
        <v/>
      </c>
      <c r="AI25" s="163">
        <f>IFERROR(IF(AD25&lt;((1/2*AC25*AE25^2)*2),SQRT((AD25/2)*2/AC25),AE25),0)</f>
        <v/>
      </c>
      <c r="AJ25" s="163">
        <f>IFERROR(AG25/AB25,0)</f>
        <v/>
      </c>
      <c r="AK25" s="163">
        <f>AI25</f>
        <v/>
      </c>
      <c r="AL25" s="163">
        <f>IF(AA25&gt;0,AA25,SUM(AI25:AK25))</f>
        <v/>
      </c>
      <c r="AM25" s="163" t="n"/>
      <c r="AN25" s="163">
        <f>AL25*AM25</f>
        <v/>
      </c>
    </row>
    <row r="26">
      <c r="F26" s="160">
        <f>F25+1</f>
        <v/>
      </c>
      <c r="G26" s="165" t="n"/>
      <c r="H26" s="162" t="n"/>
      <c r="I26" s="163">
        <f>IFERROR(VLOOKUP(G26,'Master List'!$A:$D,2,0),0)</f>
        <v/>
      </c>
      <c r="J26" s="163">
        <f>IFERROR(VLOOKUP(G26,'Master List'!$A:$D,3,0),0)</f>
        <v/>
      </c>
      <c r="K26" s="163">
        <f>IFERROR(VLOOKUP(G26,'Master List'!$A:$D,4,0),0)</f>
        <v/>
      </c>
      <c r="L26" s="163" t="n"/>
      <c r="M26" s="163">
        <f>IFERROR(J26/K26,0)</f>
        <v/>
      </c>
      <c r="N26" s="163">
        <f>IFERROR(IF(L26&lt;((1/2*K26*M26^2)*2),1/2*K26*SQRT((L26/2)*2/K26)^2,1/2*K26*M26^2),0)</f>
        <v/>
      </c>
      <c r="O26" s="163">
        <f>IFERROR(IF(L26-N26-P26&lt;=0,0,L26-N26-P26),0)</f>
        <v/>
      </c>
      <c r="P26" s="163">
        <f>N26</f>
        <v/>
      </c>
      <c r="Q26" s="163">
        <f>IFERROR(IF(L26&lt;((1/2*K26*M26^2)*2),SQRT((L26/2)*2/K26),M26),0)</f>
        <v/>
      </c>
      <c r="R26" s="163">
        <f>IFERROR(O26/J26,0)</f>
        <v/>
      </c>
      <c r="S26" s="163">
        <f>Q26</f>
        <v/>
      </c>
      <c r="T26" s="163">
        <f>IF(I26&gt;0,I26,SUM(Q26:S26))</f>
        <v/>
      </c>
      <c r="U26" s="163" t="n"/>
      <c r="V26" s="163">
        <f>T26*U26</f>
        <v/>
      </c>
      <c r="X26" s="160">
        <f>X25+1</f>
        <v/>
      </c>
      <c r="Y26" s="165" t="n"/>
      <c r="Z26" s="162" t="n"/>
      <c r="AA26" s="163">
        <f>IFERROR(VLOOKUP(Y26,'Master List'!$A:$D,2,0),0)</f>
        <v/>
      </c>
      <c r="AB26" s="163">
        <f>IFERROR(VLOOKUP(Y26,'Master List'!$A:$D,3,0),0)</f>
        <v/>
      </c>
      <c r="AC26" s="163">
        <f>IFERROR(VLOOKUP(Y26,'Master List'!$A:$D,4,0),0)</f>
        <v/>
      </c>
      <c r="AD26" s="163" t="n"/>
      <c r="AE26" s="163">
        <f>IFERROR(AB26/AC26,0)</f>
        <v/>
      </c>
      <c r="AF26" s="163">
        <f>IFERROR(IF(AD26&lt;((1/2*AC26*AE26^2)*2),1/2*AC26*SQRT((AD26/2)*2/AC26)^2,1/2*AC26*AE26^2),0)</f>
        <v/>
      </c>
      <c r="AG26" s="163">
        <f>IFERROR(IF(AD26-AF26-AH26&lt;=0,0,AD26-AF26-AH26),0)</f>
        <v/>
      </c>
      <c r="AH26" s="163">
        <f>AF26</f>
        <v/>
      </c>
      <c r="AI26" s="163">
        <f>IFERROR(IF(AD26&lt;((1/2*AC26*AE26^2)*2),SQRT((AD26/2)*2/AC26),AE26),0)</f>
        <v/>
      </c>
      <c r="AJ26" s="163">
        <f>IFERROR(AG26/AB26,0)</f>
        <v/>
      </c>
      <c r="AK26" s="163">
        <f>AI26</f>
        <v/>
      </c>
      <c r="AL26" s="163">
        <f>IF(AA26&gt;0,AA26,SUM(AI26:AK26))</f>
        <v/>
      </c>
      <c r="AM26" s="163" t="n"/>
      <c r="AN26" s="163">
        <f>AL26*AM26</f>
        <v/>
      </c>
    </row>
    <row r="27">
      <c r="A27" s="31" t="n"/>
      <c r="B27" s="31" t="n"/>
      <c r="F27" s="160">
        <f>F26+1</f>
        <v/>
      </c>
      <c r="G27" s="165" t="n"/>
      <c r="H27" s="162" t="n"/>
      <c r="I27" s="163">
        <f>IFERROR(VLOOKUP(G27,'Master List'!$A:$D,2,0),0)</f>
        <v/>
      </c>
      <c r="J27" s="163">
        <f>IFERROR(VLOOKUP(G27,'Master List'!$A:$D,3,0),0)</f>
        <v/>
      </c>
      <c r="K27" s="163">
        <f>IFERROR(VLOOKUP(G27,'Master List'!$A:$D,4,0),0)</f>
        <v/>
      </c>
      <c r="L27" s="163" t="n"/>
      <c r="M27" s="163">
        <f>IFERROR(J27/K27,0)</f>
        <v/>
      </c>
      <c r="N27" s="163">
        <f>IFERROR(IF(L27&lt;((1/2*K27*M27^2)*2),1/2*K27*SQRT((L27/2)*2/K27)^2,1/2*K27*M27^2),0)</f>
        <v/>
      </c>
      <c r="O27" s="163">
        <f>IFERROR(IF(L27-N27-P27&lt;=0,0,L27-N27-P27),0)</f>
        <v/>
      </c>
      <c r="P27" s="163">
        <f>N27</f>
        <v/>
      </c>
      <c r="Q27" s="163">
        <f>IFERROR(IF(L27&lt;((1/2*K27*M27^2)*2),SQRT((L27/2)*2/K27),M27),0)</f>
        <v/>
      </c>
      <c r="R27" s="163">
        <f>IFERROR(O27/J27,0)</f>
        <v/>
      </c>
      <c r="S27" s="163">
        <f>Q27</f>
        <v/>
      </c>
      <c r="T27" s="163">
        <f>IF(I27&gt;0,I27,SUM(Q27:S27))</f>
        <v/>
      </c>
      <c r="U27" s="163" t="n"/>
      <c r="V27" s="163">
        <f>T27*U27</f>
        <v/>
      </c>
      <c r="X27" s="160">
        <f>X26+1</f>
        <v/>
      </c>
      <c r="Y27" s="165" t="n"/>
      <c r="Z27" s="162" t="n"/>
      <c r="AA27" s="163">
        <f>IFERROR(VLOOKUP(Y27,'Master List'!$A:$D,2,0),0)</f>
        <v/>
      </c>
      <c r="AB27" s="163">
        <f>IFERROR(VLOOKUP(Y27,'Master List'!$A:$D,3,0),0)</f>
        <v/>
      </c>
      <c r="AC27" s="163">
        <f>IFERROR(VLOOKUP(Y27,'Master List'!$A:$D,4,0),0)</f>
        <v/>
      </c>
      <c r="AD27" s="163" t="n"/>
      <c r="AE27" s="163">
        <f>IFERROR(AB27/AC27,0)</f>
        <v/>
      </c>
      <c r="AF27" s="163">
        <f>IFERROR(IF(AD27&lt;((1/2*AC27*AE27^2)*2),1/2*AC27*SQRT((AD27/2)*2/AC27)^2,1/2*AC27*AE27^2),0)</f>
        <v/>
      </c>
      <c r="AG27" s="163">
        <f>IFERROR(IF(AD27-AF27-AH27&lt;=0,0,AD27-AF27-AH27),0)</f>
        <v/>
      </c>
      <c r="AH27" s="163">
        <f>AF27</f>
        <v/>
      </c>
      <c r="AI27" s="163">
        <f>IFERROR(IF(AD27&lt;((1/2*AC27*AE27^2)*2),SQRT((AD27/2)*2/AC27),AE27),0)</f>
        <v/>
      </c>
      <c r="AJ27" s="163">
        <f>IFERROR(AG27/AB27,0)</f>
        <v/>
      </c>
      <c r="AK27" s="163">
        <f>AI27</f>
        <v/>
      </c>
      <c r="AL27" s="163">
        <f>IF(AA27&gt;0,AA27,SUM(AI27:AK27))</f>
        <v/>
      </c>
      <c r="AM27" s="163" t="n"/>
      <c r="AN27" s="163">
        <f>AL27*AM27</f>
        <v/>
      </c>
    </row>
    <row r="28">
      <c r="A28" s="31" t="n"/>
      <c r="B28" s="31" t="n"/>
      <c r="F28" s="160">
        <f>F27+1</f>
        <v/>
      </c>
      <c r="G28" s="165" t="n"/>
      <c r="H28" s="162" t="n"/>
      <c r="I28" s="163">
        <f>IFERROR(VLOOKUP(G28,'Master List'!$A:$D,2,0),0)</f>
        <v/>
      </c>
      <c r="J28" s="163">
        <f>IFERROR(VLOOKUP(G28,'Master List'!$A:$D,3,0),0)</f>
        <v/>
      </c>
      <c r="K28" s="163">
        <f>IFERROR(VLOOKUP(G28,'Master List'!$A:$D,4,0),0)</f>
        <v/>
      </c>
      <c r="L28" s="163" t="n"/>
      <c r="M28" s="163">
        <f>IFERROR(J28/K28,0)</f>
        <v/>
      </c>
      <c r="N28" s="163">
        <f>IFERROR(IF(L28&lt;((1/2*K28*M28^2)*2),1/2*K28*SQRT((L28/2)*2/K28)^2,1/2*K28*M28^2),0)</f>
        <v/>
      </c>
      <c r="O28" s="163">
        <f>IFERROR(IF(L28-N28-P28&lt;=0,0,L28-N28-P28),0)</f>
        <v/>
      </c>
      <c r="P28" s="163">
        <f>N28</f>
        <v/>
      </c>
      <c r="Q28" s="163">
        <f>IFERROR(IF(L28&lt;((1/2*K28*M28^2)*2),SQRT((L28/2)*2/K28),M28),0)</f>
        <v/>
      </c>
      <c r="R28" s="163">
        <f>IFERROR(O28/J28,0)</f>
        <v/>
      </c>
      <c r="S28" s="163">
        <f>Q28</f>
        <v/>
      </c>
      <c r="T28" s="163">
        <f>IF(I28&gt;0,I28,SUM(Q28:S28))</f>
        <v/>
      </c>
      <c r="U28" s="163" t="n"/>
      <c r="V28" s="163">
        <f>T28*U28</f>
        <v/>
      </c>
      <c r="X28" s="160">
        <f>X27+1</f>
        <v/>
      </c>
      <c r="Y28" s="165" t="n"/>
      <c r="Z28" s="162" t="n"/>
      <c r="AA28" s="163">
        <f>IFERROR(VLOOKUP(Y28,'Master List'!$A:$D,2,0),0)</f>
        <v/>
      </c>
      <c r="AB28" s="163">
        <f>IFERROR(VLOOKUP(Y28,'Master List'!$A:$D,3,0),0)</f>
        <v/>
      </c>
      <c r="AC28" s="163">
        <f>IFERROR(VLOOKUP(Y28,'Master List'!$A:$D,4,0),0)</f>
        <v/>
      </c>
      <c r="AD28" s="163" t="n"/>
      <c r="AE28" s="163">
        <f>IFERROR(AB28/AC28,0)</f>
        <v/>
      </c>
      <c r="AF28" s="163">
        <f>IFERROR(IF(AD28&lt;((1/2*AC28*AE28^2)*2),1/2*AC28*SQRT((AD28/2)*2/AC28)^2,1/2*AC28*AE28^2),0)</f>
        <v/>
      </c>
      <c r="AG28" s="163">
        <f>IFERROR(IF(AD28-AF28-AH28&lt;=0,0,AD28-AF28-AH28),0)</f>
        <v/>
      </c>
      <c r="AH28" s="163">
        <f>AF28</f>
        <v/>
      </c>
      <c r="AI28" s="163">
        <f>IFERROR(IF(AD28&lt;((1/2*AC28*AE28^2)*2),SQRT((AD28/2)*2/AC28),AE28),0)</f>
        <v/>
      </c>
      <c r="AJ28" s="163">
        <f>IFERROR(AG28/AB28,0)</f>
        <v/>
      </c>
      <c r="AK28" s="163">
        <f>AI28</f>
        <v/>
      </c>
      <c r="AL28" s="163">
        <f>IF(AA28&gt;0,AA28,SUM(AI28:AK28))</f>
        <v/>
      </c>
      <c r="AM28" s="163" t="n"/>
      <c r="AN28" s="163">
        <f>AL28*AM28</f>
        <v/>
      </c>
    </row>
    <row r="29">
      <c r="F29" s="160">
        <f>F28+1</f>
        <v/>
      </c>
      <c r="G29" s="165" t="n"/>
      <c r="H29" s="162" t="n"/>
      <c r="I29" s="163">
        <f>IFERROR(VLOOKUP(G29,'Master List'!$A:$D,2,0),0)</f>
        <v/>
      </c>
      <c r="J29" s="163">
        <f>IFERROR(VLOOKUP(G29,'Master List'!$A:$D,3,0),0)</f>
        <v/>
      </c>
      <c r="K29" s="163">
        <f>IFERROR(VLOOKUP(G29,'Master List'!$A:$D,4,0),0)</f>
        <v/>
      </c>
      <c r="L29" s="163" t="n"/>
      <c r="M29" s="163">
        <f>IFERROR(J29/K29,0)</f>
        <v/>
      </c>
      <c r="N29" s="163">
        <f>IFERROR(IF(L29&lt;((1/2*K29*M29^2)*2),1/2*K29*SQRT((L29/2)*2/K29)^2,1/2*K29*M29^2),0)</f>
        <v/>
      </c>
      <c r="O29" s="163">
        <f>IFERROR(IF(L29-N29-P29&lt;=0,0,L29-N29-P29),0)</f>
        <v/>
      </c>
      <c r="P29" s="163">
        <f>N29</f>
        <v/>
      </c>
      <c r="Q29" s="163">
        <f>IFERROR(IF(L29&lt;((1/2*K29*M29^2)*2),SQRT((L29/2)*2/K29),M29),0)</f>
        <v/>
      </c>
      <c r="R29" s="163">
        <f>IFERROR(O29/J29,0)</f>
        <v/>
      </c>
      <c r="S29" s="163">
        <f>Q29</f>
        <v/>
      </c>
      <c r="T29" s="163">
        <f>IF(I29&gt;0,I29,SUM(Q29:S29))</f>
        <v/>
      </c>
      <c r="U29" s="163" t="n"/>
      <c r="V29" s="163">
        <f>T29*U29</f>
        <v/>
      </c>
      <c r="X29" s="160">
        <f>X28+1</f>
        <v/>
      </c>
      <c r="Y29" s="165" t="n"/>
      <c r="Z29" s="162" t="n"/>
      <c r="AA29" s="163">
        <f>IFERROR(VLOOKUP(Y29,'Master List'!$A:$D,2,0),0)</f>
        <v/>
      </c>
      <c r="AB29" s="163">
        <f>IFERROR(VLOOKUP(Y29,'Master List'!$A:$D,3,0),0)</f>
        <v/>
      </c>
      <c r="AC29" s="163">
        <f>IFERROR(VLOOKUP(Y29,'Master List'!$A:$D,4,0),0)</f>
        <v/>
      </c>
      <c r="AD29" s="163" t="n"/>
      <c r="AE29" s="163">
        <f>IFERROR(AB29/AC29,0)</f>
        <v/>
      </c>
      <c r="AF29" s="163">
        <f>IFERROR(IF(AD29&lt;((1/2*AC29*AE29^2)*2),1/2*AC29*SQRT((AD29/2)*2/AC29)^2,1/2*AC29*AE29^2),0)</f>
        <v/>
      </c>
      <c r="AG29" s="163">
        <f>IFERROR(IF(AD29-AF29-AH29&lt;=0,0,AD29-AF29-AH29),0)</f>
        <v/>
      </c>
      <c r="AH29" s="163">
        <f>AF29</f>
        <v/>
      </c>
      <c r="AI29" s="163">
        <f>IFERROR(IF(AD29&lt;((1/2*AC29*AE29^2)*2),SQRT((AD29/2)*2/AC29),AE29),0)</f>
        <v/>
      </c>
      <c r="AJ29" s="163">
        <f>IFERROR(AG29/AB29,0)</f>
        <v/>
      </c>
      <c r="AK29" s="163">
        <f>AI29</f>
        <v/>
      </c>
      <c r="AL29" s="163">
        <f>IF(AA29&gt;0,AA29,SUM(AI29:AK29))</f>
        <v/>
      </c>
      <c r="AM29" s="163" t="n"/>
      <c r="AN29" s="163">
        <f>AL29*AM29</f>
        <v/>
      </c>
    </row>
    <row r="30">
      <c r="F30" s="160">
        <f>F29+1</f>
        <v/>
      </c>
      <c r="G30" s="165" t="n"/>
      <c r="H30" s="162" t="n"/>
      <c r="I30" s="163">
        <f>IFERROR(VLOOKUP(G30,'Master List'!$A:$D,2,0),0)</f>
        <v/>
      </c>
      <c r="J30" s="163">
        <f>IFERROR(VLOOKUP(G30,'Master List'!$A:$D,3,0),0)</f>
        <v/>
      </c>
      <c r="K30" s="163">
        <f>IFERROR(VLOOKUP(G30,'Master List'!$A:$D,4,0),0)</f>
        <v/>
      </c>
      <c r="L30" s="163" t="n"/>
      <c r="M30" s="163">
        <f>IFERROR(J30/K30,0)</f>
        <v/>
      </c>
      <c r="N30" s="163">
        <f>IFERROR(IF(L30&lt;((1/2*K30*M30^2)*2),1/2*K30*SQRT((L30/2)*2/K30)^2,1/2*K30*M30^2),0)</f>
        <v/>
      </c>
      <c r="O30" s="163">
        <f>IFERROR(IF(L30-N30-P30&lt;=0,0,L30-N30-P30),0)</f>
        <v/>
      </c>
      <c r="P30" s="163">
        <f>N30</f>
        <v/>
      </c>
      <c r="Q30" s="163">
        <f>IFERROR(IF(L30&lt;((1/2*K30*M30^2)*2),SQRT((L30/2)*2/K30),M30),0)</f>
        <v/>
      </c>
      <c r="R30" s="163">
        <f>IFERROR(O30/J30,0)</f>
        <v/>
      </c>
      <c r="S30" s="163">
        <f>Q30</f>
        <v/>
      </c>
      <c r="T30" s="163">
        <f>IF(I30&gt;0,I30,SUM(Q30:S30))</f>
        <v/>
      </c>
      <c r="U30" s="163" t="n"/>
      <c r="V30" s="163">
        <f>T30*U30</f>
        <v/>
      </c>
      <c r="X30" s="160">
        <f>X29+1</f>
        <v/>
      </c>
      <c r="Y30" s="165" t="n"/>
      <c r="Z30" s="162" t="n"/>
      <c r="AA30" s="163">
        <f>IFERROR(VLOOKUP(Y30,'Master List'!$A:$D,2,0),0)</f>
        <v/>
      </c>
      <c r="AB30" s="163">
        <f>IFERROR(VLOOKUP(Y30,'Master List'!$A:$D,3,0),0)</f>
        <v/>
      </c>
      <c r="AC30" s="163">
        <f>IFERROR(VLOOKUP(Y30,'Master List'!$A:$D,4,0),0)</f>
        <v/>
      </c>
      <c r="AD30" s="163" t="n"/>
      <c r="AE30" s="163">
        <f>IFERROR(AB30/AC30,0)</f>
        <v/>
      </c>
      <c r="AF30" s="163">
        <f>IFERROR(IF(AD30&lt;((1/2*AC30*AE30^2)*2),1/2*AC30*SQRT((AD30/2)*2/AC30)^2,1/2*AC30*AE30^2),0)</f>
        <v/>
      </c>
      <c r="AG30" s="163">
        <f>IFERROR(IF(AD30-AF30-AH30&lt;=0,0,AD30-AF30-AH30),0)</f>
        <v/>
      </c>
      <c r="AH30" s="163">
        <f>AF30</f>
        <v/>
      </c>
      <c r="AI30" s="163">
        <f>IFERROR(IF(AD30&lt;((1/2*AC30*AE30^2)*2),SQRT((AD30/2)*2/AC30),AE30),0)</f>
        <v/>
      </c>
      <c r="AJ30" s="163">
        <f>IFERROR(AG30/AB30,0)</f>
        <v/>
      </c>
      <c r="AK30" s="163">
        <f>AI30</f>
        <v/>
      </c>
      <c r="AL30" s="163">
        <f>IF(AA30&gt;0,AA30,SUM(AI30:AK30))</f>
        <v/>
      </c>
      <c r="AM30" s="163" t="n"/>
      <c r="AN30" s="163">
        <f>AL30*AM30</f>
        <v/>
      </c>
    </row>
    <row r="36">
      <c r="G36" s="216" t="n"/>
      <c r="H36" s="216" t="n"/>
    </row>
    <row r="37">
      <c r="G37" s="216" t="n"/>
      <c r="H37" s="216" t="n"/>
    </row>
    <row r="41">
      <c r="G41" s="216" t="n"/>
    </row>
    <row r="42">
      <c r="G42" s="216" t="n"/>
    </row>
    <row r="46">
      <c r="F46" s="218" t="n"/>
    </row>
  </sheetData>
  <sheetProtection selectLockedCells="0" selectUnlockedCells="0" algorithmName="SHA-512" sheet="1" objects="1" insertRows="1" insertHyperlinks="1" autoFilter="1" scenarios="1" formatColumns="1" deleteColumns="1" insertColumns="1" pivotTables="1" deleteRows="1" formatCells="1" saltValue="4zRf6ytp5p2Te8tGhwF/Qw==" formatRows="1" sort="1" spinCount="100000" hashValue="kFaz3IUCklasgVukrSapN7Zi+KA4ruChoYxMPy6jrqPsz/4KB6PAThBoZzhxwdLYJqFnnBrNvTAfP594u4qOgA=="/>
  <mergeCells count="12">
    <mergeCell ref="G7:U7"/>
    <mergeCell ref="Y7:AM7"/>
    <mergeCell ref="G8:U8"/>
    <mergeCell ref="Y6:AM6"/>
    <mergeCell ref="G6:U6"/>
    <mergeCell ref="G9:U9"/>
    <mergeCell ref="F6:F10"/>
    <mergeCell ref="Y9:AM9"/>
    <mergeCell ref="X6:X10"/>
    <mergeCell ref="F5:V5"/>
    <mergeCell ref="Y8:AM8"/>
    <mergeCell ref="X5:AN5"/>
  </mergeCells>
  <conditionalFormatting sqref="B9:B12">
    <cfRule type="cellIs" priority="1" operator="lessThan" dxfId="1">
      <formula>$B$37</formula>
    </cfRule>
  </conditionalFormatting>
  <conditionalFormatting sqref="C21">
    <cfRule type="cellIs" priority="3" operator="notEqual" dxfId="0">
      <formula>1</formula>
    </cfRule>
  </conditionalFormatting>
  <pageMargins left="0.7" right="0.7" top="0.75" bottom="0.75" header="0.3" footer="0.3"/>
  <pageSetup orientation="landscape"/>
  <drawing r:id="rId1"/>
</worksheet>
</file>

<file path=xl/worksheets/sheet17.xml><?xml version="1.0" encoding="utf-8"?>
<worksheet xmlns:r="http://schemas.openxmlformats.org/officeDocument/2006/relationships" xmlns="http://schemas.openxmlformats.org/spreadsheetml/2006/main">
  <sheetPr codeName="Sheet16">
    <tabColor theme="7"/>
    <outlinePr summaryBelow="1" summaryRight="1"/>
    <pageSetUpPr fitToPage="1"/>
  </sheetPr>
  <dimension ref="A1:CY49"/>
  <sheetViews>
    <sheetView showGridLines="0" zoomScale="85" zoomScaleNormal="85" workbookViewId="0">
      <selection activeCell="G14" sqref="G14"/>
    </sheetView>
  </sheetViews>
  <sheetFormatPr baseColWidth="10" defaultColWidth="8.6640625" defaultRowHeight="15"/>
  <cols>
    <col width="38.6640625" bestFit="1" customWidth="1" style="1" min="1" max="1"/>
    <col width="27.6640625" customWidth="1" style="1" min="2" max="2"/>
    <col width="21.5" bestFit="1" customWidth="1" style="1" min="3" max="3"/>
    <col width="20.6640625" bestFit="1" customWidth="1" style="1" min="4" max="4"/>
    <col width="11.6640625" customWidth="1" style="147" min="5" max="5"/>
    <col width="8.6640625" customWidth="1" style="69" min="6" max="6"/>
    <col width="8.5" customWidth="1" style="153" min="7" max="7"/>
    <col width="30.6640625" customWidth="1" style="218" min="8" max="8"/>
    <col width="45.6640625" customWidth="1" style="218" min="9" max="9"/>
    <col width="11.5" customWidth="1" style="153" min="10" max="10"/>
    <col width="6.5" customWidth="1" style="153" min="11" max="11"/>
    <col width="11.6640625" customWidth="1" style="153" min="12" max="12"/>
    <col width="9.33203125" customWidth="1" style="218" min="13" max="13"/>
    <col width="10.6640625" customWidth="1" style="153" min="14" max="14"/>
    <col width="12.5" customWidth="1" style="153" min="15" max="15"/>
    <col width="9.5" customWidth="1" style="153" min="16" max="16"/>
    <col width="11.6640625" customWidth="1" style="153" min="17" max="17"/>
    <col width="11.5" customWidth="1" style="153" min="18" max="18"/>
    <col width="8.6640625" customWidth="1" style="153" min="19" max="19"/>
    <col width="11.33203125" customWidth="1" style="153" min="20" max="20"/>
    <col width="8.6640625" customWidth="1" style="153" min="21" max="21"/>
    <col width="9.33203125" customWidth="1" style="218" min="22" max="22"/>
    <col width="14.33203125" customWidth="1" style="153" min="23" max="23"/>
    <col width="8.6640625" customWidth="1" style="153" min="24" max="25"/>
    <col width="24.6640625" customWidth="1" style="218" min="26" max="26"/>
    <col width="27.6640625" customWidth="1" style="218" min="27" max="27"/>
    <col width="8.6640625" customWidth="1" style="153" min="28" max="30"/>
    <col width="8.6640625" customWidth="1" style="218" min="31" max="31"/>
    <col width="8.6640625" customWidth="1" style="153" min="32" max="39"/>
    <col width="8.6640625" customWidth="1" style="218" min="40" max="40"/>
    <col width="8.6640625" customWidth="1" style="153" min="41" max="41"/>
    <col width="8.6640625" customWidth="1" style="148" min="42" max="42"/>
    <col width="8.6640625" customWidth="1" style="69" min="43" max="43"/>
    <col width="24.6640625" customWidth="1" style="69" min="44" max="44"/>
    <col width="32.6640625" customWidth="1" style="69" min="45" max="45"/>
    <col width="8.6640625" customWidth="1" style="69" min="46" max="46"/>
    <col width="8.6640625" customWidth="1" style="516" min="47" max="61"/>
    <col width="26.83203125" customWidth="1" style="516" min="62" max="62"/>
    <col width="46.33203125" customWidth="1" style="516" min="63" max="63"/>
    <col width="8.6640625" customWidth="1" style="516" min="64" max="80"/>
    <col width="45" customWidth="1" style="516" min="81" max="81"/>
    <col width="12.6640625" customWidth="1" style="516" min="82" max="82"/>
    <col width="10.5" customWidth="1" style="516" min="83" max="83"/>
    <col width="8.6640625" customWidth="1" style="33" min="84" max="103"/>
    <col width="8.6640625" customWidth="1" style="1" min="104" max="104"/>
    <col width="8.6640625" customWidth="1" style="1" min="105" max="16384"/>
  </cols>
  <sheetData>
    <row r="1" ht="47" customFormat="1" customHeight="1" s="24">
      <c r="A1" s="1" t="n"/>
      <c r="B1" s="1">
        <f>'Master List'!$F$2</f>
        <v/>
      </c>
      <c r="C1" s="1" t="n"/>
      <c r="D1" s="1" t="n"/>
      <c r="E1" s="147" t="n"/>
      <c r="F1" s="69" t="n"/>
      <c r="G1" s="153" t="n"/>
      <c r="H1" s="153" t="n"/>
      <c r="I1" s="214" t="n"/>
      <c r="J1" s="214" t="n"/>
      <c r="K1" s="214" t="n"/>
      <c r="L1" s="214" t="n"/>
      <c r="M1" s="214" t="n"/>
      <c r="N1" s="214" t="n"/>
      <c r="O1" s="214" t="n"/>
      <c r="P1" s="214" t="n"/>
      <c r="Q1" s="214" t="n"/>
      <c r="R1" s="214" t="n"/>
      <c r="S1" s="214" t="n"/>
      <c r="T1" s="214" t="n"/>
      <c r="U1" s="214" t="n"/>
      <c r="V1" s="216" t="n"/>
      <c r="W1" s="216" t="n"/>
      <c r="X1" s="214" t="n"/>
      <c r="Y1" s="214" t="n"/>
      <c r="Z1" s="214" t="n"/>
      <c r="AA1" s="214" t="n"/>
      <c r="AB1" s="214" t="n"/>
      <c r="AC1" s="214" t="n"/>
      <c r="AD1" s="214" t="n"/>
      <c r="AE1" s="214" t="n"/>
      <c r="AF1" s="214" t="n"/>
      <c r="AG1" s="214" t="n"/>
      <c r="AH1" s="214" t="n"/>
      <c r="AI1" s="214" t="n"/>
      <c r="AJ1" s="214" t="n"/>
      <c r="AK1" s="214" t="n"/>
      <c r="AL1" s="214" t="n"/>
      <c r="AM1" s="214" t="n"/>
      <c r="AN1" s="214" t="n"/>
      <c r="AO1" s="214" t="n"/>
      <c r="AP1" s="149" t="n"/>
      <c r="AQ1" s="69" t="n"/>
      <c r="AR1" s="69" t="n"/>
      <c r="AS1" s="69" t="n"/>
      <c r="AT1" s="69" t="n"/>
      <c r="CF1" s="248" t="n"/>
      <c r="CG1" s="248" t="n"/>
      <c r="CH1" s="248" t="n"/>
      <c r="CI1" s="248" t="n"/>
      <c r="CJ1" s="248" t="n"/>
      <c r="CK1" s="248" t="n"/>
      <c r="CL1" s="248" t="n"/>
      <c r="CM1" s="248" t="n"/>
      <c r="CN1" s="248" t="n"/>
      <c r="CO1" s="248" t="n"/>
      <c r="CP1" s="248" t="n"/>
      <c r="CQ1" s="248" t="n"/>
      <c r="CR1" s="248" t="n"/>
      <c r="CS1" s="248" t="n"/>
      <c r="CT1" s="248" t="n"/>
      <c r="CU1" s="248" t="n"/>
      <c r="CV1" s="248" t="n"/>
      <c r="CW1" s="248" t="n"/>
      <c r="CX1" s="248" t="n"/>
      <c r="CY1" s="248" t="n"/>
    </row>
    <row r="2" ht="18" customFormat="1" customHeight="1" s="24">
      <c r="A2" s="34" t="inlineStr">
        <is>
          <t>Equipment</t>
        </is>
      </c>
      <c r="B2" s="33" t="inlineStr">
        <is>
          <t>Multipro in&amp;out from diff side</t>
        </is>
      </c>
      <c r="C2" s="1" t="n"/>
      <c r="D2" s="1" t="n"/>
      <c r="E2" s="147" t="n"/>
      <c r="F2" s="69" t="n"/>
      <c r="G2" s="153" t="n"/>
      <c r="H2" s="153" t="n"/>
      <c r="I2" s="214" t="n"/>
      <c r="J2" s="214" t="n"/>
      <c r="K2" s="214" t="n"/>
      <c r="L2" s="214" t="n"/>
      <c r="M2" s="214" t="n"/>
      <c r="N2" s="214" t="n"/>
      <c r="O2" s="214" t="n"/>
      <c r="P2" s="214" t="n"/>
      <c r="Q2" s="214" t="n"/>
      <c r="R2" s="214" t="n"/>
      <c r="S2" s="214" t="n"/>
      <c r="T2" s="214" t="n"/>
      <c r="U2" s="214" t="n"/>
      <c r="V2" s="216" t="n"/>
      <c r="W2" s="216" t="n"/>
      <c r="X2" s="214" t="n"/>
      <c r="Y2" s="214" t="n"/>
      <c r="Z2" s="214" t="n"/>
      <c r="AA2" s="214" t="n"/>
      <c r="AB2" s="214" t="n"/>
      <c r="AC2" s="214" t="n"/>
      <c r="AD2" s="214" t="n"/>
      <c r="AE2" s="214" t="n"/>
      <c r="AF2" s="214" t="n"/>
      <c r="AG2" s="214" t="n"/>
      <c r="AH2" s="214" t="n"/>
      <c r="AI2" s="214" t="n"/>
      <c r="AJ2" s="214" t="n"/>
      <c r="AK2" s="214" t="n"/>
      <c r="AL2" s="214" t="n"/>
      <c r="AM2" s="214" t="n"/>
      <c r="AN2" s="214" t="n"/>
      <c r="AO2" s="214" t="n"/>
      <c r="AP2" s="149" t="n"/>
      <c r="AQ2" s="69" t="n"/>
      <c r="AR2" s="69" t="n"/>
      <c r="AS2" s="69" t="n"/>
      <c r="AT2" s="69" t="n"/>
      <c r="CF2" s="248" t="n"/>
      <c r="CG2" s="248" t="n"/>
      <c r="CH2" s="248" t="n"/>
      <c r="CI2" s="248" t="n"/>
      <c r="CJ2" s="248" t="n"/>
      <c r="CK2" s="248" t="n"/>
      <c r="CL2" s="248" t="n"/>
      <c r="CM2" s="248" t="n"/>
      <c r="CN2" s="248" t="n"/>
      <c r="CO2" s="248" t="n"/>
      <c r="CP2" s="248" t="n"/>
      <c r="CQ2" s="248" t="n"/>
      <c r="CR2" s="248" t="n"/>
      <c r="CS2" s="248" t="n"/>
      <c r="CT2" s="248" t="n"/>
      <c r="CU2" s="248" t="n"/>
      <c r="CV2" s="248" t="n"/>
      <c r="CW2" s="248" t="n"/>
      <c r="CX2" s="248" t="n"/>
      <c r="CY2" s="248" t="n"/>
    </row>
    <row r="3" ht="18" customFormat="1" customHeight="1" s="24">
      <c r="A3" s="34" t="inlineStr">
        <is>
          <t>Utilization</t>
        </is>
      </c>
      <c r="B3" s="402">
        <f>W8</f>
        <v/>
      </c>
      <c r="C3" s="1" t="n"/>
      <c r="D3" s="1" t="n"/>
      <c r="E3" s="147" t="n"/>
      <c r="F3" s="69" t="n"/>
      <c r="G3" s="153" t="n"/>
      <c r="H3" s="153" t="n"/>
      <c r="I3" s="214" t="n"/>
      <c r="J3" s="214" t="n"/>
      <c r="K3" s="214" t="n"/>
      <c r="L3" s="214" t="n"/>
      <c r="M3" s="214" t="n"/>
      <c r="N3" s="214" t="n"/>
      <c r="O3" s="214" t="n"/>
      <c r="P3" s="214" t="n"/>
      <c r="Q3" s="214" t="n"/>
      <c r="R3" s="214" t="n"/>
      <c r="S3" s="214" t="n"/>
      <c r="T3" s="214" t="n"/>
      <c r="U3" s="214" t="n"/>
      <c r="V3" s="216" t="n"/>
      <c r="W3" s="216" t="n"/>
      <c r="X3" s="214" t="n"/>
      <c r="Y3" s="214" t="n"/>
      <c r="Z3" s="214" t="n"/>
      <c r="AA3" s="214" t="n"/>
      <c r="AB3" s="214" t="n"/>
      <c r="AC3" s="214" t="n"/>
      <c r="AD3" s="214" t="n"/>
      <c r="AE3" s="214" t="n"/>
      <c r="AF3" s="214" t="n"/>
      <c r="AG3" s="214" t="n"/>
      <c r="AH3" s="214" t="n"/>
      <c r="AI3" s="214" t="n"/>
      <c r="AJ3" s="214" t="n"/>
      <c r="AK3" s="214" t="n"/>
      <c r="AL3" s="214" t="n"/>
      <c r="AM3" s="214" t="n"/>
      <c r="AN3" s="214" t="n"/>
      <c r="AO3" s="214" t="n"/>
      <c r="AP3" s="149" t="n"/>
      <c r="AQ3" s="69" t="n"/>
      <c r="AR3" s="69" t="n"/>
      <c r="AS3" s="69" t="n"/>
      <c r="AT3" s="69" t="n"/>
      <c r="CF3" s="248" t="n"/>
      <c r="CG3" s="248" t="n"/>
      <c r="CH3" s="248" t="n"/>
      <c r="CI3" s="248" t="n"/>
      <c r="CJ3" s="248" t="n"/>
      <c r="CK3" s="248" t="n"/>
      <c r="CL3" s="248" t="n"/>
      <c r="CM3" s="248" t="n"/>
      <c r="CN3" s="248" t="n"/>
      <c r="CO3" s="248" t="n"/>
      <c r="CP3" s="248" t="n"/>
      <c r="CQ3" s="248" t="n"/>
      <c r="CR3" s="248" t="n"/>
      <c r="CS3" s="248" t="n"/>
      <c r="CT3" s="248" t="n"/>
      <c r="CU3" s="248" t="n"/>
      <c r="CV3" s="248" t="n"/>
      <c r="CW3" s="248" t="n"/>
      <c r="CX3" s="248" t="n"/>
      <c r="CY3" s="248" t="n"/>
    </row>
    <row r="4" ht="18" customHeight="1" s="516">
      <c r="A4" s="180" t="inlineStr">
        <is>
          <t>Project name</t>
        </is>
      </c>
      <c r="B4" s="181" t="n"/>
      <c r="G4" s="217" t="n"/>
      <c r="H4" s="217" t="n"/>
      <c r="I4" s="217" t="n"/>
      <c r="J4" s="217" t="n"/>
      <c r="K4" s="217" t="n"/>
      <c r="L4" s="217" t="n"/>
      <c r="M4" s="217" t="n"/>
      <c r="N4" s="217" t="n"/>
      <c r="O4" s="217" t="n"/>
      <c r="P4" s="217" t="n"/>
      <c r="Q4" s="217" t="n"/>
      <c r="R4" s="217" t="n"/>
      <c r="S4" s="217" t="n"/>
      <c r="T4" s="217" t="n"/>
      <c r="U4" s="217" t="n"/>
      <c r="V4" s="217" t="n"/>
      <c r="W4" s="217" t="n"/>
      <c r="Z4" s="153" t="n"/>
      <c r="AA4" s="153" t="n"/>
      <c r="AE4" s="153" t="n"/>
      <c r="AN4" s="153" t="n"/>
    </row>
    <row r="5" ht="18" customHeight="1" s="516">
      <c r="A5" s="180" t="inlineStr">
        <is>
          <t>Revision</t>
        </is>
      </c>
      <c r="B5" s="181" t="n"/>
      <c r="G5" s="532">
        <f>A17</f>
        <v/>
      </c>
      <c r="H5" s="525" t="n"/>
      <c r="I5" s="525" t="n"/>
      <c r="J5" s="525" t="n"/>
      <c r="K5" s="525" t="n"/>
      <c r="L5" s="525" t="n"/>
      <c r="M5" s="525" t="n"/>
      <c r="N5" s="525" t="n"/>
      <c r="O5" s="525" t="n"/>
      <c r="P5" s="525" t="n"/>
      <c r="Q5" s="525" t="n"/>
      <c r="R5" s="525" t="n"/>
      <c r="S5" s="525" t="n"/>
      <c r="T5" s="525" t="n"/>
      <c r="U5" s="525" t="n"/>
      <c r="V5" s="525" t="n"/>
      <c r="W5" s="526" t="n"/>
      <c r="Y5" s="532">
        <f>A18</f>
        <v/>
      </c>
      <c r="Z5" s="525" t="n"/>
      <c r="AA5" s="525" t="n"/>
      <c r="AB5" s="525" t="n"/>
      <c r="AC5" s="525" t="n"/>
      <c r="AD5" s="525" t="n"/>
      <c r="AE5" s="525" t="n"/>
      <c r="AF5" s="525" t="n"/>
      <c r="AG5" s="525" t="n"/>
      <c r="AH5" s="525" t="n"/>
      <c r="AI5" s="525" t="n"/>
      <c r="AJ5" s="525" t="n"/>
      <c r="AK5" s="525" t="n"/>
      <c r="AL5" s="525" t="n"/>
      <c r="AM5" s="525" t="n"/>
      <c r="AN5" s="525" t="n"/>
      <c r="AO5" s="526" t="n"/>
    </row>
    <row r="6" ht="18" customHeight="1" s="516">
      <c r="G6" s="531" t="inlineStr">
        <is>
          <t>S.No</t>
        </is>
      </c>
      <c r="H6" s="530" t="inlineStr">
        <is>
          <t>Cycles / Hour</t>
        </is>
      </c>
      <c r="I6" s="522" t="n"/>
      <c r="J6" s="522" t="n"/>
      <c r="K6" s="522" t="n"/>
      <c r="L6" s="522" t="n"/>
      <c r="M6" s="522" t="n"/>
      <c r="N6" s="522" t="n"/>
      <c r="O6" s="522" t="n"/>
      <c r="P6" s="522" t="n"/>
      <c r="Q6" s="522" t="n"/>
      <c r="R6" s="522" t="n"/>
      <c r="S6" s="522" t="n"/>
      <c r="T6" s="522" t="n"/>
      <c r="U6" s="522" t="n"/>
      <c r="V6" s="523" t="n"/>
      <c r="W6" s="168">
        <f>3600/W7</f>
        <v/>
      </c>
      <c r="Y6" s="531" t="inlineStr">
        <is>
          <t>S.No</t>
        </is>
      </c>
      <c r="Z6" s="530" t="inlineStr">
        <is>
          <t>Cycles / Hour</t>
        </is>
      </c>
      <c r="AA6" s="522" t="n"/>
      <c r="AB6" s="522" t="n"/>
      <c r="AC6" s="522" t="n"/>
      <c r="AD6" s="522" t="n"/>
      <c r="AE6" s="522" t="n"/>
      <c r="AF6" s="522" t="n"/>
      <c r="AG6" s="522" t="n"/>
      <c r="AH6" s="522" t="n"/>
      <c r="AI6" s="522" t="n"/>
      <c r="AJ6" s="522" t="n"/>
      <c r="AK6" s="522" t="n"/>
      <c r="AL6" s="522" t="n"/>
      <c r="AM6" s="522" t="n"/>
      <c r="AN6" s="523" t="n"/>
      <c r="AO6" s="168">
        <f>3600/AO7</f>
        <v/>
      </c>
    </row>
    <row r="7" ht="18" customHeight="1" s="516">
      <c r="G7" s="528" t="n"/>
      <c r="H7" s="530" t="inlineStr">
        <is>
          <t>Effective Cycle Time</t>
        </is>
      </c>
      <c r="I7" s="522" t="n"/>
      <c r="J7" s="522" t="n"/>
      <c r="K7" s="522" t="n"/>
      <c r="L7" s="522" t="n"/>
      <c r="M7" s="522" t="n"/>
      <c r="N7" s="522" t="n"/>
      <c r="O7" s="522" t="n"/>
      <c r="P7" s="522" t="n"/>
      <c r="Q7" s="522" t="n"/>
      <c r="R7" s="522" t="n"/>
      <c r="S7" s="522" t="n"/>
      <c r="T7" s="522" t="n"/>
      <c r="U7" s="522" t="n"/>
      <c r="V7" s="523" t="n"/>
      <c r="W7" s="156">
        <f>W9/W8</f>
        <v/>
      </c>
      <c r="Y7" s="528" t="n"/>
      <c r="Z7" s="530" t="inlineStr">
        <is>
          <t>Effective Cycle Time</t>
        </is>
      </c>
      <c r="AA7" s="522" t="n"/>
      <c r="AB7" s="522" t="n"/>
      <c r="AC7" s="522" t="n"/>
      <c r="AD7" s="522" t="n"/>
      <c r="AE7" s="522" t="n"/>
      <c r="AF7" s="522" t="n"/>
      <c r="AG7" s="522" t="n"/>
      <c r="AH7" s="522" t="n"/>
      <c r="AI7" s="522" t="n"/>
      <c r="AJ7" s="522" t="n"/>
      <c r="AK7" s="522" t="n"/>
      <c r="AL7" s="522" t="n"/>
      <c r="AM7" s="522" t="n"/>
      <c r="AN7" s="523" t="n"/>
      <c r="AO7" s="156">
        <f>AO9/AO8</f>
        <v/>
      </c>
    </row>
    <row r="8" ht="18" customHeight="1" s="516">
      <c r="G8" s="528" t="n"/>
      <c r="H8" s="530" t="inlineStr">
        <is>
          <t>Equipment Utilization</t>
        </is>
      </c>
      <c r="I8" s="522" t="n"/>
      <c r="J8" s="522" t="n"/>
      <c r="K8" s="522" t="n"/>
      <c r="L8" s="522" t="n"/>
      <c r="M8" s="522" t="n"/>
      <c r="N8" s="522" t="n"/>
      <c r="O8" s="522" t="n"/>
      <c r="P8" s="522" t="n"/>
      <c r="Q8" s="522" t="n"/>
      <c r="R8" s="522" t="n"/>
      <c r="S8" s="522" t="n"/>
      <c r="T8" s="522" t="n"/>
      <c r="U8" s="522" t="n"/>
      <c r="V8" s="523" t="n"/>
      <c r="W8" s="157">
        <f>'Master List'!$G$1</f>
        <v/>
      </c>
      <c r="Y8" s="528" t="n"/>
      <c r="Z8" s="530" t="inlineStr">
        <is>
          <t>Equipment Utilization</t>
        </is>
      </c>
      <c r="AA8" s="522" t="n"/>
      <c r="AB8" s="522" t="n"/>
      <c r="AC8" s="522" t="n"/>
      <c r="AD8" s="522" t="n"/>
      <c r="AE8" s="522" t="n"/>
      <c r="AF8" s="522" t="n"/>
      <c r="AG8" s="522" t="n"/>
      <c r="AH8" s="522" t="n"/>
      <c r="AI8" s="522" t="n"/>
      <c r="AJ8" s="522" t="n"/>
      <c r="AK8" s="522" t="n"/>
      <c r="AL8" s="522" t="n"/>
      <c r="AM8" s="522" t="n"/>
      <c r="AN8" s="523" t="n"/>
      <c r="AO8" s="157">
        <f>'Master List'!$G$1</f>
        <v/>
      </c>
    </row>
    <row r="9" ht="21.5" customHeight="1" s="516">
      <c r="A9" s="63" t="inlineStr">
        <is>
          <t>Cycles/ Hr</t>
        </is>
      </c>
      <c r="B9" s="242">
        <f>SUMPRODUCT(B17:B18,C17:C18)</f>
        <v/>
      </c>
      <c r="C9" s="6" t="n"/>
      <c r="D9" s="6" t="n"/>
      <c r="E9" s="151" t="n"/>
      <c r="G9" s="528" t="n"/>
      <c r="H9" s="530" t="inlineStr">
        <is>
          <t>Cycle Time</t>
        </is>
      </c>
      <c r="I9" s="522" t="n"/>
      <c r="J9" s="522" t="n"/>
      <c r="K9" s="522" t="n"/>
      <c r="L9" s="522" t="n"/>
      <c r="M9" s="522" t="n"/>
      <c r="N9" s="522" t="n"/>
      <c r="O9" s="522" t="n"/>
      <c r="P9" s="522" t="n"/>
      <c r="Q9" s="522" t="n"/>
      <c r="R9" s="522" t="n"/>
      <c r="S9" s="522" t="n"/>
      <c r="T9" s="522" t="n"/>
      <c r="U9" s="522" t="n"/>
      <c r="V9" s="523" t="n"/>
      <c r="W9" s="158">
        <f>SUM(W11:W98)</f>
        <v/>
      </c>
      <c r="Y9" s="528" t="n"/>
      <c r="Z9" s="530" t="inlineStr">
        <is>
          <t>Cycle Time</t>
        </is>
      </c>
      <c r="AA9" s="522" t="n"/>
      <c r="AB9" s="522" t="n"/>
      <c r="AC9" s="522" t="n"/>
      <c r="AD9" s="522" t="n"/>
      <c r="AE9" s="522" t="n"/>
      <c r="AF9" s="522" t="n"/>
      <c r="AG9" s="522" t="n"/>
      <c r="AH9" s="522" t="n"/>
      <c r="AI9" s="522" t="n"/>
      <c r="AJ9" s="522" t="n"/>
      <c r="AK9" s="522" t="n"/>
      <c r="AL9" s="522" t="n"/>
      <c r="AM9" s="522" t="n"/>
      <c r="AN9" s="523" t="n"/>
      <c r="AO9" s="158">
        <f>SUM(AO11:AO98)</f>
        <v/>
      </c>
    </row>
    <row r="10" ht="21.5" customFormat="1" customHeight="1" s="6">
      <c r="A10" s="63" t="inlineStr">
        <is>
          <t>Totes/ Cases per Hr</t>
        </is>
      </c>
      <c r="B10" s="242">
        <f>SUMPRODUCT(C17:C18,D17:D18)</f>
        <v/>
      </c>
      <c r="C10" s="1" t="n"/>
      <c r="D10" s="1" t="n"/>
      <c r="E10" s="147" t="n"/>
      <c r="F10" s="69" t="n"/>
      <c r="G10" s="529" t="n"/>
      <c r="H10" s="531" t="inlineStr">
        <is>
          <t>Activity Type</t>
        </is>
      </c>
      <c r="I10" s="159" t="inlineStr">
        <is>
          <t>Steps</t>
        </is>
      </c>
      <c r="J10" s="159" t="inlineStr">
        <is>
          <t>Time to consider in absence of data (sec)</t>
        </is>
      </c>
      <c r="K10" s="159" t="inlineStr">
        <is>
          <t>Speed (m / sec)</t>
        </is>
      </c>
      <c r="L10" s="159" t="inlineStr">
        <is>
          <t>Acceleration (m / sec^2)</t>
        </is>
      </c>
      <c r="M10" s="159" t="inlineStr">
        <is>
          <t>Total Distance (m)</t>
        </is>
      </c>
      <c r="N10" s="159" t="inlineStr">
        <is>
          <t>Time to Reach Max Speed (sec)</t>
        </is>
      </c>
      <c r="O10" s="159" t="inlineStr">
        <is>
          <t>Distance in accerlaration (m)</t>
        </is>
      </c>
      <c r="P10" s="159" t="inlineStr">
        <is>
          <t>Distance in Max speed (m)</t>
        </is>
      </c>
      <c r="Q10" s="159" t="inlineStr">
        <is>
          <t>Distance in de-acceleration (m)</t>
        </is>
      </c>
      <c r="R10" s="159" t="inlineStr">
        <is>
          <t>Time in acceleration (sec)</t>
        </is>
      </c>
      <c r="S10" s="159" t="inlineStr">
        <is>
          <t>Time in full speed (sec)</t>
        </is>
      </c>
      <c r="T10" s="159" t="inlineStr">
        <is>
          <t>Time in de-acceleration (sec)</t>
        </is>
      </c>
      <c r="U10" s="159" t="inlineStr">
        <is>
          <t>Time (sec)</t>
        </is>
      </c>
      <c r="V10" s="159" t="inlineStr">
        <is>
          <t>Units</t>
        </is>
      </c>
      <c r="W10" s="159" t="inlineStr">
        <is>
          <t>Total Time</t>
        </is>
      </c>
      <c r="X10" s="154" t="n"/>
      <c r="Y10" s="529" t="n"/>
      <c r="Z10" s="531" t="inlineStr">
        <is>
          <t>Activity Type</t>
        </is>
      </c>
      <c r="AA10" s="159" t="inlineStr">
        <is>
          <t>Steps</t>
        </is>
      </c>
      <c r="AB10" s="159" t="inlineStr">
        <is>
          <t>Time to consider in absence of data (sec)</t>
        </is>
      </c>
      <c r="AC10" s="159" t="inlineStr">
        <is>
          <t>Speed (m / sec)</t>
        </is>
      </c>
      <c r="AD10" s="159" t="inlineStr">
        <is>
          <t>Acceleration (m / sec^2)</t>
        </is>
      </c>
      <c r="AE10" s="159" t="inlineStr">
        <is>
          <t>Total Distance (m)</t>
        </is>
      </c>
      <c r="AF10" s="159" t="inlineStr">
        <is>
          <t>Time to Reach Max Speed (sec)</t>
        </is>
      </c>
      <c r="AG10" s="159" t="inlineStr">
        <is>
          <t>Distance in accerlaration (m)</t>
        </is>
      </c>
      <c r="AH10" s="159" t="inlineStr">
        <is>
          <t>Distance in Max speed (m)</t>
        </is>
      </c>
      <c r="AI10" s="159" t="inlineStr">
        <is>
          <t>Distance in de-acceleration (m)</t>
        </is>
      </c>
      <c r="AJ10" s="159" t="inlineStr">
        <is>
          <t>Time in acceleration (sec)</t>
        </is>
      </c>
      <c r="AK10" s="159" t="inlineStr">
        <is>
          <t>Time in full speed (sec)</t>
        </is>
      </c>
      <c r="AL10" s="159" t="inlineStr">
        <is>
          <t>Time in de-acceleration (sec)</t>
        </is>
      </c>
      <c r="AM10" s="159" t="inlineStr">
        <is>
          <t>Time (sec)</t>
        </is>
      </c>
      <c r="AN10" s="159" t="inlineStr">
        <is>
          <t>Units</t>
        </is>
      </c>
      <c r="AO10" s="159" t="inlineStr">
        <is>
          <t>Total Time</t>
        </is>
      </c>
      <c r="AP10" s="152" t="n"/>
      <c r="AQ10" s="69" t="n"/>
      <c r="AR10" s="69" t="n"/>
      <c r="AS10" s="69" t="n"/>
      <c r="AT10" s="69" t="n"/>
      <c r="CF10" s="79" t="n"/>
      <c r="CG10" s="2" t="n"/>
      <c r="CH10" s="2" t="n"/>
      <c r="CI10" s="2" t="n"/>
      <c r="CJ10" s="2" t="n"/>
      <c r="CK10" s="2" t="n"/>
      <c r="CL10" s="2" t="n"/>
      <c r="CM10" s="2" t="n"/>
      <c r="CN10" s="2" t="n"/>
      <c r="CO10" s="2" t="n"/>
      <c r="CP10" s="2" t="n"/>
      <c r="CQ10" s="2" t="n"/>
      <c r="CR10" s="2" t="n"/>
      <c r="CS10" s="2" t="n"/>
      <c r="CT10" s="2" t="n"/>
      <c r="CU10" s="2" t="n"/>
      <c r="CV10" s="2" t="n"/>
      <c r="CW10" s="2" t="n"/>
      <c r="CX10" s="2" t="n"/>
      <c r="CY10" s="2" t="n"/>
    </row>
    <row r="11" ht="21.5" customHeight="1" s="516">
      <c r="A11" s="63" t="inlineStr">
        <is>
          <t>Quadrons required</t>
        </is>
      </c>
      <c r="B11" s="242">
        <f>ROUNDUP(B12/B10,0)</f>
        <v/>
      </c>
      <c r="G11" s="160" t="n">
        <v>1</v>
      </c>
      <c r="H11" s="161" t="inlineStr">
        <is>
          <t>Quadron Forking Single Deep</t>
        </is>
      </c>
      <c r="I11" s="162" t="inlineStr">
        <is>
          <t>Receive tote or case from buffer conveyor</t>
        </is>
      </c>
      <c r="J11" s="163">
        <f>IFERROR(VLOOKUP(H11,'Master List'!$A:$D,2,0),0)</f>
        <v/>
      </c>
      <c r="K11" s="163">
        <f>IFERROR(VLOOKUP(H11,'Master List'!$A:$D,3,0),0)</f>
        <v/>
      </c>
      <c r="L11" s="163">
        <f>IFERROR(VLOOKUP(H11,'Master List'!$A:$D,4,0),0)</f>
        <v/>
      </c>
      <c r="M11" s="163" t="n"/>
      <c r="N11" s="163">
        <f>IFERROR(K11/L11,0)</f>
        <v/>
      </c>
      <c r="O11" s="163">
        <f>IFERROR(IF(M11&lt;((1/2*L11*N11^2)*2),1/2*L11*SQRT((M11/2)*2/L11)^2,1/2*L11*N11^2),0)</f>
        <v/>
      </c>
      <c r="P11" s="163">
        <f>IFERROR(IF(M11-O11-Q11&lt;=0,0,M11-O11-Q11),0)</f>
        <v/>
      </c>
      <c r="Q11" s="163">
        <f>O11</f>
        <v/>
      </c>
      <c r="R11" s="163">
        <f>IFERROR(IF(M11&lt;((1/2*L11*N11^2)*2),SQRT((M11/2)*2/L11),N11),0)</f>
        <v/>
      </c>
      <c r="S11" s="163">
        <f>IFERROR(P11/K11,0)</f>
        <v/>
      </c>
      <c r="T11" s="163">
        <f>R11</f>
        <v/>
      </c>
      <c r="U11" s="163">
        <f>IF(J11&gt;0,J11,SUM(R11:T11))</f>
        <v/>
      </c>
      <c r="V11" s="163" t="n">
        <v>1</v>
      </c>
      <c r="W11" s="163">
        <f>U11*V11</f>
        <v/>
      </c>
      <c r="Y11" s="160" t="n">
        <v>1</v>
      </c>
      <c r="Z11" s="161" t="inlineStr">
        <is>
          <t>Quadron Forking Single Deep</t>
        </is>
      </c>
      <c r="AA11" s="162" t="inlineStr">
        <is>
          <t>Receive tote or case from buffer conveyor</t>
        </is>
      </c>
      <c r="AB11" s="163">
        <f>IFERROR(VLOOKUP(Z11,'Master List'!$A:$D,2,0),0)</f>
        <v/>
      </c>
      <c r="AC11" s="163">
        <f>IFERROR(VLOOKUP(Z11,'Master List'!$A:$D,3,0),0)</f>
        <v/>
      </c>
      <c r="AD11" s="163">
        <f>IFERROR(VLOOKUP(Z11,'Master List'!$A:$D,4,0),0)</f>
        <v/>
      </c>
      <c r="AE11" s="163" t="n"/>
      <c r="AF11" s="163">
        <f>IFERROR(AC11/AD11,0)</f>
        <v/>
      </c>
      <c r="AG11" s="163">
        <f>IFERROR(IF(AE11&lt;((1/2*AD11*AF11^2)*2),1/2*AD11*SQRT((AE11/2)*2/AD11)^2,1/2*AD11*AF11^2),0)</f>
        <v/>
      </c>
      <c r="AH11" s="163">
        <f>IFERROR(IF(AE11-AG11-AI11&lt;=0,0,AE11-AG11-AI11),0)</f>
        <v/>
      </c>
      <c r="AI11" s="163">
        <f>AG11</f>
        <v/>
      </c>
      <c r="AJ11" s="163">
        <f>IFERROR(IF(AE11&lt;((1/2*AD11*AF11^2)*2),SQRT((AE11/2)*2/AD11),AF11),0)</f>
        <v/>
      </c>
      <c r="AK11" s="163">
        <f>IFERROR(AH11/AC11,0)</f>
        <v/>
      </c>
      <c r="AL11" s="163">
        <f>AJ11</f>
        <v/>
      </c>
      <c r="AM11" s="163">
        <f>IF(AB11&gt;0,AB11,SUM(AJ11:AL11))</f>
        <v/>
      </c>
      <c r="AN11" s="163" t="n">
        <v>1</v>
      </c>
      <c r="AO11" s="163">
        <f>AM11*AN11</f>
        <v/>
      </c>
      <c r="CF11" s="79" t="n"/>
    </row>
    <row r="12" ht="38" customHeight="1" s="516">
      <c r="A12" s="63" t="inlineStr">
        <is>
          <t>Throughput (Totes or cases/ Hr)</t>
        </is>
      </c>
      <c r="B12" s="65" t="n">
        <v>700</v>
      </c>
      <c r="G12" s="160">
        <f>G11+1</f>
        <v/>
      </c>
      <c r="H12" s="161" t="inlineStr">
        <is>
          <t>Quadron Running</t>
        </is>
      </c>
      <c r="I12" s="162" t="inlineStr">
        <is>
          <t>Inbound cycle</t>
        </is>
      </c>
      <c r="J12" s="163">
        <f>IFERROR(VLOOKUP(H12,'Master List'!$A:$D,2,0),0)</f>
        <v/>
      </c>
      <c r="K12" s="163">
        <f>IFERROR(VLOOKUP(H12,'Master List'!$A:$D,3,0),0)</f>
        <v/>
      </c>
      <c r="L12" s="163">
        <f>IFERROR(VLOOKUP(H12,'Master List'!$A:$D,4,0),0)</f>
        <v/>
      </c>
      <c r="M12" s="163">
        <f>B14*50%</f>
        <v/>
      </c>
      <c r="N12" s="163">
        <f>IFERROR(K12/L12,0)</f>
        <v/>
      </c>
      <c r="O12" s="163">
        <f>IFERROR(IF(M12&lt;((1/2*L12*N12^2)*2),1/2*L12*SQRT((M12/2)*2/L12)^2,1/2*L12*N12^2),0)</f>
        <v/>
      </c>
      <c r="P12" s="163">
        <f>IFERROR(IF(M12-O12-Q12&lt;=0,0,M12-O12-Q12),0)</f>
        <v/>
      </c>
      <c r="Q12" s="163">
        <f>O12</f>
        <v/>
      </c>
      <c r="R12" s="163">
        <f>IFERROR(IF(M12&lt;((1/2*L12*N12^2)*2),SQRT((M12/2)*2/L12),N12),0)</f>
        <v/>
      </c>
      <c r="S12" s="163">
        <f>IFERROR(P12/K12,0)</f>
        <v/>
      </c>
      <c r="T12" s="163">
        <f>R12</f>
        <v/>
      </c>
      <c r="U12" s="163">
        <f>IF(J12&gt;0,J12,SUM(R12:T12))</f>
        <v/>
      </c>
      <c r="V12" s="163" t="n">
        <v>1</v>
      </c>
      <c r="W12" s="163">
        <f>U12*V12</f>
        <v/>
      </c>
      <c r="Y12" s="160">
        <f>Y11+1</f>
        <v/>
      </c>
      <c r="Z12" s="161" t="inlineStr">
        <is>
          <t>Quadron Running</t>
        </is>
      </c>
      <c r="AA12" s="162" t="inlineStr">
        <is>
          <t>Move to reach location</t>
        </is>
      </c>
      <c r="AB12" s="163">
        <f>IFERROR(VLOOKUP(Z12,'Master List'!$A:$D,2,0),0)</f>
        <v/>
      </c>
      <c r="AC12" s="163">
        <f>IFERROR(VLOOKUP(Z12,'Master List'!$A:$D,3,0),0)</f>
        <v/>
      </c>
      <c r="AD12" s="163">
        <f>IFERROR(VLOOKUP(Z12,'Master List'!$A:$D,4,0),0)</f>
        <v/>
      </c>
      <c r="AE12" s="163">
        <f>B14*50%</f>
        <v/>
      </c>
      <c r="AF12" s="163">
        <f>IFERROR(AC12/AD12,0)</f>
        <v/>
      </c>
      <c r="AG12" s="163">
        <f>IFERROR(IF(AE12&lt;((1/2*AD12*AF12^2)*2),1/2*AD12*SQRT((AE12/2)*2/AD12)^2,1/2*AD12*AF12^2),0)</f>
        <v/>
      </c>
      <c r="AH12" s="163">
        <f>IFERROR(IF(AE12-AG12-AI12&lt;=0,0,AE12-AG12-AI12),0)</f>
        <v/>
      </c>
      <c r="AI12" s="163">
        <f>AG12</f>
        <v/>
      </c>
      <c r="AJ12" s="163">
        <f>IFERROR(IF(AE12&lt;((1/2*AD12*AF12^2)*2),SQRT((AE12/2)*2/AD12),AF12),0)</f>
        <v/>
      </c>
      <c r="AK12" s="163">
        <f>IFERROR(AH12/AC12,0)</f>
        <v/>
      </c>
      <c r="AL12" s="163">
        <f>AJ12</f>
        <v/>
      </c>
      <c r="AM12" s="163">
        <f>IF(AB12&gt;0,AB12,SUM(AJ12:AL12))</f>
        <v/>
      </c>
      <c r="AN12" s="163" t="n">
        <v>1</v>
      </c>
      <c r="AO12" s="163">
        <f>AM12*AN12</f>
        <v/>
      </c>
      <c r="CF12" s="79" t="n"/>
    </row>
    <row r="13" ht="23" customHeight="1" s="516">
      <c r="A13" s="246" t="n"/>
      <c r="B13" s="247" t="n"/>
      <c r="G13" s="160">
        <f>G11+1</f>
        <v/>
      </c>
      <c r="H13" s="161" t="inlineStr">
        <is>
          <t>Quadron Forking Single Deep</t>
        </is>
      </c>
      <c r="I13" s="162" t="inlineStr">
        <is>
          <t>Putaway tote or case (50% time to first deep)</t>
        </is>
      </c>
      <c r="J13" s="163">
        <f>IFERROR(VLOOKUP(H13,'Master List'!$A:$D,2,0),0)</f>
        <v/>
      </c>
      <c r="K13" s="163">
        <f>IFERROR(VLOOKUP(H13,'Master List'!$A:$D,3,0),0)</f>
        <v/>
      </c>
      <c r="L13" s="163">
        <f>IFERROR(VLOOKUP(H13,'Master List'!$A:$D,4,0),0)</f>
        <v/>
      </c>
      <c r="M13" s="163" t="n"/>
      <c r="N13" s="163">
        <f>IFERROR(K13/L13,0)</f>
        <v/>
      </c>
      <c r="O13" s="163">
        <f>IFERROR(IF(M13&lt;((1/2*L13*N13^2)*2),1/2*L13*SQRT((M13/2)*2/L13)^2,1/2*L13*N13^2),0)</f>
        <v/>
      </c>
      <c r="P13" s="163">
        <f>IFERROR(IF(M13-O13-Q13&lt;=0,0,M13-O13-Q13),0)</f>
        <v/>
      </c>
      <c r="Q13" s="163">
        <f>O13</f>
        <v/>
      </c>
      <c r="R13" s="163">
        <f>IFERROR(IF(M13&lt;((1/2*L13*N13^2)*2),SQRT((M13/2)*2/L13),N13),0)</f>
        <v/>
      </c>
      <c r="S13" s="163">
        <f>IFERROR(P13/K13,0)</f>
        <v/>
      </c>
      <c r="T13" s="163">
        <f>R13</f>
        <v/>
      </c>
      <c r="U13" s="163">
        <f>IF(J13&gt;0,J13,SUM(R13:T13))</f>
        <v/>
      </c>
      <c r="V13" s="163" t="n">
        <v>0.5</v>
      </c>
      <c r="W13" s="163">
        <f>U13*V13</f>
        <v/>
      </c>
      <c r="Y13" s="160">
        <f>Y11+1</f>
        <v/>
      </c>
      <c r="Z13" s="161" t="inlineStr">
        <is>
          <t>Quadron Forking Single Deep</t>
        </is>
      </c>
      <c r="AA13" s="162" t="inlineStr">
        <is>
          <t>Putaway tote or case (50% time to first deep)</t>
        </is>
      </c>
      <c r="AB13" s="163">
        <f>IFERROR(VLOOKUP(Z13,'Master List'!$A:$D,2,0),0)</f>
        <v/>
      </c>
      <c r="AC13" s="163">
        <f>IFERROR(VLOOKUP(Z13,'Master List'!$A:$D,3,0),0)</f>
        <v/>
      </c>
      <c r="AD13" s="163">
        <f>IFERROR(VLOOKUP(Z13,'Master List'!$A:$D,4,0),0)</f>
        <v/>
      </c>
      <c r="AE13" s="163" t="n"/>
      <c r="AF13" s="163">
        <f>IFERROR(AC13/AD13,0)</f>
        <v/>
      </c>
      <c r="AG13" s="163">
        <f>IFERROR(IF(AE13&lt;((1/2*AD13*AF13^2)*2),1/2*AD13*SQRT((AE13/2)*2/AD13)^2,1/2*AD13*AF13^2),0)</f>
        <v/>
      </c>
      <c r="AH13" s="163">
        <f>IFERROR(IF(AE13-AG13-AI13&lt;=0,0,AE13-AG13-AI13),0)</f>
        <v/>
      </c>
      <c r="AI13" s="163">
        <f>AG13</f>
        <v/>
      </c>
      <c r="AJ13" s="163">
        <f>IFERROR(IF(AE13&lt;((1/2*AD13*AF13^2)*2),SQRT((AE13/2)*2/AD13),AF13),0)</f>
        <v/>
      </c>
      <c r="AK13" s="163">
        <f>IFERROR(AH13/AC13,0)</f>
        <v/>
      </c>
      <c r="AL13" s="163">
        <f>AJ13</f>
        <v/>
      </c>
      <c r="AM13" s="163">
        <f>IF(AB13&gt;0,AB13,SUM(AJ13:AL13))</f>
        <v/>
      </c>
      <c r="AN13" s="163" t="n">
        <v>0.5</v>
      </c>
      <c r="AO13" s="163">
        <f>AM13*AN13</f>
        <v/>
      </c>
      <c r="CF13" s="79" t="n"/>
    </row>
    <row r="14">
      <c r="A14" s="33" t="inlineStr">
        <is>
          <t>Aisle length m</t>
        </is>
      </c>
      <c r="B14" s="26" t="n">
        <v>100</v>
      </c>
      <c r="G14" s="160">
        <f>G12+1</f>
        <v/>
      </c>
      <c r="H14" s="161" t="inlineStr">
        <is>
          <t>Quadron Forking Double Deep</t>
        </is>
      </c>
      <c r="I14" s="162" t="inlineStr">
        <is>
          <t>Putaway tote or case (50% time to second deep)</t>
        </is>
      </c>
      <c r="J14" s="163">
        <f>IFERROR(VLOOKUP(H14,'Master List'!$A:$D,2,0),0)</f>
        <v/>
      </c>
      <c r="K14" s="163">
        <f>IFERROR(VLOOKUP(H14,'Master List'!$A:$D,3,0),0)</f>
        <v/>
      </c>
      <c r="L14" s="163">
        <f>IFERROR(VLOOKUP(H14,'Master List'!$A:$D,4,0),0)</f>
        <v/>
      </c>
      <c r="M14" s="163" t="n"/>
      <c r="N14" s="163">
        <f>IFERROR(K14/L14,0)</f>
        <v/>
      </c>
      <c r="O14" s="163">
        <f>IFERROR(IF(M14&lt;((1/2*L14*N14^2)*2),1/2*L14*SQRT((M14/2)*2/L14)^2,1/2*L14*N14^2),0)</f>
        <v/>
      </c>
      <c r="P14" s="163">
        <f>IFERROR(IF(M14-O14-Q14&lt;=0,0,M14-O14-Q14),0)</f>
        <v/>
      </c>
      <c r="Q14" s="163">
        <f>O14</f>
        <v/>
      </c>
      <c r="R14" s="163">
        <f>IFERROR(IF(M14&lt;((1/2*L14*N14^2)*2),SQRT((M14/2)*2/L14),N14),0)</f>
        <v/>
      </c>
      <c r="S14" s="163">
        <f>IFERROR(P14/K14,0)</f>
        <v/>
      </c>
      <c r="T14" s="163">
        <f>R14</f>
        <v/>
      </c>
      <c r="U14" s="163">
        <f>IF(J14&gt;0,J14,SUM(R14:T14))</f>
        <v/>
      </c>
      <c r="V14" s="163" t="n">
        <v>0.5</v>
      </c>
      <c r="W14" s="163">
        <f>U14*V14</f>
        <v/>
      </c>
      <c r="Y14" s="160">
        <f>Y12+1</f>
        <v/>
      </c>
      <c r="Z14" s="161" t="inlineStr">
        <is>
          <t>Quadron Forking Double Deep</t>
        </is>
      </c>
      <c r="AA14" s="162" t="inlineStr">
        <is>
          <t>Putaway tote or case (50% time to second deep)</t>
        </is>
      </c>
      <c r="AB14" s="163">
        <f>IFERROR(VLOOKUP(Z14,'Master List'!$A:$D,2,0),0)</f>
        <v/>
      </c>
      <c r="AC14" s="163">
        <f>IFERROR(VLOOKUP(Z14,'Master List'!$A:$D,3,0),0)</f>
        <v/>
      </c>
      <c r="AD14" s="163">
        <f>IFERROR(VLOOKUP(Z14,'Master List'!$A:$D,4,0),0)</f>
        <v/>
      </c>
      <c r="AE14" s="163" t="n"/>
      <c r="AF14" s="163">
        <f>IFERROR(AC14/AD14,0)</f>
        <v/>
      </c>
      <c r="AG14" s="163">
        <f>IFERROR(IF(AE14&lt;((1/2*AD14*AF14^2)*2),1/2*AD14*SQRT((AE14/2)*2/AD14)^2,1/2*AD14*AF14^2),0)</f>
        <v/>
      </c>
      <c r="AH14" s="163">
        <f>IFERROR(IF(AE14-AG14-AI14&lt;=0,0,AE14-AG14-AI14),0)</f>
        <v/>
      </c>
      <c r="AI14" s="163">
        <f>AG14</f>
        <v/>
      </c>
      <c r="AJ14" s="163">
        <f>IFERROR(IF(AE14&lt;((1/2*AD14*AF14^2)*2),SQRT((AE14/2)*2/AD14),AF14),0)</f>
        <v/>
      </c>
      <c r="AK14" s="163">
        <f>IFERROR(AH14/AC14,0)</f>
        <v/>
      </c>
      <c r="AL14" s="163">
        <f>AJ14</f>
        <v/>
      </c>
      <c r="AM14" s="163">
        <f>IF(AB14&gt;0,AB14,SUM(AJ14:AL14))</f>
        <v/>
      </c>
      <c r="AN14" s="163" t="n">
        <v>0.5</v>
      </c>
      <c r="AO14" s="163">
        <f>AM14*AN14</f>
        <v/>
      </c>
      <c r="CF14" s="79" t="n"/>
    </row>
    <row r="15">
      <c r="G15" s="160">
        <f>G14+1</f>
        <v/>
      </c>
      <c r="H15" s="161" t="inlineStr">
        <is>
          <t>Quadron Running</t>
        </is>
      </c>
      <c r="I15" s="162" t="inlineStr">
        <is>
          <t>Outbound cycle</t>
        </is>
      </c>
      <c r="J15" s="163">
        <f>IFERROR(VLOOKUP(H15,'Master List'!$A:$D,2,0),0)</f>
        <v/>
      </c>
      <c r="K15" s="163">
        <f>IFERROR(VLOOKUP(H15,'Master List'!$A:$D,3,0),0)</f>
        <v/>
      </c>
      <c r="L15" s="163">
        <f>IFERROR(VLOOKUP(H15,'Master List'!$A:$D,4,0),0)</f>
        <v/>
      </c>
      <c r="M15" s="163">
        <f>B20</f>
        <v/>
      </c>
      <c r="N15" s="163">
        <f>IFERROR(K15/L15,0)</f>
        <v/>
      </c>
      <c r="O15" s="163">
        <f>IFERROR(IF(M15&lt;((1/2*L15*N15^2)*2),1/2*L15*SQRT((M15/2)*2/L15)^2,1/2*L15*N15^2),0)</f>
        <v/>
      </c>
      <c r="P15" s="163">
        <f>IFERROR(IF(M15-O15-Q15&lt;=0,0,M15-O15-Q15),0)</f>
        <v/>
      </c>
      <c r="Q15" s="163">
        <f>O15</f>
        <v/>
      </c>
      <c r="R15" s="163">
        <f>IFERROR(IF(M15&lt;((1/2*L15*N15^2)*2),SQRT((M15/2)*2/L15),N15),0)</f>
        <v/>
      </c>
      <c r="S15" s="163">
        <f>IFERROR(P15/K15,0)</f>
        <v/>
      </c>
      <c r="T15" s="163">
        <f>R15</f>
        <v/>
      </c>
      <c r="U15" s="163">
        <f>IF(J15&gt;0,J15,SUM(R15:T15))</f>
        <v/>
      </c>
      <c r="V15" s="163" t="n">
        <v>1</v>
      </c>
      <c r="W15" s="163">
        <f>U15*V15</f>
        <v/>
      </c>
      <c r="Y15" s="160">
        <f>Y14+1</f>
        <v/>
      </c>
      <c r="Z15" s="161" t="inlineStr">
        <is>
          <t>Quadron Running</t>
        </is>
      </c>
      <c r="AA15" s="162" t="inlineStr">
        <is>
          <t>Move to reach outbound side</t>
        </is>
      </c>
      <c r="AB15" s="163">
        <f>IFERROR(VLOOKUP(Z15,'Master List'!$A:$D,2,0),0)</f>
        <v/>
      </c>
      <c r="AC15" s="163">
        <f>IFERROR(VLOOKUP(Z15,'Master List'!$A:$D,3,0),0)</f>
        <v/>
      </c>
      <c r="AD15" s="163">
        <f>IFERROR(VLOOKUP(Z15,'Master List'!$A:$D,4,0),0)</f>
        <v/>
      </c>
      <c r="AE15" s="163">
        <f>AE12</f>
        <v/>
      </c>
      <c r="AF15" s="163">
        <f>IFERROR(AC15/AD15,0)</f>
        <v/>
      </c>
      <c r="AG15" s="163">
        <f>IFERROR(IF(AE15&lt;((1/2*AD15*AF15^2)*2),1/2*AD15*SQRT((AE15/2)*2/AD15)^2,1/2*AD15*AF15^2),0)</f>
        <v/>
      </c>
      <c r="AH15" s="163">
        <f>IFERROR(IF(AE15-AG15-AI15&lt;=0,0,AE15-AG15-AI15),0)</f>
        <v/>
      </c>
      <c r="AI15" s="163">
        <f>AG15</f>
        <v/>
      </c>
      <c r="AJ15" s="163">
        <f>IFERROR(IF(AE15&lt;((1/2*AD15*AF15^2)*2),SQRT((AE15/2)*2/AD15),AF15),0)</f>
        <v/>
      </c>
      <c r="AK15" s="163">
        <f>IFERROR(AH15/AC15,0)</f>
        <v/>
      </c>
      <c r="AL15" s="163">
        <f>AJ15</f>
        <v/>
      </c>
      <c r="AM15" s="163">
        <f>IF(AB15&gt;0,AB15,SUM(AJ15:AL15))</f>
        <v/>
      </c>
      <c r="AN15" s="163" t="n">
        <v>1</v>
      </c>
      <c r="AO15" s="163">
        <f>AM15*AN15</f>
        <v/>
      </c>
      <c r="CF15" s="79" t="n"/>
    </row>
    <row r="16">
      <c r="A16" s="33" t="n"/>
      <c r="B16" s="34" t="inlineStr">
        <is>
          <t>Cycles/ Hr</t>
        </is>
      </c>
      <c r="C16" s="34" t="inlineStr">
        <is>
          <t>Weightage</t>
        </is>
      </c>
      <c r="D16" s="34" t="inlineStr">
        <is>
          <t>Totes/ Cases per hr</t>
        </is>
      </c>
      <c r="G16" s="160">
        <f>G14+1</f>
        <v/>
      </c>
      <c r="H16" s="161" t="inlineStr">
        <is>
          <t>Quadron Forking Single Deep</t>
        </is>
      </c>
      <c r="I16" s="162" t="inlineStr">
        <is>
          <t>Pick tote or case (50% time to first deep)</t>
        </is>
      </c>
      <c r="J16" s="163">
        <f>IFERROR(VLOOKUP(H16,'Master List'!$A:$D,2,0),0)</f>
        <v/>
      </c>
      <c r="K16" s="163">
        <f>IFERROR(VLOOKUP(H16,'Master List'!$A:$D,3,0),0)</f>
        <v/>
      </c>
      <c r="L16" s="163">
        <f>IFERROR(VLOOKUP(H16,'Master List'!$A:$D,4,0),0)</f>
        <v/>
      </c>
      <c r="M16" s="163" t="n"/>
      <c r="N16" s="163">
        <f>IFERROR(K16/L16,0)</f>
        <v/>
      </c>
      <c r="O16" s="163">
        <f>IFERROR(IF(M16&lt;((1/2*L16*N16^2)*2),1/2*L16*SQRT((M16/2)*2/L16)^2,1/2*L16*N16^2),0)</f>
        <v/>
      </c>
      <c r="P16" s="163">
        <f>IFERROR(IF(M16-O16-Q16&lt;=0,0,M16-O16-Q16),0)</f>
        <v/>
      </c>
      <c r="Q16" s="163">
        <f>O16</f>
        <v/>
      </c>
      <c r="R16" s="163">
        <f>IFERROR(IF(M16&lt;((1/2*L16*N16^2)*2),SQRT((M16/2)*2/L16),N16),0)</f>
        <v/>
      </c>
      <c r="S16" s="163">
        <f>IFERROR(P16/K16,0)</f>
        <v/>
      </c>
      <c r="T16" s="163">
        <f>R16</f>
        <v/>
      </c>
      <c r="U16" s="163">
        <f>IF(J16&gt;0,J16,SUM(R16:T16))</f>
        <v/>
      </c>
      <c r="V16" s="163" t="n">
        <v>0.5</v>
      </c>
      <c r="W16" s="163">
        <f>U16*V16</f>
        <v/>
      </c>
      <c r="Y16" s="160">
        <f>Y14+1</f>
        <v/>
      </c>
      <c r="Z16" s="161" t="n"/>
      <c r="AA16" s="162" t="n"/>
      <c r="AB16" s="163">
        <f>IFERROR(VLOOKUP(Z16,'Master List'!$A:$D,2,0),0)</f>
        <v/>
      </c>
      <c r="AC16" s="163">
        <f>IFERROR(VLOOKUP(Z16,'Master List'!$A:$D,3,0),0)</f>
        <v/>
      </c>
      <c r="AD16" s="163">
        <f>IFERROR(VLOOKUP(Z16,'Master List'!$A:$D,4,0),0)</f>
        <v/>
      </c>
      <c r="AE16" s="163" t="n"/>
      <c r="AF16" s="163">
        <f>IFERROR(AC16/AD16,0)</f>
        <v/>
      </c>
      <c r="AG16" s="163">
        <f>IFERROR(IF(AE16&lt;((1/2*AD16*AF16^2)*2),1/2*AD16*SQRT((AE16/2)*2/AD16)^2,1/2*AD16*AF16^2),0)</f>
        <v/>
      </c>
      <c r="AH16" s="163">
        <f>IFERROR(IF(AE16-AG16-AI16&lt;=0,0,AE16-AG16-AI16),0)</f>
        <v/>
      </c>
      <c r="AI16" s="163">
        <f>AG16</f>
        <v/>
      </c>
      <c r="AJ16" s="163">
        <f>IFERROR(IF(AE16&lt;((1/2*AD16*AF16^2)*2),SQRT((AE16/2)*2/AD16),AF16),0)</f>
        <v/>
      </c>
      <c r="AK16" s="163">
        <f>IFERROR(AH16/AC16,0)</f>
        <v/>
      </c>
      <c r="AL16" s="163">
        <f>AJ16</f>
        <v/>
      </c>
      <c r="AM16" s="163">
        <f>IF(AB16&gt;0,AB16,SUM(AJ16:AL16))</f>
        <v/>
      </c>
      <c r="AN16" s="163" t="n"/>
      <c r="AO16" s="163">
        <f>AM16*AN16</f>
        <v/>
      </c>
      <c r="CF16" s="79" t="n"/>
    </row>
    <row r="17">
      <c r="A17" s="33" t="inlineStr">
        <is>
          <t>Combined cycle</t>
        </is>
      </c>
      <c r="B17" s="45">
        <f>'Quadron DD in&amp;out frm diff'!W6</f>
        <v/>
      </c>
      <c r="C17" s="36" t="n">
        <v>0.9</v>
      </c>
      <c r="D17" s="43">
        <f>B17*2</f>
        <v/>
      </c>
      <c r="G17" s="160">
        <f>G15+1</f>
        <v/>
      </c>
      <c r="H17" s="161" t="inlineStr">
        <is>
          <t>Quadron Forking Double Deep</t>
        </is>
      </c>
      <c r="I17" s="162" t="inlineStr">
        <is>
          <t>Pick tote or case (50% time to second deep)</t>
        </is>
      </c>
      <c r="J17" s="163">
        <f>IFERROR(VLOOKUP(H17,'Master List'!$A:$D,2,0),0)</f>
        <v/>
      </c>
      <c r="K17" s="163">
        <f>IFERROR(VLOOKUP(H17,'Master List'!$A:$D,3,0),0)</f>
        <v/>
      </c>
      <c r="L17" s="163">
        <f>IFERROR(VLOOKUP(H17,'Master List'!$A:$D,4,0),0)</f>
        <v/>
      </c>
      <c r="M17" s="163" t="n"/>
      <c r="N17" s="163">
        <f>IFERROR(K17/L17,0)</f>
        <v/>
      </c>
      <c r="O17" s="163">
        <f>IFERROR(IF(M17&lt;((1/2*L17*N17^2)*2),1/2*L17*SQRT((M17/2)*2/L17)^2,1/2*L17*N17^2),0)</f>
        <v/>
      </c>
      <c r="P17" s="163">
        <f>IFERROR(IF(M17-O17-Q17&lt;=0,0,M17-O17-Q17),0)</f>
        <v/>
      </c>
      <c r="Q17" s="163">
        <f>O17</f>
        <v/>
      </c>
      <c r="R17" s="163">
        <f>IFERROR(IF(M17&lt;((1/2*L17*N17^2)*2),SQRT((M17/2)*2/L17),N17),0)</f>
        <v/>
      </c>
      <c r="S17" s="163">
        <f>IFERROR(P17/K17,0)</f>
        <v/>
      </c>
      <c r="T17" s="163">
        <f>R17</f>
        <v/>
      </c>
      <c r="U17" s="163">
        <f>IF(J17&gt;0,J17,SUM(R17:T17))</f>
        <v/>
      </c>
      <c r="V17" s="163" t="n">
        <v>0.5</v>
      </c>
      <c r="W17" s="163">
        <f>U17*V17</f>
        <v/>
      </c>
      <c r="Y17" s="160">
        <f>Y15+1</f>
        <v/>
      </c>
      <c r="Z17" s="161" t="n"/>
      <c r="AA17" s="162" t="n"/>
      <c r="AB17" s="163">
        <f>IFERROR(VLOOKUP(Z17,'Master List'!$A:$D,2,0),0)</f>
        <v/>
      </c>
      <c r="AC17" s="163">
        <f>IFERROR(VLOOKUP(Z17,'Master List'!$A:$D,3,0),0)</f>
        <v/>
      </c>
      <c r="AD17" s="163">
        <f>IFERROR(VLOOKUP(Z17,'Master List'!$A:$D,4,0),0)</f>
        <v/>
      </c>
      <c r="AE17" s="163">
        <f>B14</f>
        <v/>
      </c>
      <c r="AF17" s="163">
        <f>IFERROR(AC17/AD17,0)</f>
        <v/>
      </c>
      <c r="AG17" s="163">
        <f>IFERROR(IF(AE17&lt;((1/2*AD17*AF17^2)*2),1/2*AD17*SQRT((AE17/2)*2/AD17)^2,1/2*AD17*AF17^2),0)</f>
        <v/>
      </c>
      <c r="AH17" s="163">
        <f>IFERROR(IF(AE17-AG17-AI17&lt;=0,0,AE17-AG17-AI17),0)</f>
        <v/>
      </c>
      <c r="AI17" s="163">
        <f>AG17</f>
        <v/>
      </c>
      <c r="AJ17" s="163">
        <f>IFERROR(IF(AE17&lt;((1/2*AD17*AF17^2)*2),SQRT((AE17/2)*2/AD17),AF17),0)</f>
        <v/>
      </c>
      <c r="AK17" s="163">
        <f>IFERROR(AH17/AC17,0)</f>
        <v/>
      </c>
      <c r="AL17" s="163">
        <f>AJ17</f>
        <v/>
      </c>
      <c r="AM17" s="163">
        <f>IF(AB17&gt;0,AB17,SUM(AJ17:AL17))</f>
        <v/>
      </c>
      <c r="AN17" s="163" t="n"/>
      <c r="AO17" s="163">
        <f>AM17*AN17</f>
        <v/>
      </c>
      <c r="CF17" s="79" t="n"/>
    </row>
    <row r="18">
      <c r="A18" s="33" t="inlineStr">
        <is>
          <t>Single Cycle</t>
        </is>
      </c>
      <c r="B18" s="45">
        <f>'Quadron DD in&amp;out frm diff'!AO6</f>
        <v/>
      </c>
      <c r="C18" s="36" t="n">
        <v>0.1</v>
      </c>
      <c r="D18" s="43">
        <f>B18*1</f>
        <v/>
      </c>
      <c r="G18" s="160">
        <f>G17+1</f>
        <v/>
      </c>
      <c r="H18" s="161" t="inlineStr">
        <is>
          <t>Quadron Running</t>
        </is>
      </c>
      <c r="I18" s="162" t="inlineStr">
        <is>
          <t>Deliver tote or case to buffer conveyor</t>
        </is>
      </c>
      <c r="J18" s="163">
        <f>IFERROR(VLOOKUP(H18,'Master List'!$A:$D,2,0),0)</f>
        <v/>
      </c>
      <c r="K18" s="163">
        <f>IFERROR(VLOOKUP(H18,'Master List'!$A:$D,3,0),0)</f>
        <v/>
      </c>
      <c r="L18" s="163">
        <f>IFERROR(VLOOKUP(H18,'Master List'!$A:$D,4,0),0)</f>
        <v/>
      </c>
      <c r="M18" s="163">
        <f>$B$14-SUM(M12,M15)</f>
        <v/>
      </c>
      <c r="N18" s="163">
        <f>IFERROR(K18/L18,0)</f>
        <v/>
      </c>
      <c r="O18" s="163">
        <f>IFERROR(IF(M18&lt;((1/2*L18*N18^2)*2),1/2*L18*SQRT((M18/2)*2/L18)^2,1/2*L18*N18^2),0)</f>
        <v/>
      </c>
      <c r="P18" s="163">
        <f>IFERROR(IF(M18-O18-Q18&lt;=0,0,M18-O18-Q18),0)</f>
        <v/>
      </c>
      <c r="Q18" s="163">
        <f>O18</f>
        <v/>
      </c>
      <c r="R18" s="163">
        <f>IFERROR(IF(M18&lt;((1/2*L18*N18^2)*2),SQRT((M18/2)*2/L18),N18),0)</f>
        <v/>
      </c>
      <c r="S18" s="163">
        <f>IFERROR(P18/K18,0)</f>
        <v/>
      </c>
      <c r="T18" s="163">
        <f>R18</f>
        <v/>
      </c>
      <c r="U18" s="163">
        <f>IF(J18&gt;0,J18,SUM(R18:T18))</f>
        <v/>
      </c>
      <c r="V18" s="163" t="n">
        <v>1</v>
      </c>
      <c r="W18" s="163">
        <f>U18*V18</f>
        <v/>
      </c>
      <c r="Y18" s="160">
        <f>Y17+1</f>
        <v/>
      </c>
      <c r="Z18" s="161" t="n"/>
      <c r="AA18" s="162" t="n"/>
      <c r="AB18" s="163">
        <f>IFERROR(VLOOKUP(Z18,'Master List'!$A:$D,2,0),0)</f>
        <v/>
      </c>
      <c r="AC18" s="163">
        <f>IFERROR(VLOOKUP(Z18,'Master List'!$A:$D,3,0),0)</f>
        <v/>
      </c>
      <c r="AD18" s="163">
        <f>IFERROR(VLOOKUP(Z18,'Master List'!$A:$D,4,0),0)</f>
        <v/>
      </c>
      <c r="AE18" s="163" t="n"/>
      <c r="AF18" s="163">
        <f>IFERROR(AC18/AD18,0)</f>
        <v/>
      </c>
      <c r="AG18" s="163">
        <f>IFERROR(IF(AE18&lt;((1/2*AD18*AF18^2)*2),1/2*AD18*SQRT((AE18/2)*2/AD18)^2,1/2*AD18*AF18^2),0)</f>
        <v/>
      </c>
      <c r="AH18" s="163">
        <f>IFERROR(IF(AE18-AG18-AI18&lt;=0,0,AE18-AG18-AI18),0)</f>
        <v/>
      </c>
      <c r="AI18" s="163">
        <f>AG18</f>
        <v/>
      </c>
      <c r="AJ18" s="163">
        <f>IFERROR(IF(AE18&lt;((1/2*AD18*AF18^2)*2),SQRT((AE18/2)*2/AD18),AF18),0)</f>
        <v/>
      </c>
      <c r="AK18" s="163">
        <f>IFERROR(AH18/AC18,0)</f>
        <v/>
      </c>
      <c r="AL18" s="163">
        <f>AJ18</f>
        <v/>
      </c>
      <c r="AM18" s="163">
        <f>IF(AB18&gt;0,AB18,SUM(AJ18:AL18))</f>
        <v/>
      </c>
      <c r="AN18" s="163" t="n"/>
      <c r="AO18" s="163">
        <f>AM18*AN18</f>
        <v/>
      </c>
      <c r="CF18" s="79" t="n"/>
    </row>
    <row r="19">
      <c r="C19" s="44">
        <f>SUM(C17:C18)</f>
        <v/>
      </c>
      <c r="G19" s="160">
        <f>G18+1</f>
        <v/>
      </c>
      <c r="H19" s="161" t="inlineStr">
        <is>
          <t>Quadron Forking Single Deep</t>
        </is>
      </c>
      <c r="I19" s="162" t="inlineStr">
        <is>
          <t>Deliver tote or case from buffer conveyor</t>
        </is>
      </c>
      <c r="J19" s="163">
        <f>IFERROR(VLOOKUP(H19,'Master List'!$A:$D,2,0),0)</f>
        <v/>
      </c>
      <c r="K19" s="163">
        <f>IFERROR(VLOOKUP(H19,'Master List'!$A:$D,3,0),0)</f>
        <v/>
      </c>
      <c r="L19" s="163">
        <f>IFERROR(VLOOKUP(H19,'Master List'!$A:$D,4,0),0)</f>
        <v/>
      </c>
      <c r="M19" s="163" t="n"/>
      <c r="N19" s="163">
        <f>IFERROR(K19/L19,0)</f>
        <v/>
      </c>
      <c r="O19" s="163">
        <f>IFERROR(IF(M19&lt;((1/2*L19*N19^2)*2),1/2*L19*SQRT((M19/2)*2/L19)^2,1/2*L19*N19^2),0)</f>
        <v/>
      </c>
      <c r="P19" s="163">
        <f>IFERROR(IF(M19-O19-Q19&lt;=0,0,M19-O19-Q19),0)</f>
        <v/>
      </c>
      <c r="Q19" s="163">
        <f>O19</f>
        <v/>
      </c>
      <c r="R19" s="163">
        <f>IFERROR(IF(M19&lt;((1/2*L19*N19^2)*2),SQRT((M19/2)*2/L19),N19),0)</f>
        <v/>
      </c>
      <c r="S19" s="163">
        <f>IFERROR(P19/K19,0)</f>
        <v/>
      </c>
      <c r="T19" s="163">
        <f>R19</f>
        <v/>
      </c>
      <c r="U19" s="163">
        <f>IF(J19&gt;0,J19,SUM(R19:T19))</f>
        <v/>
      </c>
      <c r="V19" s="163" t="n">
        <v>1</v>
      </c>
      <c r="W19" s="163">
        <f>U19*V19</f>
        <v/>
      </c>
      <c r="Y19" s="160">
        <f>Y18+1</f>
        <v/>
      </c>
      <c r="Z19" s="161" t="n"/>
      <c r="AA19" s="162" t="n"/>
      <c r="AB19" s="163">
        <f>IFERROR(VLOOKUP(Z19,'Master List'!$A:$D,2,0),0)</f>
        <v/>
      </c>
      <c r="AC19" s="163">
        <f>IFERROR(VLOOKUP(Z19,'Master List'!$A:$D,3,0),0)</f>
        <v/>
      </c>
      <c r="AD19" s="163">
        <f>IFERROR(VLOOKUP(Z19,'Master List'!$A:$D,4,0),0)</f>
        <v/>
      </c>
      <c r="AE19" s="163" t="n"/>
      <c r="AF19" s="163">
        <f>IFERROR(AC19/AD19,0)</f>
        <v/>
      </c>
      <c r="AG19" s="163">
        <f>IFERROR(IF(AE19&lt;((1/2*AD19*AF19^2)*2),1/2*AD19*SQRT((AE19/2)*2/AD19)^2,1/2*AD19*AF19^2),0)</f>
        <v/>
      </c>
      <c r="AH19" s="163">
        <f>IFERROR(IF(AE19-AG19-AI19&lt;=0,0,AE19-AG19-AI19),0)</f>
        <v/>
      </c>
      <c r="AI19" s="163">
        <f>AG19</f>
        <v/>
      </c>
      <c r="AJ19" s="163">
        <f>IFERROR(IF(AE19&lt;((1/2*AD19*AF19^2)*2),SQRT((AE19/2)*2/AD19),AF19),0)</f>
        <v/>
      </c>
      <c r="AK19" s="163">
        <f>IFERROR(AH19/AC19,0)</f>
        <v/>
      </c>
      <c r="AL19" s="163">
        <f>AJ19</f>
        <v/>
      </c>
      <c r="AM19" s="163">
        <f>IF(AB19&gt;0,AB19,SUM(AJ19:AL19))</f>
        <v/>
      </c>
      <c r="AN19" s="163" t="n"/>
      <c r="AO19" s="163">
        <f>AM19*AN19</f>
        <v/>
      </c>
      <c r="CF19" s="79" t="n"/>
    </row>
    <row r="20">
      <c r="A20" s="30" t="inlineStr">
        <is>
          <t>Combined cycle next location distance m</t>
        </is>
      </c>
      <c r="B20" s="533">
        <f>B14*5%</f>
        <v/>
      </c>
      <c r="G20" s="160">
        <f>G19+1</f>
        <v/>
      </c>
      <c r="H20" s="161" t="inlineStr">
        <is>
          <t>Quadron Running</t>
        </is>
      </c>
      <c r="I20" s="162" t="inlineStr">
        <is>
          <t>Coming pack to Inbound side</t>
        </is>
      </c>
      <c r="J20" s="163">
        <f>IFERROR(VLOOKUP(H20,'Master List'!$A:$D,2,0),0)</f>
        <v/>
      </c>
      <c r="K20" s="163">
        <f>IFERROR(VLOOKUP(H20,'Master List'!$A:$D,3,0),0)</f>
        <v/>
      </c>
      <c r="L20" s="163">
        <f>IFERROR(VLOOKUP(H20,'Master List'!$A:$D,4,0),0)</f>
        <v/>
      </c>
      <c r="M20" s="163">
        <f>B14</f>
        <v/>
      </c>
      <c r="N20" s="163">
        <f>IFERROR(K20/L20,0)</f>
        <v/>
      </c>
      <c r="O20" s="163">
        <f>IFERROR(IF(M20&lt;((1/2*L20*N20^2)*2),1/2*L20*SQRT((M20/2)*2/L20)^2,1/2*L20*N20^2),0)</f>
        <v/>
      </c>
      <c r="P20" s="163">
        <f>IFERROR(IF(M20-O20-Q20&lt;=0,0,M20-O20-Q20),0)</f>
        <v/>
      </c>
      <c r="Q20" s="163">
        <f>O20</f>
        <v/>
      </c>
      <c r="R20" s="163">
        <f>IFERROR(IF(M20&lt;((1/2*L20*N20^2)*2),SQRT((M20/2)*2/L20),N20),0)</f>
        <v/>
      </c>
      <c r="S20" s="163">
        <f>IFERROR(P20/K20,0)</f>
        <v/>
      </c>
      <c r="T20" s="163">
        <f>R20</f>
        <v/>
      </c>
      <c r="U20" s="163">
        <f>IF(J20&gt;0,J20,SUM(R20:T20))</f>
        <v/>
      </c>
      <c r="V20" s="163" t="n">
        <v>1</v>
      </c>
      <c r="W20" s="163">
        <f>U20*V20</f>
        <v/>
      </c>
      <c r="Y20" s="160">
        <f>Y19+1</f>
        <v/>
      </c>
      <c r="Z20" s="161" t="n"/>
      <c r="AA20" s="162" t="n"/>
      <c r="AB20" s="163">
        <f>IFERROR(VLOOKUP(Z20,'Master List'!$A:$D,2,0),0)</f>
        <v/>
      </c>
      <c r="AC20" s="163">
        <f>IFERROR(VLOOKUP(Z20,'Master List'!$A:$D,3,0),0)</f>
        <v/>
      </c>
      <c r="AD20" s="163">
        <f>IFERROR(VLOOKUP(Z20,'Master List'!$A:$D,4,0),0)</f>
        <v/>
      </c>
      <c r="AE20" s="163" t="n"/>
      <c r="AF20" s="163">
        <f>IFERROR(AC20/AD20,0)</f>
        <v/>
      </c>
      <c r="AG20" s="163">
        <f>IFERROR(IF(AE20&lt;((1/2*AD20*AF20^2)*2),1/2*AD20*SQRT((AE20/2)*2/AD20)^2,1/2*AD20*AF20^2),0)</f>
        <v/>
      </c>
      <c r="AH20" s="163">
        <f>IFERROR(IF(AE20-AG20-AI20&lt;=0,0,AE20-AG20-AI20),0)</f>
        <v/>
      </c>
      <c r="AI20" s="163">
        <f>AG20</f>
        <v/>
      </c>
      <c r="AJ20" s="163">
        <f>IFERROR(IF(AE20&lt;((1/2*AD20*AF20^2)*2),SQRT((AE20/2)*2/AD20),AF20),0)</f>
        <v/>
      </c>
      <c r="AK20" s="163">
        <f>IFERROR(AH20/AC20,0)</f>
        <v/>
      </c>
      <c r="AL20" s="163">
        <f>AJ20</f>
        <v/>
      </c>
      <c r="AM20" s="163">
        <f>IF(AB20&gt;0,AB20,SUM(AJ20:AL20))</f>
        <v/>
      </c>
      <c r="AN20" s="163" t="n"/>
      <c r="AO20" s="163">
        <f>AM20*AN20</f>
        <v/>
      </c>
      <c r="CF20" s="79" t="n"/>
    </row>
    <row r="21">
      <c r="C21" s="47" t="n"/>
      <c r="G21" s="160">
        <f>G20+1</f>
        <v/>
      </c>
      <c r="H21" s="161" t="n"/>
      <c r="I21" s="162" t="n"/>
      <c r="J21" s="163">
        <f>IFERROR(VLOOKUP(H21,'Master List'!$A:$D,2,0),0)</f>
        <v/>
      </c>
      <c r="K21" s="163">
        <f>IFERROR(VLOOKUP(H21,'Master List'!$A:$D,3,0),0)</f>
        <v/>
      </c>
      <c r="L21" s="163">
        <f>IFERROR(VLOOKUP(H21,'Master List'!$A:$D,4,0),0)</f>
        <v/>
      </c>
      <c r="M21" s="163" t="n"/>
      <c r="N21" s="163">
        <f>IFERROR(K21/L21,0)</f>
        <v/>
      </c>
      <c r="O21" s="163">
        <f>IFERROR(IF(M21&lt;((1/2*L21*N21^2)*2),1/2*L21*SQRT((M21/2)*2/L21)^2,1/2*L21*N21^2),0)</f>
        <v/>
      </c>
      <c r="P21" s="163">
        <f>IFERROR(IF(M21-O21-Q21&lt;=0,0,M21-O21-Q21),0)</f>
        <v/>
      </c>
      <c r="Q21" s="163">
        <f>O21</f>
        <v/>
      </c>
      <c r="R21" s="163">
        <f>IFERROR(IF(M21&lt;((1/2*L21*N21^2)*2),SQRT((M21/2)*2/L21),N21),0)</f>
        <v/>
      </c>
      <c r="S21" s="163">
        <f>IFERROR(P21/K21,0)</f>
        <v/>
      </c>
      <c r="T21" s="163">
        <f>R21</f>
        <v/>
      </c>
      <c r="U21" s="163">
        <f>IF(J21&gt;0,J21,SUM(R21:T21))</f>
        <v/>
      </c>
      <c r="V21" s="163" t="n"/>
      <c r="W21" s="163">
        <f>U21*V21</f>
        <v/>
      </c>
      <c r="Y21" s="160">
        <f>Y20+1</f>
        <v/>
      </c>
      <c r="Z21" s="161" t="n"/>
      <c r="AA21" s="162" t="n"/>
      <c r="AB21" s="163">
        <f>IFERROR(VLOOKUP(Z21,'Master List'!$A:$D,2,0),0)</f>
        <v/>
      </c>
      <c r="AC21" s="163">
        <f>IFERROR(VLOOKUP(Z21,'Master List'!$A:$D,3,0),0)</f>
        <v/>
      </c>
      <c r="AD21" s="163">
        <f>IFERROR(VLOOKUP(Z21,'Master List'!$A:$D,4,0),0)</f>
        <v/>
      </c>
      <c r="AE21" s="163" t="n"/>
      <c r="AF21" s="163">
        <f>IFERROR(AC21/AD21,0)</f>
        <v/>
      </c>
      <c r="AG21" s="163">
        <f>IFERROR(IF(AE21&lt;((1/2*AD21*AF21^2)*2),1/2*AD21*SQRT((AE21/2)*2/AD21)^2,1/2*AD21*AF21^2),0)</f>
        <v/>
      </c>
      <c r="AH21" s="163">
        <f>IFERROR(IF(AE21-AG21-AI21&lt;=0,0,AE21-AG21-AI21),0)</f>
        <v/>
      </c>
      <c r="AI21" s="163">
        <f>AG21</f>
        <v/>
      </c>
      <c r="AJ21" s="163">
        <f>IFERROR(IF(AE21&lt;((1/2*AD21*AF21^2)*2),SQRT((AE21/2)*2/AD21),AF21),0)</f>
        <v/>
      </c>
      <c r="AK21" s="163">
        <f>IFERROR(AH21/AC21,0)</f>
        <v/>
      </c>
      <c r="AL21" s="163">
        <f>AJ21</f>
        <v/>
      </c>
      <c r="AM21" s="163">
        <f>IF(AB21&gt;0,AB21,SUM(AJ21:AL21))</f>
        <v/>
      </c>
      <c r="AN21" s="163" t="n"/>
      <c r="AO21" s="163">
        <f>AM21*AN21</f>
        <v/>
      </c>
      <c r="CF21" s="79" t="n"/>
    </row>
    <row r="22">
      <c r="G22" s="160">
        <f>G21+1</f>
        <v/>
      </c>
      <c r="H22" s="161" t="n"/>
      <c r="I22" s="162" t="n"/>
      <c r="J22" s="163">
        <f>IFERROR(VLOOKUP(H22,'Master List'!$A:$D,2,0),0)</f>
        <v/>
      </c>
      <c r="K22" s="163">
        <f>IFERROR(VLOOKUP(H22,'Master List'!$A:$D,3,0),0)</f>
        <v/>
      </c>
      <c r="L22" s="163">
        <f>IFERROR(VLOOKUP(H22,'Master List'!$A:$D,4,0),0)</f>
        <v/>
      </c>
      <c r="M22" s="163" t="n"/>
      <c r="N22" s="163">
        <f>IFERROR(K22/L22,0)</f>
        <v/>
      </c>
      <c r="O22" s="163">
        <f>IFERROR(IF(M22&lt;((1/2*L22*N22^2)*2),1/2*L22*SQRT((M22/2)*2/L22)^2,1/2*L22*N22^2),0)</f>
        <v/>
      </c>
      <c r="P22" s="163">
        <f>IFERROR(IF(M22-O22-Q22&lt;=0,0,M22-O22-Q22),0)</f>
        <v/>
      </c>
      <c r="Q22" s="163">
        <f>O22</f>
        <v/>
      </c>
      <c r="R22" s="163">
        <f>IFERROR(IF(M22&lt;((1/2*L22*N22^2)*2),SQRT((M22/2)*2/L22),N22),0)</f>
        <v/>
      </c>
      <c r="S22" s="163">
        <f>IFERROR(P22/K22,0)</f>
        <v/>
      </c>
      <c r="T22" s="163">
        <f>R22</f>
        <v/>
      </c>
      <c r="U22" s="163">
        <f>IF(J22&gt;0,J22,SUM(R22:T22))</f>
        <v/>
      </c>
      <c r="V22" s="163" t="n"/>
      <c r="W22" s="163">
        <f>U22*V22</f>
        <v/>
      </c>
      <c r="Y22" s="160">
        <f>Y21+1</f>
        <v/>
      </c>
      <c r="Z22" s="161" t="n"/>
      <c r="AA22" s="162" t="n"/>
      <c r="AB22" s="163">
        <f>IFERROR(VLOOKUP(Z22,'Master List'!$A:$D,2,0),0)</f>
        <v/>
      </c>
      <c r="AC22" s="163">
        <f>IFERROR(VLOOKUP(Z22,'Master List'!$A:$D,3,0),0)</f>
        <v/>
      </c>
      <c r="AD22" s="163">
        <f>IFERROR(VLOOKUP(Z22,'Master List'!$A:$D,4,0),0)</f>
        <v/>
      </c>
      <c r="AE22" s="163" t="n"/>
      <c r="AF22" s="163">
        <f>IFERROR(AC22/AD22,0)</f>
        <v/>
      </c>
      <c r="AG22" s="163">
        <f>IFERROR(IF(AE22&lt;((1/2*AD22*AF22^2)*2),1/2*AD22*SQRT((AE22/2)*2/AD22)^2,1/2*AD22*AF22^2),0)</f>
        <v/>
      </c>
      <c r="AH22" s="163">
        <f>IFERROR(IF(AE22-AG22-AI22&lt;=0,0,AE22-AG22-AI22),0)</f>
        <v/>
      </c>
      <c r="AI22" s="163">
        <f>AG22</f>
        <v/>
      </c>
      <c r="AJ22" s="163">
        <f>IFERROR(IF(AE22&lt;((1/2*AD22*AF22^2)*2),SQRT((AE22/2)*2/AD22),AF22),0)</f>
        <v/>
      </c>
      <c r="AK22" s="163">
        <f>IFERROR(AH22/AC22,0)</f>
        <v/>
      </c>
      <c r="AL22" s="163">
        <f>AJ22</f>
        <v/>
      </c>
      <c r="AM22" s="163">
        <f>IF(AB22&gt;0,AB22,SUM(AJ22:AL22))</f>
        <v/>
      </c>
      <c r="AN22" s="163" t="n"/>
      <c r="AO22" s="163">
        <f>AM22*AN22</f>
        <v/>
      </c>
      <c r="CF22" s="79" t="n"/>
    </row>
    <row r="23">
      <c r="G23" s="160">
        <f>G22+1</f>
        <v/>
      </c>
      <c r="H23" s="161" t="n"/>
      <c r="I23" s="162" t="n"/>
      <c r="J23" s="163">
        <f>IFERROR(VLOOKUP(H23,'Master List'!$A:$D,2,0),0)</f>
        <v/>
      </c>
      <c r="K23" s="163">
        <f>IFERROR(VLOOKUP(H23,'Master List'!$A:$D,3,0),0)</f>
        <v/>
      </c>
      <c r="L23" s="163">
        <f>IFERROR(VLOOKUP(H23,'Master List'!$A:$D,4,0),0)</f>
        <v/>
      </c>
      <c r="M23" s="163" t="n"/>
      <c r="N23" s="163">
        <f>IFERROR(K23/L23,0)</f>
        <v/>
      </c>
      <c r="O23" s="163">
        <f>IFERROR(IF(M23&lt;((1/2*L23*N23^2)*2),1/2*L23*SQRT((M23/2)*2/L23)^2,1/2*L23*N23^2),0)</f>
        <v/>
      </c>
      <c r="P23" s="163">
        <f>IFERROR(IF(M23-O23-Q23&lt;=0,0,M23-O23-Q23),0)</f>
        <v/>
      </c>
      <c r="Q23" s="163">
        <f>O23</f>
        <v/>
      </c>
      <c r="R23" s="163">
        <f>IFERROR(IF(M23&lt;((1/2*L23*N23^2)*2),SQRT((M23/2)*2/L23),N23),0)</f>
        <v/>
      </c>
      <c r="S23" s="163">
        <f>IFERROR(P23/K23,0)</f>
        <v/>
      </c>
      <c r="T23" s="163">
        <f>R23</f>
        <v/>
      </c>
      <c r="U23" s="163">
        <f>IF(J23&gt;0,J23,SUM(R23:T23))</f>
        <v/>
      </c>
      <c r="V23" s="163" t="n"/>
      <c r="W23" s="163">
        <f>U23*V23</f>
        <v/>
      </c>
      <c r="Y23" s="160">
        <f>Y22+1</f>
        <v/>
      </c>
      <c r="Z23" s="161" t="n"/>
      <c r="AA23" s="162" t="n"/>
      <c r="AB23" s="163">
        <f>IFERROR(VLOOKUP(Z23,'Master List'!$A:$D,2,0),0)</f>
        <v/>
      </c>
      <c r="AC23" s="163">
        <f>IFERROR(VLOOKUP(Z23,'Master List'!$A:$D,3,0),0)</f>
        <v/>
      </c>
      <c r="AD23" s="163">
        <f>IFERROR(VLOOKUP(Z23,'Master List'!$A:$D,4,0),0)</f>
        <v/>
      </c>
      <c r="AE23" s="163" t="n"/>
      <c r="AF23" s="163">
        <f>IFERROR(AC23/AD23,0)</f>
        <v/>
      </c>
      <c r="AG23" s="163">
        <f>IFERROR(IF(AE23&lt;((1/2*AD23*AF23^2)*2),1/2*AD23*SQRT((AE23/2)*2/AD23)^2,1/2*AD23*AF23^2),0)</f>
        <v/>
      </c>
      <c r="AH23" s="163">
        <f>IFERROR(IF(AE23-AG23-AI23&lt;=0,0,AE23-AG23-AI23),0)</f>
        <v/>
      </c>
      <c r="AI23" s="163">
        <f>AG23</f>
        <v/>
      </c>
      <c r="AJ23" s="163">
        <f>IFERROR(IF(AE23&lt;((1/2*AD23*AF23^2)*2),SQRT((AE23/2)*2/AD23),AF23),0)</f>
        <v/>
      </c>
      <c r="AK23" s="163">
        <f>IFERROR(AH23/AC23,0)</f>
        <v/>
      </c>
      <c r="AL23" s="163">
        <f>AJ23</f>
        <v/>
      </c>
      <c r="AM23" s="163">
        <f>IF(AB23&gt;0,AB23,SUM(AJ23:AL23))</f>
        <v/>
      </c>
      <c r="AN23" s="163" t="n"/>
      <c r="AO23" s="163">
        <f>AM23*AN23</f>
        <v/>
      </c>
    </row>
    <row r="24">
      <c r="G24" s="160">
        <f>G23+1</f>
        <v/>
      </c>
      <c r="H24" s="161" t="n"/>
      <c r="I24" s="162" t="n"/>
      <c r="J24" s="163">
        <f>IFERROR(VLOOKUP(H24,'Master List'!$A:$D,2,0),0)</f>
        <v/>
      </c>
      <c r="K24" s="163">
        <f>IFERROR(VLOOKUP(H24,'Master List'!$A:$D,3,0),0)</f>
        <v/>
      </c>
      <c r="L24" s="163">
        <f>IFERROR(VLOOKUP(H24,'Master List'!$A:$D,4,0),0)</f>
        <v/>
      </c>
      <c r="M24" s="163" t="n"/>
      <c r="N24" s="163">
        <f>IFERROR(K24/L24,0)</f>
        <v/>
      </c>
      <c r="O24" s="163">
        <f>IFERROR(IF(M24&lt;((1/2*L24*N24^2)*2),1/2*L24*SQRT((M24/2)*2/L24)^2,1/2*L24*N24^2),0)</f>
        <v/>
      </c>
      <c r="P24" s="163">
        <f>IFERROR(IF(M24-O24-Q24&lt;=0,0,M24-O24-Q24),0)</f>
        <v/>
      </c>
      <c r="Q24" s="163">
        <f>O24</f>
        <v/>
      </c>
      <c r="R24" s="163">
        <f>IFERROR(IF(M24&lt;((1/2*L24*N24^2)*2),SQRT((M24/2)*2/L24),N24),0)</f>
        <v/>
      </c>
      <c r="S24" s="163">
        <f>IFERROR(P24/K24,0)</f>
        <v/>
      </c>
      <c r="T24" s="163">
        <f>R24</f>
        <v/>
      </c>
      <c r="U24" s="163">
        <f>IF(J24&gt;0,J24,SUM(R24:T24))</f>
        <v/>
      </c>
      <c r="V24" s="163" t="n"/>
      <c r="W24" s="163">
        <f>U24*V24</f>
        <v/>
      </c>
      <c r="Y24" s="160">
        <f>Y23+1</f>
        <v/>
      </c>
      <c r="Z24" s="161" t="n"/>
      <c r="AA24" s="162" t="n"/>
      <c r="AB24" s="163">
        <f>IFERROR(VLOOKUP(Z24,'Master List'!$A:$D,2,0),0)</f>
        <v/>
      </c>
      <c r="AC24" s="163">
        <f>IFERROR(VLOOKUP(Z24,'Master List'!$A:$D,3,0),0)</f>
        <v/>
      </c>
      <c r="AD24" s="163">
        <f>IFERROR(VLOOKUP(Z24,'Master List'!$A:$D,4,0),0)</f>
        <v/>
      </c>
      <c r="AE24" s="163" t="n"/>
      <c r="AF24" s="163">
        <f>IFERROR(AC24/AD24,0)</f>
        <v/>
      </c>
      <c r="AG24" s="163">
        <f>IFERROR(IF(AE24&lt;((1/2*AD24*AF24^2)*2),1/2*AD24*SQRT((AE24/2)*2/AD24)^2,1/2*AD24*AF24^2),0)</f>
        <v/>
      </c>
      <c r="AH24" s="163">
        <f>IFERROR(IF(AE24-AG24-AI24&lt;=0,0,AE24-AG24-AI24),0)</f>
        <v/>
      </c>
      <c r="AI24" s="163">
        <f>AG24</f>
        <v/>
      </c>
      <c r="AJ24" s="163">
        <f>IFERROR(IF(AE24&lt;((1/2*AD24*AF24^2)*2),SQRT((AE24/2)*2/AD24),AF24),0)</f>
        <v/>
      </c>
      <c r="AK24" s="163">
        <f>IFERROR(AH24/AC24,0)</f>
        <v/>
      </c>
      <c r="AL24" s="163">
        <f>AJ24</f>
        <v/>
      </c>
      <c r="AM24" s="163">
        <f>IF(AB24&gt;0,AB24,SUM(AJ24:AL24))</f>
        <v/>
      </c>
      <c r="AN24" s="163" t="n"/>
      <c r="AO24" s="163">
        <f>AM24*AN24</f>
        <v/>
      </c>
    </row>
    <row r="25">
      <c r="G25" s="160">
        <f>G24+1</f>
        <v/>
      </c>
      <c r="H25" s="161" t="n"/>
      <c r="I25" s="162" t="n"/>
      <c r="J25" s="163">
        <f>IFERROR(VLOOKUP(H25,'Master List'!$A:$D,2,0),0)</f>
        <v/>
      </c>
      <c r="K25" s="163">
        <f>IFERROR(VLOOKUP(H25,'Master List'!$A:$D,3,0),0)</f>
        <v/>
      </c>
      <c r="L25" s="163">
        <f>IFERROR(VLOOKUP(H25,'Master List'!$A:$D,4,0),0)</f>
        <v/>
      </c>
      <c r="M25" s="163" t="n"/>
      <c r="N25" s="163">
        <f>IFERROR(K25/L25,0)</f>
        <v/>
      </c>
      <c r="O25" s="163">
        <f>IFERROR(IF(M25&lt;((1/2*L25*N25^2)*2),1/2*L25*SQRT((M25/2)*2/L25)^2,1/2*L25*N25^2),0)</f>
        <v/>
      </c>
      <c r="P25" s="163">
        <f>IFERROR(IF(M25-O25-Q25&lt;=0,0,M25-O25-Q25),0)</f>
        <v/>
      </c>
      <c r="Q25" s="163">
        <f>O25</f>
        <v/>
      </c>
      <c r="R25" s="163">
        <f>IFERROR(IF(M25&lt;((1/2*L25*N25^2)*2),SQRT((M25/2)*2/L25),N25),0)</f>
        <v/>
      </c>
      <c r="S25" s="163">
        <f>IFERROR(P25/K25,0)</f>
        <v/>
      </c>
      <c r="T25" s="163">
        <f>R25</f>
        <v/>
      </c>
      <c r="U25" s="163">
        <f>IF(J25&gt;0,J25,SUM(R25:T25))</f>
        <v/>
      </c>
      <c r="V25" s="163" t="n"/>
      <c r="W25" s="163">
        <f>U25*V25</f>
        <v/>
      </c>
      <c r="Y25" s="160">
        <f>Y24+1</f>
        <v/>
      </c>
      <c r="Z25" s="161" t="n"/>
      <c r="AA25" s="162" t="n"/>
      <c r="AB25" s="163">
        <f>IFERROR(VLOOKUP(Z25,'Master List'!$A:$D,2,0),0)</f>
        <v/>
      </c>
      <c r="AC25" s="163">
        <f>IFERROR(VLOOKUP(Z25,'Master List'!$A:$D,3,0),0)</f>
        <v/>
      </c>
      <c r="AD25" s="163">
        <f>IFERROR(VLOOKUP(Z25,'Master List'!$A:$D,4,0),0)</f>
        <v/>
      </c>
      <c r="AE25" s="163" t="n"/>
      <c r="AF25" s="163">
        <f>IFERROR(AC25/AD25,0)</f>
        <v/>
      </c>
      <c r="AG25" s="163">
        <f>IFERROR(IF(AE25&lt;((1/2*AD25*AF25^2)*2),1/2*AD25*SQRT((AE25/2)*2/AD25)^2,1/2*AD25*AF25^2),0)</f>
        <v/>
      </c>
      <c r="AH25" s="163">
        <f>IFERROR(IF(AE25-AG25-AI25&lt;=0,0,AE25-AG25-AI25),0)</f>
        <v/>
      </c>
      <c r="AI25" s="163">
        <f>AG25</f>
        <v/>
      </c>
      <c r="AJ25" s="163">
        <f>IFERROR(IF(AE25&lt;((1/2*AD25*AF25^2)*2),SQRT((AE25/2)*2/AD25),AF25),0)</f>
        <v/>
      </c>
      <c r="AK25" s="163">
        <f>IFERROR(AH25/AC25,0)</f>
        <v/>
      </c>
      <c r="AL25" s="163">
        <f>AJ25</f>
        <v/>
      </c>
      <c r="AM25" s="163">
        <f>IF(AB25&gt;0,AB25,SUM(AJ25:AL25))</f>
        <v/>
      </c>
      <c r="AN25" s="163" t="n"/>
      <c r="AO25" s="163">
        <f>AM25*AN25</f>
        <v/>
      </c>
    </row>
    <row r="26">
      <c r="G26" s="160">
        <f>G25+1</f>
        <v/>
      </c>
      <c r="H26" s="161" t="n"/>
      <c r="I26" s="162" t="n"/>
      <c r="J26" s="163">
        <f>IFERROR(VLOOKUP(H26,'Master List'!$A:$D,2,0),0)</f>
        <v/>
      </c>
      <c r="K26" s="163">
        <f>IFERROR(VLOOKUP(H26,'Master List'!$A:$D,3,0),0)</f>
        <v/>
      </c>
      <c r="L26" s="163">
        <f>IFERROR(VLOOKUP(H26,'Master List'!$A:$D,4,0),0)</f>
        <v/>
      </c>
      <c r="M26" s="163" t="n"/>
      <c r="N26" s="163">
        <f>IFERROR(K26/L26,0)</f>
        <v/>
      </c>
      <c r="O26" s="163">
        <f>IFERROR(IF(M26&lt;((1/2*L26*N26^2)*2),1/2*L26*SQRT((M26/2)*2/L26)^2,1/2*L26*N26^2),0)</f>
        <v/>
      </c>
      <c r="P26" s="163">
        <f>IFERROR(IF(M26-O26-Q26&lt;=0,0,M26-O26-Q26),0)</f>
        <v/>
      </c>
      <c r="Q26" s="163">
        <f>O26</f>
        <v/>
      </c>
      <c r="R26" s="163">
        <f>IFERROR(IF(M26&lt;((1/2*L26*N26^2)*2),SQRT((M26/2)*2/L26),N26),0)</f>
        <v/>
      </c>
      <c r="S26" s="163">
        <f>IFERROR(P26/K26,0)</f>
        <v/>
      </c>
      <c r="T26" s="163">
        <f>R26</f>
        <v/>
      </c>
      <c r="U26" s="163">
        <f>IF(J26&gt;0,J26,SUM(R26:T26))</f>
        <v/>
      </c>
      <c r="V26" s="163" t="n"/>
      <c r="W26" s="163">
        <f>U26*V26</f>
        <v/>
      </c>
      <c r="Y26" s="160">
        <f>Y25+1</f>
        <v/>
      </c>
      <c r="Z26" s="161" t="n"/>
      <c r="AA26" s="162" t="n"/>
      <c r="AB26" s="163">
        <f>IFERROR(VLOOKUP(Z26,'Master List'!$A:$D,2,0),0)</f>
        <v/>
      </c>
      <c r="AC26" s="163">
        <f>IFERROR(VLOOKUP(Z26,'Master List'!$A:$D,3,0),0)</f>
        <v/>
      </c>
      <c r="AD26" s="163">
        <f>IFERROR(VLOOKUP(Z26,'Master List'!$A:$D,4,0),0)</f>
        <v/>
      </c>
      <c r="AE26" s="163" t="n"/>
      <c r="AF26" s="163">
        <f>IFERROR(AC26/AD26,0)</f>
        <v/>
      </c>
      <c r="AG26" s="163">
        <f>IFERROR(IF(AE26&lt;((1/2*AD26*AF26^2)*2),1/2*AD26*SQRT((AE26/2)*2/AD26)^2,1/2*AD26*AF26^2),0)</f>
        <v/>
      </c>
      <c r="AH26" s="163">
        <f>IFERROR(IF(AE26-AG26-AI26&lt;=0,0,AE26-AG26-AI26),0)</f>
        <v/>
      </c>
      <c r="AI26" s="163">
        <f>AG26</f>
        <v/>
      </c>
      <c r="AJ26" s="163">
        <f>IFERROR(IF(AE26&lt;((1/2*AD26*AF26^2)*2),SQRT((AE26/2)*2/AD26),AF26),0)</f>
        <v/>
      </c>
      <c r="AK26" s="163">
        <f>IFERROR(AH26/AC26,0)</f>
        <v/>
      </c>
      <c r="AL26" s="163">
        <f>AJ26</f>
        <v/>
      </c>
      <c r="AM26" s="163">
        <f>IF(AB26&gt;0,AB26,SUM(AJ26:AL26))</f>
        <v/>
      </c>
      <c r="AN26" s="163" t="n"/>
      <c r="AO26" s="163">
        <f>AM26*AN26</f>
        <v/>
      </c>
    </row>
    <row r="27">
      <c r="G27" s="160">
        <f>G26+1</f>
        <v/>
      </c>
      <c r="H27" s="161" t="n"/>
      <c r="I27" s="162" t="n"/>
      <c r="J27" s="163">
        <f>IFERROR(VLOOKUP(H27,'Master List'!$A:$D,2,0),0)</f>
        <v/>
      </c>
      <c r="K27" s="163">
        <f>IFERROR(VLOOKUP(H27,'Master List'!$A:$D,3,0),0)</f>
        <v/>
      </c>
      <c r="L27" s="163">
        <f>IFERROR(VLOOKUP(H27,'Master List'!$A:$D,4,0),0)</f>
        <v/>
      </c>
      <c r="M27" s="163" t="n"/>
      <c r="N27" s="163">
        <f>IFERROR(K27/L27,0)</f>
        <v/>
      </c>
      <c r="O27" s="163">
        <f>IFERROR(IF(M27&lt;((1/2*L27*N27^2)*2),1/2*L27*SQRT((M27/2)*2/L27)^2,1/2*L27*N27^2),0)</f>
        <v/>
      </c>
      <c r="P27" s="163">
        <f>IFERROR(IF(M27-O27-Q27&lt;=0,0,M27-O27-Q27),0)</f>
        <v/>
      </c>
      <c r="Q27" s="163">
        <f>O27</f>
        <v/>
      </c>
      <c r="R27" s="163">
        <f>IFERROR(IF(M27&lt;((1/2*L27*N27^2)*2),SQRT((M27/2)*2/L27),N27),0)</f>
        <v/>
      </c>
      <c r="S27" s="163">
        <f>IFERROR(P27/K27,0)</f>
        <v/>
      </c>
      <c r="T27" s="163">
        <f>R27</f>
        <v/>
      </c>
      <c r="U27" s="163">
        <f>IF(J27&gt;0,J27,SUM(R27:T27))</f>
        <v/>
      </c>
      <c r="V27" s="163" t="n"/>
      <c r="W27" s="163">
        <f>U27*V27</f>
        <v/>
      </c>
      <c r="Y27" s="160">
        <f>Y26+1</f>
        <v/>
      </c>
      <c r="Z27" s="161" t="n"/>
      <c r="AA27" s="162" t="n"/>
      <c r="AB27" s="163">
        <f>IFERROR(VLOOKUP(Z27,'Master List'!$A:$D,2,0),0)</f>
        <v/>
      </c>
      <c r="AC27" s="163">
        <f>IFERROR(VLOOKUP(Z27,'Master List'!$A:$D,3,0),0)</f>
        <v/>
      </c>
      <c r="AD27" s="163">
        <f>IFERROR(VLOOKUP(Z27,'Master List'!$A:$D,4,0),0)</f>
        <v/>
      </c>
      <c r="AE27" s="163" t="n"/>
      <c r="AF27" s="163">
        <f>IFERROR(AC27/AD27,0)</f>
        <v/>
      </c>
      <c r="AG27" s="163">
        <f>IFERROR(IF(AE27&lt;((1/2*AD27*AF27^2)*2),1/2*AD27*SQRT((AE27/2)*2/AD27)^2,1/2*AD27*AF27^2),0)</f>
        <v/>
      </c>
      <c r="AH27" s="163">
        <f>IFERROR(IF(AE27-AG27-AI27&lt;=0,0,AE27-AG27-AI27),0)</f>
        <v/>
      </c>
      <c r="AI27" s="163">
        <f>AG27</f>
        <v/>
      </c>
      <c r="AJ27" s="163">
        <f>IFERROR(IF(AE27&lt;((1/2*AD27*AF27^2)*2),SQRT((AE27/2)*2/AD27),AF27),0)</f>
        <v/>
      </c>
      <c r="AK27" s="163">
        <f>IFERROR(AH27/AC27,0)</f>
        <v/>
      </c>
      <c r="AL27" s="163">
        <f>AJ27</f>
        <v/>
      </c>
      <c r="AM27" s="163">
        <f>IF(AB27&gt;0,AB27,SUM(AJ27:AL27))</f>
        <v/>
      </c>
      <c r="AN27" s="163" t="n"/>
      <c r="AO27" s="163">
        <f>AM27*AN27</f>
        <v/>
      </c>
    </row>
    <row r="28">
      <c r="G28" s="160">
        <f>G27+1</f>
        <v/>
      </c>
      <c r="H28" s="161" t="n"/>
      <c r="I28" s="162" t="n"/>
      <c r="J28" s="163">
        <f>IFERROR(VLOOKUP(H28,'Master List'!$A:$D,2,0),0)</f>
        <v/>
      </c>
      <c r="K28" s="163">
        <f>IFERROR(VLOOKUP(H28,'Master List'!$A:$D,3,0),0)</f>
        <v/>
      </c>
      <c r="L28" s="163">
        <f>IFERROR(VLOOKUP(H28,'Master List'!$A:$D,4,0),0)</f>
        <v/>
      </c>
      <c r="M28" s="163" t="n"/>
      <c r="N28" s="163">
        <f>IFERROR(K28/L28,0)</f>
        <v/>
      </c>
      <c r="O28" s="163">
        <f>IFERROR(IF(M28&lt;((1/2*L28*N28^2)*2),1/2*L28*SQRT((M28/2)*2/L28)^2,1/2*L28*N28^2),0)</f>
        <v/>
      </c>
      <c r="P28" s="163">
        <f>IFERROR(IF(M28-O28-Q28&lt;=0,0,M28-O28-Q28),0)</f>
        <v/>
      </c>
      <c r="Q28" s="163">
        <f>O28</f>
        <v/>
      </c>
      <c r="R28" s="163">
        <f>IFERROR(IF(M28&lt;((1/2*L28*N28^2)*2),SQRT((M28/2)*2/L28),N28),0)</f>
        <v/>
      </c>
      <c r="S28" s="163">
        <f>IFERROR(P28/K28,0)</f>
        <v/>
      </c>
      <c r="T28" s="163">
        <f>R28</f>
        <v/>
      </c>
      <c r="U28" s="163">
        <f>IF(J28&gt;0,J28,SUM(R28:T28))</f>
        <v/>
      </c>
      <c r="V28" s="163" t="n"/>
      <c r="W28" s="163">
        <f>U28*V28</f>
        <v/>
      </c>
      <c r="Y28" s="160">
        <f>Y27+1</f>
        <v/>
      </c>
      <c r="Z28" s="161" t="n"/>
      <c r="AA28" s="162" t="n"/>
      <c r="AB28" s="163">
        <f>IFERROR(VLOOKUP(Z28,'Master List'!$A:$D,2,0),0)</f>
        <v/>
      </c>
      <c r="AC28" s="163">
        <f>IFERROR(VLOOKUP(Z28,'Master List'!$A:$D,3,0),0)</f>
        <v/>
      </c>
      <c r="AD28" s="163">
        <f>IFERROR(VLOOKUP(Z28,'Master List'!$A:$D,4,0),0)</f>
        <v/>
      </c>
      <c r="AE28" s="163" t="n"/>
      <c r="AF28" s="163">
        <f>IFERROR(AC28/AD28,0)</f>
        <v/>
      </c>
      <c r="AG28" s="163">
        <f>IFERROR(IF(AE28&lt;((1/2*AD28*AF28^2)*2),1/2*AD28*SQRT((AE28/2)*2/AD28)^2,1/2*AD28*AF28^2),0)</f>
        <v/>
      </c>
      <c r="AH28" s="163">
        <f>IFERROR(IF(AE28-AG28-AI28&lt;=0,0,AE28-AG28-AI28),0)</f>
        <v/>
      </c>
      <c r="AI28" s="163">
        <f>AG28</f>
        <v/>
      </c>
      <c r="AJ28" s="163">
        <f>IFERROR(IF(AE28&lt;((1/2*AD28*AF28^2)*2),SQRT((AE28/2)*2/AD28),AF28),0)</f>
        <v/>
      </c>
      <c r="AK28" s="163">
        <f>IFERROR(AH28/AC28,0)</f>
        <v/>
      </c>
      <c r="AL28" s="163">
        <f>AJ28</f>
        <v/>
      </c>
      <c r="AM28" s="163">
        <f>IF(AB28&gt;0,AB28,SUM(AJ28:AL28))</f>
        <v/>
      </c>
      <c r="AN28" s="163" t="n"/>
      <c r="AO28" s="163">
        <f>AM28*AN28</f>
        <v/>
      </c>
    </row>
    <row r="29">
      <c r="G29" s="160">
        <f>G28+1</f>
        <v/>
      </c>
      <c r="H29" s="161" t="n"/>
      <c r="I29" s="162" t="n"/>
      <c r="J29" s="163">
        <f>IFERROR(VLOOKUP(H29,'Master List'!$A:$D,2,0),0)</f>
        <v/>
      </c>
      <c r="K29" s="163">
        <f>IFERROR(VLOOKUP(H29,'Master List'!$A:$D,3,0),0)</f>
        <v/>
      </c>
      <c r="L29" s="163">
        <f>IFERROR(VLOOKUP(H29,'Master List'!$A:$D,4,0),0)</f>
        <v/>
      </c>
      <c r="M29" s="163" t="n"/>
      <c r="N29" s="163">
        <f>IFERROR(K29/L29,0)</f>
        <v/>
      </c>
      <c r="O29" s="163">
        <f>IFERROR(IF(M29&lt;((1/2*L29*N29^2)*2),1/2*L29*SQRT((M29/2)*2/L29)^2,1/2*L29*N29^2),0)</f>
        <v/>
      </c>
      <c r="P29" s="163">
        <f>IFERROR(IF(M29-O29-Q29&lt;=0,0,M29-O29-Q29),0)</f>
        <v/>
      </c>
      <c r="Q29" s="163">
        <f>O29</f>
        <v/>
      </c>
      <c r="R29" s="163">
        <f>IFERROR(IF(M29&lt;((1/2*L29*N29^2)*2),SQRT((M29/2)*2/L29),N29),0)</f>
        <v/>
      </c>
      <c r="S29" s="163">
        <f>IFERROR(P29/K29,0)</f>
        <v/>
      </c>
      <c r="T29" s="163">
        <f>R29</f>
        <v/>
      </c>
      <c r="U29" s="163">
        <f>IF(J29&gt;0,J29,SUM(R29:T29))</f>
        <v/>
      </c>
      <c r="V29" s="163" t="n"/>
      <c r="W29" s="163">
        <f>U29*V29</f>
        <v/>
      </c>
      <c r="Y29" s="160">
        <f>Y28+1</f>
        <v/>
      </c>
      <c r="Z29" s="161" t="n"/>
      <c r="AA29" s="162" t="n"/>
      <c r="AB29" s="163">
        <f>IFERROR(VLOOKUP(Z29,'Master List'!$A:$D,2,0),0)</f>
        <v/>
      </c>
      <c r="AC29" s="163">
        <f>IFERROR(VLOOKUP(Z29,'Master List'!$A:$D,3,0),0)</f>
        <v/>
      </c>
      <c r="AD29" s="163">
        <f>IFERROR(VLOOKUP(Z29,'Master List'!$A:$D,4,0),0)</f>
        <v/>
      </c>
      <c r="AE29" s="163" t="n"/>
      <c r="AF29" s="163">
        <f>IFERROR(AC29/AD29,0)</f>
        <v/>
      </c>
      <c r="AG29" s="163">
        <f>IFERROR(IF(AE29&lt;((1/2*AD29*AF29^2)*2),1/2*AD29*SQRT((AE29/2)*2/AD29)^2,1/2*AD29*AF29^2),0)</f>
        <v/>
      </c>
      <c r="AH29" s="163">
        <f>IFERROR(IF(AE29-AG29-AI29&lt;=0,0,AE29-AG29-AI29),0)</f>
        <v/>
      </c>
      <c r="AI29" s="163">
        <f>AG29</f>
        <v/>
      </c>
      <c r="AJ29" s="163">
        <f>IFERROR(IF(AE29&lt;((1/2*AD29*AF29^2)*2),SQRT((AE29/2)*2/AD29),AF29),0)</f>
        <v/>
      </c>
      <c r="AK29" s="163">
        <f>IFERROR(AH29/AC29,0)</f>
        <v/>
      </c>
      <c r="AL29" s="163">
        <f>AJ29</f>
        <v/>
      </c>
      <c r="AM29" s="163">
        <f>IF(AB29&gt;0,AB29,SUM(AJ29:AL29))</f>
        <v/>
      </c>
      <c r="AN29" s="163" t="n"/>
      <c r="AO29" s="163">
        <f>AM29*AN29</f>
        <v/>
      </c>
    </row>
    <row r="30">
      <c r="G30" s="160">
        <f>G29+1</f>
        <v/>
      </c>
      <c r="H30" s="161" t="n"/>
      <c r="I30" s="162" t="n"/>
      <c r="J30" s="163">
        <f>IFERROR(VLOOKUP(H30,'Master List'!$A:$D,2,0),0)</f>
        <v/>
      </c>
      <c r="K30" s="163">
        <f>IFERROR(VLOOKUP(H30,'Master List'!$A:$D,3,0),0)</f>
        <v/>
      </c>
      <c r="L30" s="163">
        <f>IFERROR(VLOOKUP(H30,'Master List'!$A:$D,4,0),0)</f>
        <v/>
      </c>
      <c r="M30" s="163" t="n"/>
      <c r="N30" s="163">
        <f>IFERROR(K30/L30,0)</f>
        <v/>
      </c>
      <c r="O30" s="163">
        <f>IFERROR(IF(M30&lt;((1/2*L30*N30^2)*2),1/2*L30*SQRT((M30/2)*2/L30)^2,1/2*L30*N30^2),0)</f>
        <v/>
      </c>
      <c r="P30" s="163">
        <f>IFERROR(IF(M30-O30-Q30&lt;=0,0,M30-O30-Q30),0)</f>
        <v/>
      </c>
      <c r="Q30" s="163">
        <f>O30</f>
        <v/>
      </c>
      <c r="R30" s="163">
        <f>IFERROR(IF(M30&lt;((1/2*L30*N30^2)*2),SQRT((M30/2)*2/L30),N30),0)</f>
        <v/>
      </c>
      <c r="S30" s="163">
        <f>IFERROR(P30/K30,0)</f>
        <v/>
      </c>
      <c r="T30" s="163">
        <f>R30</f>
        <v/>
      </c>
      <c r="U30" s="163">
        <f>IF(J30&gt;0,J30,SUM(R30:T30))</f>
        <v/>
      </c>
      <c r="V30" s="163" t="n"/>
      <c r="W30" s="163">
        <f>U30*V30</f>
        <v/>
      </c>
      <c r="Y30" s="160">
        <f>Y29+1</f>
        <v/>
      </c>
      <c r="Z30" s="161" t="n"/>
      <c r="AA30" s="162" t="n"/>
      <c r="AB30" s="163">
        <f>IFERROR(VLOOKUP(Z30,'Master List'!$A:$D,2,0),0)</f>
        <v/>
      </c>
      <c r="AC30" s="163">
        <f>IFERROR(VLOOKUP(Z30,'Master List'!$A:$D,3,0),0)</f>
        <v/>
      </c>
      <c r="AD30" s="163">
        <f>IFERROR(VLOOKUP(Z30,'Master List'!$A:$D,4,0),0)</f>
        <v/>
      </c>
      <c r="AE30" s="163" t="n"/>
      <c r="AF30" s="163">
        <f>IFERROR(AC30/AD30,0)</f>
        <v/>
      </c>
      <c r="AG30" s="163">
        <f>IFERROR(IF(AE30&lt;((1/2*AD30*AF30^2)*2),1/2*AD30*SQRT((AE30/2)*2/AD30)^2,1/2*AD30*AF30^2),0)</f>
        <v/>
      </c>
      <c r="AH30" s="163">
        <f>IFERROR(IF(AE30-AG30-AI30&lt;=0,0,AE30-AG30-AI30),0)</f>
        <v/>
      </c>
      <c r="AI30" s="163">
        <f>AG30</f>
        <v/>
      </c>
      <c r="AJ30" s="163">
        <f>IFERROR(IF(AE30&lt;((1/2*AD30*AF30^2)*2),SQRT((AE30/2)*2/AD30),AF30),0)</f>
        <v/>
      </c>
      <c r="AK30" s="163">
        <f>IFERROR(AH30/AC30,0)</f>
        <v/>
      </c>
      <c r="AL30" s="163">
        <f>AJ30</f>
        <v/>
      </c>
      <c r="AM30" s="163">
        <f>IF(AB30&gt;0,AB30,SUM(AJ30:AL30))</f>
        <v/>
      </c>
      <c r="AN30" s="163" t="n"/>
      <c r="AO30" s="163">
        <f>AM30*AN30</f>
        <v/>
      </c>
    </row>
    <row r="31">
      <c r="G31" s="160">
        <f>G30+1</f>
        <v/>
      </c>
      <c r="H31" s="165" t="n"/>
      <c r="I31" s="162" t="n"/>
      <c r="J31" s="163">
        <f>IFERROR(VLOOKUP(H31,'Master List'!$A:$D,2,0),0)</f>
        <v/>
      </c>
      <c r="K31" s="163">
        <f>IFERROR(VLOOKUP(H31,'Master List'!$A:$D,3,0),0)</f>
        <v/>
      </c>
      <c r="L31" s="163">
        <f>IFERROR(VLOOKUP(H31,'Master List'!$A:$D,4,0),0)</f>
        <v/>
      </c>
      <c r="M31" s="163" t="n"/>
      <c r="N31" s="163">
        <f>IFERROR(K31/L31,0)</f>
        <v/>
      </c>
      <c r="O31" s="163">
        <f>IFERROR(IF(M31&lt;((1/2*L31*N31^2)*2),1/2*L31*SQRT((M31/2)*2/L31)^2,1/2*L31*N31^2),0)</f>
        <v/>
      </c>
      <c r="P31" s="163">
        <f>IFERROR(IF(M31-O31-Q31&lt;=0,0,M31-O31-Q31),0)</f>
        <v/>
      </c>
      <c r="Q31" s="163">
        <f>O31</f>
        <v/>
      </c>
      <c r="R31" s="163">
        <f>IFERROR(IF(M31&lt;((1/2*L31*N31^2)*2),SQRT((M31/2)*2/L31),N31),0)</f>
        <v/>
      </c>
      <c r="S31" s="163">
        <f>IFERROR(P31/K31,0)</f>
        <v/>
      </c>
      <c r="T31" s="163">
        <f>R31</f>
        <v/>
      </c>
      <c r="U31" s="163">
        <f>IF(J31&gt;0,J31,SUM(R31:T31))</f>
        <v/>
      </c>
      <c r="V31" s="163" t="n"/>
      <c r="W31" s="163">
        <f>U31*V31</f>
        <v/>
      </c>
      <c r="Y31" s="160">
        <f>Y30+1</f>
        <v/>
      </c>
      <c r="Z31" s="165" t="n"/>
      <c r="AA31" s="162" t="n"/>
      <c r="AB31" s="163">
        <f>IFERROR(VLOOKUP(Z31,'Master List'!$A:$D,2,0),0)</f>
        <v/>
      </c>
      <c r="AC31" s="163">
        <f>IFERROR(VLOOKUP(Z31,'Master List'!$A:$D,3,0),0)</f>
        <v/>
      </c>
      <c r="AD31" s="163">
        <f>IFERROR(VLOOKUP(Z31,'Master List'!$A:$D,4,0),0)</f>
        <v/>
      </c>
      <c r="AE31" s="163" t="n"/>
      <c r="AF31" s="163">
        <f>IFERROR(AC31/AD31,0)</f>
        <v/>
      </c>
      <c r="AG31" s="163">
        <f>IFERROR(IF(AE31&lt;((1/2*AD31*AF31^2)*2),1/2*AD31*SQRT((AE31/2)*2/AD31)^2,1/2*AD31*AF31^2),0)</f>
        <v/>
      </c>
      <c r="AH31" s="163">
        <f>IFERROR(IF(AE31-AG31-AI31&lt;=0,0,AE31-AG31-AI31),0)</f>
        <v/>
      </c>
      <c r="AI31" s="163">
        <f>AG31</f>
        <v/>
      </c>
      <c r="AJ31" s="163">
        <f>IFERROR(IF(AE31&lt;((1/2*AD31*AF31^2)*2),SQRT((AE31/2)*2/AD31),AF31),0)</f>
        <v/>
      </c>
      <c r="AK31" s="163">
        <f>IFERROR(AH31/AC31,0)</f>
        <v/>
      </c>
      <c r="AL31" s="163">
        <f>AJ31</f>
        <v/>
      </c>
      <c r="AM31" s="163">
        <f>IF(AB31&gt;0,AB31,SUM(AJ31:AL31))</f>
        <v/>
      </c>
      <c r="AN31" s="163" t="n"/>
      <c r="AO31" s="163">
        <f>AM31*AN31</f>
        <v/>
      </c>
    </row>
    <row r="32">
      <c r="G32" s="160">
        <f>G31+1</f>
        <v/>
      </c>
      <c r="H32" s="165" t="n"/>
      <c r="I32" s="162" t="n"/>
      <c r="J32" s="163">
        <f>IFERROR(VLOOKUP(H32,'Master List'!$A:$D,2,0),0)</f>
        <v/>
      </c>
      <c r="K32" s="163">
        <f>IFERROR(VLOOKUP(H32,'Master List'!$A:$D,3,0),0)</f>
        <v/>
      </c>
      <c r="L32" s="163">
        <f>IFERROR(VLOOKUP(H32,'Master List'!$A:$D,4,0),0)</f>
        <v/>
      </c>
      <c r="M32" s="163" t="n"/>
      <c r="N32" s="163">
        <f>IFERROR(K32/L32,0)</f>
        <v/>
      </c>
      <c r="O32" s="163">
        <f>IFERROR(IF(M32&lt;((1/2*L32*N32^2)*2),1/2*L32*SQRT((M32/2)*2/L32)^2,1/2*L32*N32^2),0)</f>
        <v/>
      </c>
      <c r="P32" s="163">
        <f>IFERROR(IF(M32-O32-Q32&lt;=0,0,M32-O32-Q32),0)</f>
        <v/>
      </c>
      <c r="Q32" s="163">
        <f>O32</f>
        <v/>
      </c>
      <c r="R32" s="163">
        <f>IFERROR(IF(M32&lt;((1/2*L32*N32^2)*2),SQRT((M32/2)*2/L32),N32),0)</f>
        <v/>
      </c>
      <c r="S32" s="163">
        <f>IFERROR(P32/K32,0)</f>
        <v/>
      </c>
      <c r="T32" s="163">
        <f>R32</f>
        <v/>
      </c>
      <c r="U32" s="163">
        <f>IF(J32&gt;0,J32,SUM(R32:T32))</f>
        <v/>
      </c>
      <c r="V32" s="163" t="n"/>
      <c r="W32" s="163">
        <f>U32*V32</f>
        <v/>
      </c>
      <c r="Y32" s="160">
        <f>Y31+1</f>
        <v/>
      </c>
      <c r="Z32" s="165" t="n"/>
      <c r="AA32" s="162" t="n"/>
      <c r="AB32" s="163">
        <f>IFERROR(VLOOKUP(Z32,'Master List'!$A:$D,2,0),0)</f>
        <v/>
      </c>
      <c r="AC32" s="163">
        <f>IFERROR(VLOOKUP(Z32,'Master List'!$A:$D,3,0),0)</f>
        <v/>
      </c>
      <c r="AD32" s="163">
        <f>IFERROR(VLOOKUP(Z32,'Master List'!$A:$D,4,0),0)</f>
        <v/>
      </c>
      <c r="AE32" s="163" t="n"/>
      <c r="AF32" s="163">
        <f>IFERROR(AC32/AD32,0)</f>
        <v/>
      </c>
      <c r="AG32" s="163">
        <f>IFERROR(IF(AE32&lt;((1/2*AD32*AF32^2)*2),1/2*AD32*SQRT((AE32/2)*2/AD32)^2,1/2*AD32*AF32^2),0)</f>
        <v/>
      </c>
      <c r="AH32" s="163">
        <f>IFERROR(IF(AE32-AG32-AI32&lt;=0,0,AE32-AG32-AI32),0)</f>
        <v/>
      </c>
      <c r="AI32" s="163">
        <f>AG32</f>
        <v/>
      </c>
      <c r="AJ32" s="163">
        <f>IFERROR(IF(AE32&lt;((1/2*AD32*AF32^2)*2),SQRT((AE32/2)*2/AD32),AF32),0)</f>
        <v/>
      </c>
      <c r="AK32" s="163">
        <f>IFERROR(AH32/AC32,0)</f>
        <v/>
      </c>
      <c r="AL32" s="163">
        <f>AJ32</f>
        <v/>
      </c>
      <c r="AM32" s="163">
        <f>IF(AB32&gt;0,AB32,SUM(AJ32:AL32))</f>
        <v/>
      </c>
      <c r="AN32" s="163" t="n"/>
      <c r="AO32" s="163">
        <f>AM32*AN32</f>
        <v/>
      </c>
    </row>
    <row r="38">
      <c r="G38" s="216" t="n"/>
      <c r="H38" s="216" t="n"/>
      <c r="I38" s="216" t="n"/>
    </row>
    <row r="39">
      <c r="G39" s="216" t="n"/>
      <c r="H39" s="216" t="n"/>
      <c r="I39" s="216" t="n"/>
    </row>
    <row r="40">
      <c r="G40" s="216" t="n"/>
      <c r="H40" s="216" t="n"/>
      <c r="I40" s="216" t="n"/>
    </row>
    <row r="41">
      <c r="G41" s="216" t="n"/>
      <c r="H41" s="216" t="n"/>
      <c r="I41" s="216" t="n"/>
    </row>
    <row r="42">
      <c r="G42" s="216" t="n"/>
      <c r="H42" s="216" t="n"/>
      <c r="I42" s="216" t="n"/>
    </row>
    <row r="43">
      <c r="G43" s="216" t="n"/>
      <c r="H43" s="216" t="n"/>
      <c r="I43" s="216" t="n"/>
    </row>
    <row r="44">
      <c r="G44" s="216" t="n"/>
      <c r="H44" s="216" t="n"/>
      <c r="I44" s="216" t="n"/>
    </row>
    <row r="45">
      <c r="G45" s="216" t="n"/>
      <c r="H45" s="216" t="n"/>
      <c r="I45" s="216" t="n"/>
    </row>
    <row r="46">
      <c r="G46" s="216" t="n"/>
      <c r="H46" s="216" t="n"/>
      <c r="I46" s="216" t="n"/>
    </row>
    <row r="47">
      <c r="G47" s="216" t="n"/>
      <c r="H47" s="216" t="n"/>
      <c r="I47" s="216" t="n"/>
    </row>
    <row r="48">
      <c r="G48" s="216" t="n"/>
      <c r="H48" s="216" t="n"/>
      <c r="I48" s="216" t="n"/>
    </row>
    <row r="49">
      <c r="G49" s="216" t="n"/>
      <c r="H49" s="216" t="n"/>
      <c r="I49" s="216" t="n"/>
    </row>
  </sheetData>
  <sheetProtection selectLockedCells="0" selectUnlockedCells="0" algorithmName="SHA-512" sheet="1" objects="1" insertRows="1" insertHyperlinks="1" autoFilter="1" scenarios="1" formatColumns="1" deleteColumns="1" insertColumns="1" pivotTables="1" deleteRows="1" formatCells="1" saltValue="u1zz5hwwT9NQCeIMlItU/A==" formatRows="1" sort="1" spinCount="100000" hashValue="NiT2Li/xZ8q23f1HCelXts10P+Dw9t0k7i2f/BZy9UelOvmQBBjLuf0fpFemC4Z1gyYaJ/n/LsE1S9Sn3ohxcw=="/>
  <mergeCells count="12">
    <mergeCell ref="Z8:AN8"/>
    <mergeCell ref="Z6:AN6"/>
    <mergeCell ref="H9:V9"/>
    <mergeCell ref="Y6:Y10"/>
    <mergeCell ref="H7:V7"/>
    <mergeCell ref="Z7:AN7"/>
    <mergeCell ref="H6:V6"/>
    <mergeCell ref="G6:G10"/>
    <mergeCell ref="Z9:AN9"/>
    <mergeCell ref="G5:W5"/>
    <mergeCell ref="H8:V8"/>
    <mergeCell ref="Y5:AO5"/>
  </mergeCells>
  <conditionalFormatting sqref="B9:B13">
    <cfRule type="cellIs" priority="2" operator="lessThan" dxfId="1">
      <formula>$B$37</formula>
    </cfRule>
  </conditionalFormatting>
  <conditionalFormatting sqref="C19">
    <cfRule type="cellIs" priority="1" operator="notEqual" dxfId="0">
      <formula>1</formula>
    </cfRule>
  </conditionalFormatting>
  <pageMargins left="0.7" right="0.7" top="0.75" bottom="0.75" header="0.3" footer="0.3"/>
  <pageSetup orientation="landscape"/>
  <drawing r:id="rId1"/>
</worksheet>
</file>

<file path=xl/worksheets/sheet18.xml><?xml version="1.0" encoding="utf-8"?>
<worksheet xmlns:r="http://schemas.openxmlformats.org/officeDocument/2006/relationships" xmlns="http://schemas.openxmlformats.org/spreadsheetml/2006/main">
  <sheetPr codeName="Sheet18">
    <tabColor rgb="FF00B050"/>
    <outlinePr summaryBelow="1" summaryRight="1"/>
    <pageSetUpPr/>
  </sheetPr>
  <dimension ref="A1:CR44"/>
  <sheetViews>
    <sheetView showGridLines="0" topLeftCell="G1" zoomScale="85" zoomScaleNormal="85" workbookViewId="0">
      <selection activeCell="P8" sqref="P8"/>
    </sheetView>
  </sheetViews>
  <sheetFormatPr baseColWidth="10" defaultColWidth="8.6640625" defaultRowHeight="14"/>
  <cols>
    <col width="38.6640625" bestFit="1" customWidth="1" style="1" min="1" max="1"/>
    <col width="24.5" bestFit="1" customWidth="1" style="1" min="2" max="2"/>
    <col width="21.5" bestFit="1" customWidth="1" style="1" min="3" max="3"/>
    <col width="11.33203125" bestFit="1" customWidth="1" style="1" min="4" max="4"/>
    <col width="21.83203125" bestFit="1" customWidth="1" style="1" min="5" max="5"/>
    <col width="11.6640625" customWidth="1" style="1" min="6" max="6"/>
    <col width="21.1640625" customWidth="1" style="147" min="7" max="7"/>
    <col width="8.5" customWidth="1" style="153" min="8" max="8"/>
    <col width="30.5" customWidth="1" style="218" min="9" max="9"/>
    <col width="47" bestFit="1" customWidth="1" style="218" min="10" max="10"/>
    <col width="11.5" customWidth="1" style="153" min="11" max="11"/>
    <col width="6.5" customWidth="1" style="153" min="12" max="12"/>
    <col width="11.6640625" customWidth="1" style="153" min="13" max="13"/>
    <col width="9.33203125" customWidth="1" style="218" min="14" max="14"/>
    <col width="10.6640625" customWidth="1" style="153" min="15" max="15"/>
    <col width="12.5" customWidth="1" style="153" min="16" max="16"/>
    <col width="9.5" customWidth="1" style="153" min="17" max="17"/>
    <col width="11.6640625" customWidth="1" style="153" min="18" max="18"/>
    <col width="11.5" customWidth="1" style="153" min="19" max="19"/>
    <col width="8.6640625" customWidth="1" style="153" min="20" max="20"/>
    <col width="11.33203125" customWidth="1" style="153" min="21" max="21"/>
    <col width="8.6640625" customWidth="1" style="153" min="22" max="22"/>
    <col width="9.33203125" customWidth="1" style="218" min="23" max="23"/>
    <col width="14.33203125" customWidth="1" style="153" min="24" max="24"/>
    <col width="8.6640625" customWidth="1" style="153" min="25" max="26"/>
    <col width="24.6640625" customWidth="1" style="218" min="27" max="27"/>
    <col width="27.6640625" customWidth="1" style="218" min="28" max="28"/>
    <col width="8.6640625" customWidth="1" style="153" min="29" max="31"/>
    <col width="8.6640625" customWidth="1" style="218" min="32" max="32"/>
    <col width="8.6640625" customWidth="1" style="153" min="33" max="40"/>
    <col width="8.6640625" customWidth="1" style="218" min="41" max="41"/>
    <col width="8.6640625" customWidth="1" style="153" min="42" max="44"/>
    <col width="24.6640625" customWidth="1" style="218" min="45" max="45"/>
    <col width="47.83203125" customWidth="1" style="218" min="46" max="46"/>
    <col width="8.6640625" customWidth="1" style="153" min="47" max="49"/>
    <col width="8.6640625" customWidth="1" style="218" min="50" max="50"/>
    <col width="8.6640625" customWidth="1" style="153" min="51" max="58"/>
    <col width="8.6640625" customWidth="1" style="218" min="59" max="59"/>
    <col width="8.6640625" customWidth="1" style="153" min="60" max="62"/>
    <col width="24.6640625" customWidth="1" style="218" min="63" max="63"/>
    <col width="23.83203125" customWidth="1" style="218" min="64" max="64"/>
    <col width="8.6640625" customWidth="1" style="153" min="65" max="67"/>
    <col width="8.6640625" customWidth="1" style="218" min="68" max="68"/>
    <col width="8.6640625" customWidth="1" style="153" min="69" max="76"/>
    <col width="8.6640625" customWidth="1" style="218" min="77" max="77"/>
    <col width="8.6640625" customWidth="1" style="153" min="78" max="78"/>
    <col width="8.6640625" customWidth="1" style="148" min="79" max="79"/>
    <col width="8.6640625" customWidth="1" style="153" min="80" max="80"/>
    <col width="24.6640625" customWidth="1" style="218" min="81" max="81"/>
    <col width="23.83203125" customWidth="1" style="218" min="82" max="82"/>
    <col width="8.6640625" customWidth="1" style="153" min="83" max="85"/>
    <col width="8.6640625" customWidth="1" style="218" min="86" max="86"/>
    <col width="8.6640625" customWidth="1" style="153" min="87" max="94"/>
    <col width="8.6640625" customWidth="1" style="218" min="95" max="95"/>
    <col width="8.6640625" customWidth="1" style="153" min="96" max="96"/>
    <col width="8.6640625" customWidth="1" style="1" min="97" max="113"/>
    <col width="8.6640625" customWidth="1" style="1" min="114" max="16384"/>
  </cols>
  <sheetData>
    <row r="1" ht="47" customFormat="1" customHeight="1" s="24">
      <c r="A1" s="1" t="n"/>
      <c r="B1" s="1">
        <f>'Master List'!$F$2</f>
        <v/>
      </c>
      <c r="C1" s="1" t="n"/>
      <c r="D1" s="1" t="n"/>
      <c r="E1" s="1" t="n"/>
      <c r="F1" s="1" t="n"/>
      <c r="G1" s="147" t="n"/>
      <c r="H1" s="153" t="n"/>
      <c r="I1" s="215" t="n"/>
      <c r="J1" s="214" t="n"/>
      <c r="K1" s="214" t="n"/>
      <c r="L1" s="214" t="n"/>
      <c r="M1" s="214" t="n"/>
      <c r="N1" s="214" t="n"/>
      <c r="O1" s="214" t="n"/>
      <c r="P1" s="214" t="n"/>
      <c r="Q1" s="214" t="n"/>
      <c r="R1" s="214" t="n"/>
      <c r="S1" s="214" t="n"/>
      <c r="T1" s="214" t="n"/>
      <c r="U1" s="214" t="n"/>
      <c r="V1" s="214" t="n"/>
      <c r="W1" s="216" t="n"/>
      <c r="X1" s="216" t="n"/>
      <c r="Y1" s="214" t="n"/>
      <c r="Z1" s="214" t="n"/>
      <c r="AA1" s="214" t="n"/>
      <c r="AB1" s="214" t="n"/>
      <c r="AC1" s="214" t="n"/>
      <c r="AD1" s="214" t="n"/>
      <c r="AE1" s="214" t="n"/>
      <c r="AF1" s="214" t="n"/>
      <c r="AG1" s="214" t="n"/>
      <c r="AH1" s="214" t="n"/>
      <c r="AI1" s="214" t="n"/>
      <c r="AJ1" s="214" t="n"/>
      <c r="AK1" s="214" t="n"/>
      <c r="AL1" s="214" t="n"/>
      <c r="AM1" s="214" t="n"/>
      <c r="AN1" s="214" t="n"/>
      <c r="AO1" s="214" t="n"/>
      <c r="AP1" s="214" t="n"/>
      <c r="AQ1" s="214" t="n"/>
      <c r="AR1" s="214" t="n"/>
      <c r="AS1" s="214" t="n"/>
      <c r="AT1" s="214" t="n"/>
      <c r="AU1" s="214" t="n"/>
      <c r="AV1" s="214" t="n"/>
      <c r="AW1" s="214" t="n"/>
      <c r="AX1" s="214" t="n"/>
      <c r="AY1" s="214" t="n"/>
      <c r="AZ1" s="214" t="n"/>
      <c r="BA1" s="214" t="n"/>
      <c r="BB1" s="214" t="n"/>
      <c r="BC1" s="214" t="n"/>
      <c r="BD1" s="214" t="n"/>
      <c r="BE1" s="214" t="n"/>
      <c r="BF1" s="214" t="n"/>
      <c r="BG1" s="214" t="n"/>
      <c r="BH1" s="214" t="n"/>
      <c r="BI1" s="214" t="n"/>
      <c r="BJ1" s="214" t="n"/>
      <c r="BK1" s="214" t="n"/>
      <c r="BL1" s="214" t="n"/>
      <c r="BM1" s="214" t="n"/>
      <c r="BN1" s="214" t="n"/>
      <c r="BO1" s="214" t="n"/>
      <c r="BP1" s="214" t="n"/>
      <c r="BQ1" s="214" t="n"/>
      <c r="BR1" s="214" t="n"/>
      <c r="BS1" s="214" t="n"/>
      <c r="BT1" s="214" t="n"/>
      <c r="BU1" s="214" t="n"/>
      <c r="BV1" s="214" t="n"/>
      <c r="BW1" s="214" t="n"/>
      <c r="BX1" s="214" t="n"/>
      <c r="BY1" s="214" t="n"/>
      <c r="BZ1" s="214" t="n"/>
      <c r="CA1" s="149" t="n"/>
      <c r="CB1" s="214" t="n"/>
      <c r="CC1" s="214" t="n"/>
      <c r="CD1" s="214" t="n"/>
      <c r="CE1" s="214" t="n"/>
      <c r="CF1" s="214" t="n"/>
      <c r="CG1" s="214" t="n"/>
      <c r="CH1" s="214" t="n"/>
      <c r="CI1" s="214" t="n"/>
      <c r="CJ1" s="214" t="n"/>
      <c r="CK1" s="214" t="n"/>
      <c r="CL1" s="214" t="n"/>
      <c r="CM1" s="214" t="n"/>
      <c r="CN1" s="214" t="n"/>
      <c r="CO1" s="214" t="n"/>
      <c r="CP1" s="214" t="n"/>
      <c r="CQ1" s="214" t="n"/>
      <c r="CR1" s="214" t="n"/>
    </row>
    <row r="2" ht="23" customHeight="1" s="516">
      <c r="A2" s="180" t="inlineStr">
        <is>
          <t>Project name</t>
        </is>
      </c>
      <c r="B2" s="408">
        <f>'Multi Pro Input OutPut'!B2</f>
        <v/>
      </c>
      <c r="H2" s="217" t="n"/>
      <c r="I2" s="217" t="n"/>
      <c r="J2" s="217" t="n"/>
      <c r="K2" s="217" t="n"/>
      <c r="L2" s="217" t="n"/>
      <c r="M2" s="217" t="n"/>
      <c r="N2" s="217" t="n"/>
      <c r="O2" s="217" t="n"/>
      <c r="P2" s="217" t="n"/>
      <c r="Q2" s="217" t="n"/>
      <c r="R2" s="217" t="n"/>
      <c r="S2" s="217" t="n"/>
      <c r="T2" s="217" t="n"/>
      <c r="U2" s="217" t="n"/>
      <c r="V2" s="217" t="n"/>
      <c r="W2" s="217" t="n"/>
      <c r="X2" s="217" t="n"/>
      <c r="AA2" s="153" t="n"/>
      <c r="AB2" s="153" t="n"/>
      <c r="AF2" s="153" t="n"/>
      <c r="AO2" s="153" t="n"/>
      <c r="AS2" s="153" t="n"/>
      <c r="AT2" s="153" t="n"/>
      <c r="AX2" s="153" t="n"/>
      <c r="BG2" s="153" t="n"/>
      <c r="BK2" s="153" t="n"/>
      <c r="BL2" s="153" t="n"/>
      <c r="BP2" s="153" t="n"/>
      <c r="BY2" s="153" t="n"/>
      <c r="CC2" s="153" t="n"/>
      <c r="CD2" s="153" t="n"/>
      <c r="CH2" s="153" t="n"/>
      <c r="CQ2" s="153" t="n"/>
    </row>
    <row r="3" ht="23" customHeight="1" s="516">
      <c r="A3" s="180" t="inlineStr">
        <is>
          <t>Revision</t>
        </is>
      </c>
      <c r="B3" s="408">
        <f>'Multi Pro Input OutPut'!B3</f>
        <v/>
      </c>
      <c r="H3" s="532">
        <f>A21</f>
        <v/>
      </c>
      <c r="I3" s="525" t="n"/>
      <c r="J3" s="525" t="n"/>
      <c r="K3" s="525" t="n"/>
      <c r="L3" s="525" t="n"/>
      <c r="M3" s="525" t="n"/>
      <c r="N3" s="525" t="n"/>
      <c r="O3" s="525" t="n"/>
      <c r="P3" s="525" t="n"/>
      <c r="Q3" s="525" t="n"/>
      <c r="R3" s="525" t="n"/>
      <c r="S3" s="525" t="n"/>
      <c r="T3" s="525" t="n"/>
      <c r="U3" s="525" t="n"/>
      <c r="V3" s="525" t="n"/>
      <c r="W3" s="525" t="n"/>
      <c r="X3" s="526" t="n"/>
      <c r="Z3" s="532">
        <f>A22</f>
        <v/>
      </c>
      <c r="AA3" s="525" t="n"/>
      <c r="AB3" s="525" t="n"/>
      <c r="AC3" s="525" t="n"/>
      <c r="AD3" s="525" t="n"/>
      <c r="AE3" s="525" t="n"/>
      <c r="AF3" s="525" t="n"/>
      <c r="AG3" s="525" t="n"/>
      <c r="AH3" s="525" t="n"/>
      <c r="AI3" s="525" t="n"/>
      <c r="AJ3" s="525" t="n"/>
      <c r="AK3" s="525" t="n"/>
      <c r="AL3" s="525" t="n"/>
      <c r="AM3" s="525" t="n"/>
      <c r="AN3" s="525" t="n"/>
      <c r="AO3" s="525" t="n"/>
      <c r="AP3" s="526" t="n"/>
      <c r="AR3" s="532">
        <f>A23</f>
        <v/>
      </c>
      <c r="AS3" s="525" t="n"/>
      <c r="AT3" s="525" t="n"/>
      <c r="AU3" s="525" t="n"/>
      <c r="AV3" s="525" t="n"/>
      <c r="AW3" s="525" t="n"/>
      <c r="AX3" s="525" t="n"/>
      <c r="AY3" s="525" t="n"/>
      <c r="AZ3" s="525" t="n"/>
      <c r="BA3" s="525" t="n"/>
      <c r="BB3" s="525" t="n"/>
      <c r="BC3" s="525" t="n"/>
      <c r="BD3" s="525" t="n"/>
      <c r="BE3" s="525" t="n"/>
      <c r="BF3" s="525" t="n"/>
      <c r="BG3" s="525" t="n"/>
      <c r="BH3" s="526" t="n"/>
      <c r="BJ3" s="532">
        <f>A24</f>
        <v/>
      </c>
      <c r="BK3" s="525" t="n"/>
      <c r="BL3" s="525" t="n"/>
      <c r="BM3" s="525" t="n"/>
      <c r="BN3" s="525" t="n"/>
      <c r="BO3" s="525" t="n"/>
      <c r="BP3" s="525" t="n"/>
      <c r="BQ3" s="525" t="n"/>
      <c r="BR3" s="525" t="n"/>
      <c r="BS3" s="525" t="n"/>
      <c r="BT3" s="525" t="n"/>
      <c r="BU3" s="525" t="n"/>
      <c r="BV3" s="525" t="n"/>
      <c r="BW3" s="525" t="n"/>
      <c r="BX3" s="525" t="n"/>
      <c r="BY3" s="525" t="n"/>
      <c r="BZ3" s="526" t="n"/>
      <c r="CB3" s="532" t="inlineStr">
        <is>
          <t>Reshuffling</t>
        </is>
      </c>
      <c r="CC3" s="525" t="n"/>
      <c r="CD3" s="525" t="n"/>
      <c r="CE3" s="525" t="n"/>
      <c r="CF3" s="525" t="n"/>
      <c r="CG3" s="525" t="n"/>
      <c r="CH3" s="525" t="n"/>
      <c r="CI3" s="525" t="n"/>
      <c r="CJ3" s="525" t="n"/>
      <c r="CK3" s="525" t="n"/>
      <c r="CL3" s="525" t="n"/>
      <c r="CM3" s="525" t="n"/>
      <c r="CN3" s="525" t="n"/>
      <c r="CO3" s="525" t="n"/>
      <c r="CP3" s="525" t="n"/>
      <c r="CQ3" s="525" t="n"/>
      <c r="CR3" s="526" t="n"/>
    </row>
    <row r="4" ht="18" customHeight="1" s="516">
      <c r="H4" s="531" t="inlineStr">
        <is>
          <t>S.No</t>
        </is>
      </c>
      <c r="I4" s="530" t="inlineStr">
        <is>
          <t>Cycles / Hour</t>
        </is>
      </c>
      <c r="J4" s="522" t="n"/>
      <c r="K4" s="522" t="n"/>
      <c r="L4" s="522" t="n"/>
      <c r="M4" s="522" t="n"/>
      <c r="N4" s="522" t="n"/>
      <c r="O4" s="522" t="n"/>
      <c r="P4" s="522" t="n"/>
      <c r="Q4" s="522" t="n"/>
      <c r="R4" s="522" t="n"/>
      <c r="S4" s="522" t="n"/>
      <c r="T4" s="522" t="n"/>
      <c r="U4" s="522" t="n"/>
      <c r="V4" s="522" t="n"/>
      <c r="W4" s="523" t="n"/>
      <c r="X4" s="168">
        <f>3600/X5</f>
        <v/>
      </c>
      <c r="Z4" s="531" t="inlineStr">
        <is>
          <t>S.No</t>
        </is>
      </c>
      <c r="AA4" s="530" t="inlineStr">
        <is>
          <t>Cycles / Hour</t>
        </is>
      </c>
      <c r="AB4" s="522" t="n"/>
      <c r="AC4" s="522" t="n"/>
      <c r="AD4" s="522" t="n"/>
      <c r="AE4" s="522" t="n"/>
      <c r="AF4" s="522" t="n"/>
      <c r="AG4" s="522" t="n"/>
      <c r="AH4" s="522" t="n"/>
      <c r="AI4" s="522" t="n"/>
      <c r="AJ4" s="522" t="n"/>
      <c r="AK4" s="522" t="n"/>
      <c r="AL4" s="522" t="n"/>
      <c r="AM4" s="522" t="n"/>
      <c r="AN4" s="522" t="n"/>
      <c r="AO4" s="523" t="n"/>
      <c r="AP4" s="168">
        <f>3600/AP5</f>
        <v/>
      </c>
      <c r="AR4" s="531" t="inlineStr">
        <is>
          <t>S.No</t>
        </is>
      </c>
      <c r="AS4" s="530" t="inlineStr">
        <is>
          <t>Cycles / Hour</t>
        </is>
      </c>
      <c r="AT4" s="522" t="n"/>
      <c r="AU4" s="522" t="n"/>
      <c r="AV4" s="522" t="n"/>
      <c r="AW4" s="522" t="n"/>
      <c r="AX4" s="522" t="n"/>
      <c r="AY4" s="522" t="n"/>
      <c r="AZ4" s="522" t="n"/>
      <c r="BA4" s="522" t="n"/>
      <c r="BB4" s="522" t="n"/>
      <c r="BC4" s="522" t="n"/>
      <c r="BD4" s="522" t="n"/>
      <c r="BE4" s="522" t="n"/>
      <c r="BF4" s="522" t="n"/>
      <c r="BG4" s="523" t="n"/>
      <c r="BH4" s="168">
        <f>3600/BH5</f>
        <v/>
      </c>
      <c r="BJ4" s="531" t="inlineStr">
        <is>
          <t>S.No</t>
        </is>
      </c>
      <c r="BK4" s="530" t="inlineStr">
        <is>
          <t>Cycles / Hour</t>
        </is>
      </c>
      <c r="BL4" s="522" t="n"/>
      <c r="BM4" s="522" t="n"/>
      <c r="BN4" s="522" t="n"/>
      <c r="BO4" s="522" t="n"/>
      <c r="BP4" s="522" t="n"/>
      <c r="BQ4" s="522" t="n"/>
      <c r="BR4" s="522" t="n"/>
      <c r="BS4" s="522" t="n"/>
      <c r="BT4" s="522" t="n"/>
      <c r="BU4" s="522" t="n"/>
      <c r="BV4" s="522" t="n"/>
      <c r="BW4" s="522" t="n"/>
      <c r="BX4" s="522" t="n"/>
      <c r="BY4" s="523" t="n"/>
      <c r="BZ4" s="168">
        <f>3600/BZ5</f>
        <v/>
      </c>
      <c r="CB4" s="531" t="inlineStr">
        <is>
          <t>S.No</t>
        </is>
      </c>
      <c r="CC4" s="530" t="inlineStr">
        <is>
          <t>Cycles / Hour</t>
        </is>
      </c>
      <c r="CD4" s="522" t="n"/>
      <c r="CE4" s="522" t="n"/>
      <c r="CF4" s="522" t="n"/>
      <c r="CG4" s="522" t="n"/>
      <c r="CH4" s="522" t="n"/>
      <c r="CI4" s="522" t="n"/>
      <c r="CJ4" s="522" t="n"/>
      <c r="CK4" s="522" t="n"/>
      <c r="CL4" s="522" t="n"/>
      <c r="CM4" s="522" t="n"/>
      <c r="CN4" s="522" t="n"/>
      <c r="CO4" s="522" t="n"/>
      <c r="CP4" s="522" t="n"/>
      <c r="CQ4" s="523" t="n"/>
      <c r="CR4" s="168">
        <f>3600/CR5</f>
        <v/>
      </c>
    </row>
    <row r="5" ht="18" customHeight="1" s="516">
      <c r="H5" s="528" t="n"/>
      <c r="I5" s="530" t="inlineStr">
        <is>
          <t>Effective Cycle Time</t>
        </is>
      </c>
      <c r="J5" s="522" t="n"/>
      <c r="K5" s="522" t="n"/>
      <c r="L5" s="522" t="n"/>
      <c r="M5" s="522" t="n"/>
      <c r="N5" s="522" t="n"/>
      <c r="O5" s="522" t="n"/>
      <c r="P5" s="522" t="n"/>
      <c r="Q5" s="522" t="n"/>
      <c r="R5" s="522" t="n"/>
      <c r="S5" s="522" t="n"/>
      <c r="T5" s="522" t="n"/>
      <c r="U5" s="522" t="n"/>
      <c r="V5" s="522" t="n"/>
      <c r="W5" s="523" t="n"/>
      <c r="X5" s="156">
        <f>X7/X6</f>
        <v/>
      </c>
      <c r="Z5" s="528" t="n"/>
      <c r="AA5" s="530" t="inlineStr">
        <is>
          <t>Effective Cycle Time</t>
        </is>
      </c>
      <c r="AB5" s="522" t="n"/>
      <c r="AC5" s="522" t="n"/>
      <c r="AD5" s="522" t="n"/>
      <c r="AE5" s="522" t="n"/>
      <c r="AF5" s="522" t="n"/>
      <c r="AG5" s="522" t="n"/>
      <c r="AH5" s="522" t="n"/>
      <c r="AI5" s="522" t="n"/>
      <c r="AJ5" s="522" t="n"/>
      <c r="AK5" s="522" t="n"/>
      <c r="AL5" s="522" t="n"/>
      <c r="AM5" s="522" t="n"/>
      <c r="AN5" s="522" t="n"/>
      <c r="AO5" s="523" t="n"/>
      <c r="AP5" s="156">
        <f>AP7/AP6</f>
        <v/>
      </c>
      <c r="AR5" s="528" t="n"/>
      <c r="AS5" s="530" t="inlineStr">
        <is>
          <t>Effective Cycle Time</t>
        </is>
      </c>
      <c r="AT5" s="522" t="n"/>
      <c r="AU5" s="522" t="n"/>
      <c r="AV5" s="522" t="n"/>
      <c r="AW5" s="522" t="n"/>
      <c r="AX5" s="522" t="n"/>
      <c r="AY5" s="522" t="n"/>
      <c r="AZ5" s="522" t="n"/>
      <c r="BA5" s="522" t="n"/>
      <c r="BB5" s="522" t="n"/>
      <c r="BC5" s="522" t="n"/>
      <c r="BD5" s="522" t="n"/>
      <c r="BE5" s="522" t="n"/>
      <c r="BF5" s="522" t="n"/>
      <c r="BG5" s="523" t="n"/>
      <c r="BH5" s="156">
        <f>BH7/BH6</f>
        <v/>
      </c>
      <c r="BJ5" s="528" t="n"/>
      <c r="BK5" s="530" t="inlineStr">
        <is>
          <t>Effective Cycle Time</t>
        </is>
      </c>
      <c r="BL5" s="522" t="n"/>
      <c r="BM5" s="522" t="n"/>
      <c r="BN5" s="522" t="n"/>
      <c r="BO5" s="522" t="n"/>
      <c r="BP5" s="522" t="n"/>
      <c r="BQ5" s="522" t="n"/>
      <c r="BR5" s="522" t="n"/>
      <c r="BS5" s="522" t="n"/>
      <c r="BT5" s="522" t="n"/>
      <c r="BU5" s="522" t="n"/>
      <c r="BV5" s="522" t="n"/>
      <c r="BW5" s="522" t="n"/>
      <c r="BX5" s="522" t="n"/>
      <c r="BY5" s="523" t="n"/>
      <c r="BZ5" s="156">
        <f>BZ7/BZ6</f>
        <v/>
      </c>
      <c r="CB5" s="528" t="n"/>
      <c r="CC5" s="530" t="inlineStr">
        <is>
          <t>Effective Cycle Time</t>
        </is>
      </c>
      <c r="CD5" s="522" t="n"/>
      <c r="CE5" s="522" t="n"/>
      <c r="CF5" s="522" t="n"/>
      <c r="CG5" s="522" t="n"/>
      <c r="CH5" s="522" t="n"/>
      <c r="CI5" s="522" t="n"/>
      <c r="CJ5" s="522" t="n"/>
      <c r="CK5" s="522" t="n"/>
      <c r="CL5" s="522" t="n"/>
      <c r="CM5" s="522" t="n"/>
      <c r="CN5" s="522" t="n"/>
      <c r="CO5" s="522" t="n"/>
      <c r="CP5" s="522" t="n"/>
      <c r="CQ5" s="523" t="n"/>
      <c r="CR5" s="156">
        <f>CR7/CR6</f>
        <v/>
      </c>
    </row>
    <row r="6" ht="18" customHeight="1" s="516">
      <c r="B6" s="1" t="inlineStr">
        <is>
          <t>Standard cycles</t>
        </is>
      </c>
      <c r="C6" s="1" t="inlineStr">
        <is>
          <t>Reshuffling cycles</t>
        </is>
      </c>
      <c r="H6" s="528" t="n"/>
      <c r="I6" s="530" t="inlineStr">
        <is>
          <t>Equipment Utilization</t>
        </is>
      </c>
      <c r="J6" s="522" t="n"/>
      <c r="K6" s="522" t="n"/>
      <c r="L6" s="522" t="n"/>
      <c r="M6" s="522" t="n"/>
      <c r="N6" s="522" t="n"/>
      <c r="O6" s="522" t="n"/>
      <c r="P6" s="522" t="n"/>
      <c r="Q6" s="522" t="n"/>
      <c r="R6" s="522" t="n"/>
      <c r="S6" s="522" t="n"/>
      <c r="T6" s="522" t="n"/>
      <c r="U6" s="522" t="n"/>
      <c r="V6" s="522" t="n"/>
      <c r="W6" s="523" t="n"/>
      <c r="X6" s="157">
        <f>'Master List'!$G$1</f>
        <v/>
      </c>
      <c r="Z6" s="528" t="n"/>
      <c r="AA6" s="530" t="inlineStr">
        <is>
          <t>Equipment Utilization</t>
        </is>
      </c>
      <c r="AB6" s="522" t="n"/>
      <c r="AC6" s="522" t="n"/>
      <c r="AD6" s="522" t="n"/>
      <c r="AE6" s="522" t="n"/>
      <c r="AF6" s="522" t="n"/>
      <c r="AG6" s="522" t="n"/>
      <c r="AH6" s="522" t="n"/>
      <c r="AI6" s="522" t="n"/>
      <c r="AJ6" s="522" t="n"/>
      <c r="AK6" s="522" t="n"/>
      <c r="AL6" s="522" t="n"/>
      <c r="AM6" s="522" t="n"/>
      <c r="AN6" s="522" t="n"/>
      <c r="AO6" s="523" t="n"/>
      <c r="AP6" s="157">
        <f>'Master List'!$G$1</f>
        <v/>
      </c>
      <c r="AR6" s="528" t="n"/>
      <c r="AS6" s="530" t="inlineStr">
        <is>
          <t>Equipment Utilization</t>
        </is>
      </c>
      <c r="AT6" s="522" t="n"/>
      <c r="AU6" s="522" t="n"/>
      <c r="AV6" s="522" t="n"/>
      <c r="AW6" s="522" t="n"/>
      <c r="AX6" s="522" t="n"/>
      <c r="AY6" s="522" t="n"/>
      <c r="AZ6" s="522" t="n"/>
      <c r="BA6" s="522" t="n"/>
      <c r="BB6" s="522" t="n"/>
      <c r="BC6" s="522" t="n"/>
      <c r="BD6" s="522" t="n"/>
      <c r="BE6" s="522" t="n"/>
      <c r="BF6" s="522" t="n"/>
      <c r="BG6" s="523" t="n"/>
      <c r="BH6" s="157">
        <f>'Master List'!$G$1</f>
        <v/>
      </c>
      <c r="BJ6" s="528" t="n"/>
      <c r="BK6" s="530" t="inlineStr">
        <is>
          <t>Equipment Utilization</t>
        </is>
      </c>
      <c r="BL6" s="522" t="n"/>
      <c r="BM6" s="522" t="n"/>
      <c r="BN6" s="522" t="n"/>
      <c r="BO6" s="522" t="n"/>
      <c r="BP6" s="522" t="n"/>
      <c r="BQ6" s="522" t="n"/>
      <c r="BR6" s="522" t="n"/>
      <c r="BS6" s="522" t="n"/>
      <c r="BT6" s="522" t="n"/>
      <c r="BU6" s="522" t="n"/>
      <c r="BV6" s="522" t="n"/>
      <c r="BW6" s="522" t="n"/>
      <c r="BX6" s="522" t="n"/>
      <c r="BY6" s="523" t="n"/>
      <c r="BZ6" s="157">
        <f>'Master List'!$G$1</f>
        <v/>
      </c>
      <c r="CB6" s="528" t="n"/>
      <c r="CC6" s="530" t="inlineStr">
        <is>
          <t>Equipment Utilization</t>
        </is>
      </c>
      <c r="CD6" s="522" t="n"/>
      <c r="CE6" s="522" t="n"/>
      <c r="CF6" s="522" t="n"/>
      <c r="CG6" s="522" t="n"/>
      <c r="CH6" s="522" t="n"/>
      <c r="CI6" s="522" t="n"/>
      <c r="CJ6" s="522" t="n"/>
      <c r="CK6" s="522" t="n"/>
      <c r="CL6" s="522" t="n"/>
      <c r="CM6" s="522" t="n"/>
      <c r="CN6" s="522" t="n"/>
      <c r="CO6" s="522" t="n"/>
      <c r="CP6" s="522" t="n"/>
      <c r="CQ6" s="523" t="n"/>
      <c r="CR6" s="157">
        <f>'Master List'!$G$1</f>
        <v/>
      </c>
    </row>
    <row r="7" ht="34.5" customHeight="1" s="516">
      <c r="A7" s="35" t="inlineStr">
        <is>
          <t>Cycles/ Hr</t>
        </is>
      </c>
      <c r="B7" s="53">
        <f>SUMPRODUCT(D21:D24,E21:E24)</f>
        <v/>
      </c>
      <c r="C7" s="53">
        <f>IF('Multi Pro Input OutPut'!B14="NO",0,CR4)</f>
        <v/>
      </c>
      <c r="D7" s="6" t="n"/>
      <c r="E7" s="6" t="n"/>
      <c r="F7" s="6" t="n"/>
      <c r="G7" s="151" t="n"/>
      <c r="H7" s="528" t="n"/>
      <c r="I7" s="530" t="inlineStr">
        <is>
          <t>Cycle Time</t>
        </is>
      </c>
      <c r="J7" s="522" t="n"/>
      <c r="K7" s="522" t="n"/>
      <c r="L7" s="522" t="n"/>
      <c r="M7" s="522" t="n"/>
      <c r="N7" s="522" t="n"/>
      <c r="O7" s="522" t="n"/>
      <c r="P7" s="522" t="n"/>
      <c r="Q7" s="522" t="n"/>
      <c r="R7" s="522" t="n"/>
      <c r="S7" s="522" t="n"/>
      <c r="T7" s="522" t="n"/>
      <c r="U7" s="522" t="n"/>
      <c r="V7" s="522" t="n"/>
      <c r="W7" s="523" t="n"/>
      <c r="X7" s="158">
        <f>SUM(X9:X21)</f>
        <v/>
      </c>
      <c r="Z7" s="528" t="n"/>
      <c r="AA7" s="530" t="inlineStr">
        <is>
          <t>Cycle Time</t>
        </is>
      </c>
      <c r="AB7" s="522" t="n"/>
      <c r="AC7" s="522" t="n"/>
      <c r="AD7" s="522" t="n"/>
      <c r="AE7" s="522" t="n"/>
      <c r="AF7" s="522" t="n"/>
      <c r="AG7" s="522" t="n"/>
      <c r="AH7" s="522" t="n"/>
      <c r="AI7" s="522" t="n"/>
      <c r="AJ7" s="522" t="n"/>
      <c r="AK7" s="522" t="n"/>
      <c r="AL7" s="522" t="n"/>
      <c r="AM7" s="522" t="n"/>
      <c r="AN7" s="522" t="n"/>
      <c r="AO7" s="523" t="n"/>
      <c r="AP7" s="158">
        <f>SUM(AP9:AP94)</f>
        <v/>
      </c>
      <c r="AR7" s="528" t="n"/>
      <c r="AS7" s="530" t="inlineStr">
        <is>
          <t>Cycle Time</t>
        </is>
      </c>
      <c r="AT7" s="522" t="n"/>
      <c r="AU7" s="522" t="n"/>
      <c r="AV7" s="522" t="n"/>
      <c r="AW7" s="522" t="n"/>
      <c r="AX7" s="522" t="n"/>
      <c r="AY7" s="522" t="n"/>
      <c r="AZ7" s="522" t="n"/>
      <c r="BA7" s="522" t="n"/>
      <c r="BB7" s="522" t="n"/>
      <c r="BC7" s="522" t="n"/>
      <c r="BD7" s="522" t="n"/>
      <c r="BE7" s="522" t="n"/>
      <c r="BF7" s="522" t="n"/>
      <c r="BG7" s="523" t="n"/>
      <c r="BH7" s="158">
        <f>SUM(BH9:BH94)</f>
        <v/>
      </c>
      <c r="BJ7" s="528" t="n"/>
      <c r="BK7" s="530" t="inlineStr">
        <is>
          <t>Cycle Time</t>
        </is>
      </c>
      <c r="BL7" s="522" t="n"/>
      <c r="BM7" s="522" t="n"/>
      <c r="BN7" s="522" t="n"/>
      <c r="BO7" s="522" t="n"/>
      <c r="BP7" s="522" t="n"/>
      <c r="BQ7" s="522" t="n"/>
      <c r="BR7" s="522" t="n"/>
      <c r="BS7" s="522" t="n"/>
      <c r="BT7" s="522" t="n"/>
      <c r="BU7" s="522" t="n"/>
      <c r="BV7" s="522" t="n"/>
      <c r="BW7" s="522" t="n"/>
      <c r="BX7" s="522" t="n"/>
      <c r="BY7" s="523" t="n"/>
      <c r="BZ7" s="158">
        <f>SUM(BZ9:BZ94)</f>
        <v/>
      </c>
      <c r="CB7" s="528" t="n"/>
      <c r="CC7" s="530" t="inlineStr">
        <is>
          <t>Cycle Time</t>
        </is>
      </c>
      <c r="CD7" s="522" t="n"/>
      <c r="CE7" s="522" t="n"/>
      <c r="CF7" s="522" t="n"/>
      <c r="CG7" s="522" t="n"/>
      <c r="CH7" s="522" t="n"/>
      <c r="CI7" s="522" t="n"/>
      <c r="CJ7" s="522" t="n"/>
      <c r="CK7" s="522" t="n"/>
      <c r="CL7" s="522" t="n"/>
      <c r="CM7" s="522" t="n"/>
      <c r="CN7" s="522" t="n"/>
      <c r="CO7" s="522" t="n"/>
      <c r="CP7" s="522" t="n"/>
      <c r="CQ7" s="523" t="n"/>
      <c r="CR7" s="158">
        <f>SUM(CR9:CR94)</f>
        <v/>
      </c>
    </row>
    <row r="8" ht="53" customFormat="1" customHeight="1" s="6">
      <c r="A8" s="35" t="inlineStr">
        <is>
          <t>Pallets/ Hr</t>
        </is>
      </c>
      <c r="B8" s="53">
        <f>SUMPRODUCT(E21:E24,F21:F24)</f>
        <v/>
      </c>
      <c r="C8" s="53">
        <f>C7</f>
        <v/>
      </c>
      <c r="D8" s="1" t="n"/>
      <c r="G8" s="147" t="n"/>
      <c r="H8" s="529" t="n"/>
      <c r="I8" s="531" t="inlineStr">
        <is>
          <t>Activity Type</t>
        </is>
      </c>
      <c r="J8" s="159" t="inlineStr">
        <is>
          <t>Steps</t>
        </is>
      </c>
      <c r="K8" s="159" t="inlineStr">
        <is>
          <t>Time to consider in absence of data (sec)</t>
        </is>
      </c>
      <c r="L8" s="159" t="inlineStr">
        <is>
          <t>Speed (m / sec)</t>
        </is>
      </c>
      <c r="M8" s="159" t="inlineStr">
        <is>
          <t>Acceleration (m / sec^2)</t>
        </is>
      </c>
      <c r="N8" s="159" t="inlineStr">
        <is>
          <t>Total Distance (m)</t>
        </is>
      </c>
      <c r="O8" s="159" t="inlineStr">
        <is>
          <t>Time to Reach Max Speed (sec)</t>
        </is>
      </c>
      <c r="P8" s="159" t="inlineStr">
        <is>
          <t>Distance in accerlaration (m)</t>
        </is>
      </c>
      <c r="Q8" s="159" t="inlineStr">
        <is>
          <t>Distance in Max speed (m)</t>
        </is>
      </c>
      <c r="R8" s="159" t="inlineStr">
        <is>
          <t>Distance in de-acceleration (m)</t>
        </is>
      </c>
      <c r="S8" s="159" t="inlineStr">
        <is>
          <t>Time in acceleration (sec)</t>
        </is>
      </c>
      <c r="T8" s="159" t="inlineStr">
        <is>
          <t>Time in full speed (sec)</t>
        </is>
      </c>
      <c r="U8" s="159" t="inlineStr">
        <is>
          <t>Time in de-acceleration (sec)</t>
        </is>
      </c>
      <c r="V8" s="159" t="inlineStr">
        <is>
          <t>Time (sec)</t>
        </is>
      </c>
      <c r="W8" s="159" t="inlineStr">
        <is>
          <t>Units</t>
        </is>
      </c>
      <c r="X8" s="159" t="inlineStr">
        <is>
          <t>Total Time</t>
        </is>
      </c>
      <c r="Y8" s="154" t="n"/>
      <c r="Z8" s="529" t="n"/>
      <c r="AA8" s="531" t="inlineStr">
        <is>
          <t>Activity Type</t>
        </is>
      </c>
      <c r="AB8" s="159" t="inlineStr">
        <is>
          <t>Steps</t>
        </is>
      </c>
      <c r="AC8" s="159" t="inlineStr">
        <is>
          <t>Time to consider in absence of data (sec)</t>
        </is>
      </c>
      <c r="AD8" s="159" t="inlineStr">
        <is>
          <t>Speed (m / sec)</t>
        </is>
      </c>
      <c r="AE8" s="159" t="inlineStr">
        <is>
          <t>Acceleration (m / sec^2)</t>
        </is>
      </c>
      <c r="AF8" s="159" t="inlineStr">
        <is>
          <t>Total Distance (m)</t>
        </is>
      </c>
      <c r="AG8" s="159" t="inlineStr">
        <is>
          <t>Time to Reach Max Speed (sec)</t>
        </is>
      </c>
      <c r="AH8" s="159" t="inlineStr">
        <is>
          <t>Distance in accerlaration (m)</t>
        </is>
      </c>
      <c r="AI8" s="159" t="inlineStr">
        <is>
          <t>Distance in Max speed (m)</t>
        </is>
      </c>
      <c r="AJ8" s="159" t="inlineStr">
        <is>
          <t>Distance in de-acceleration (m)</t>
        </is>
      </c>
      <c r="AK8" s="159" t="inlineStr">
        <is>
          <t>Time in acceleration (sec)</t>
        </is>
      </c>
      <c r="AL8" s="159" t="inlineStr">
        <is>
          <t>Time in full speed (sec)</t>
        </is>
      </c>
      <c r="AM8" s="159" t="inlineStr">
        <is>
          <t>Time in de-acceleration (sec)</t>
        </is>
      </c>
      <c r="AN8" s="159" t="inlineStr">
        <is>
          <t>Time (sec)</t>
        </is>
      </c>
      <c r="AO8" s="159" t="inlineStr">
        <is>
          <t>Units</t>
        </is>
      </c>
      <c r="AP8" s="159" t="inlineStr">
        <is>
          <t>Total Time</t>
        </is>
      </c>
      <c r="AQ8" s="154" t="n"/>
      <c r="AR8" s="529" t="n"/>
      <c r="AS8" s="531" t="inlineStr">
        <is>
          <t>Activity Type</t>
        </is>
      </c>
      <c r="AT8" s="159" t="inlineStr">
        <is>
          <t>Steps</t>
        </is>
      </c>
      <c r="AU8" s="159" t="inlineStr">
        <is>
          <t>Time to consider in absence of data (sec)</t>
        </is>
      </c>
      <c r="AV8" s="159" t="inlineStr">
        <is>
          <t>Speed (m / sec)</t>
        </is>
      </c>
      <c r="AW8" s="159" t="inlineStr">
        <is>
          <t>Acceleration (m / sec^2)</t>
        </is>
      </c>
      <c r="AX8" s="159" t="inlineStr">
        <is>
          <t>Total Distance (m)</t>
        </is>
      </c>
      <c r="AY8" s="159" t="inlineStr">
        <is>
          <t>Time to Reach Max Speed (sec)</t>
        </is>
      </c>
      <c r="AZ8" s="159" t="inlineStr">
        <is>
          <t>Distance in accerlaration (m)</t>
        </is>
      </c>
      <c r="BA8" s="159" t="inlineStr">
        <is>
          <t>Distance in Max speed (m)</t>
        </is>
      </c>
      <c r="BB8" s="159" t="inlineStr">
        <is>
          <t>Distance in de-acceleration (m)</t>
        </is>
      </c>
      <c r="BC8" s="159" t="inlineStr">
        <is>
          <t>Time in acceleration (sec)</t>
        </is>
      </c>
      <c r="BD8" s="159" t="inlineStr">
        <is>
          <t>Time in full speed (sec)</t>
        </is>
      </c>
      <c r="BE8" s="159" t="inlineStr">
        <is>
          <t>Time in de-acceleration (sec)</t>
        </is>
      </c>
      <c r="BF8" s="159" t="inlineStr">
        <is>
          <t>Time (sec)</t>
        </is>
      </c>
      <c r="BG8" s="159" t="inlineStr">
        <is>
          <t>Units</t>
        </is>
      </c>
      <c r="BH8" s="159" t="inlineStr">
        <is>
          <t>Total Time</t>
        </is>
      </c>
      <c r="BI8" s="154" t="n"/>
      <c r="BJ8" s="529" t="n"/>
      <c r="BK8" s="531" t="inlineStr">
        <is>
          <t>Activity Type</t>
        </is>
      </c>
      <c r="BL8" s="159" t="inlineStr">
        <is>
          <t>Steps</t>
        </is>
      </c>
      <c r="BM8" s="159" t="inlineStr">
        <is>
          <t>Time to consider in absence of data (sec)</t>
        </is>
      </c>
      <c r="BN8" s="159" t="inlineStr">
        <is>
          <t>Speed (m / sec)</t>
        </is>
      </c>
      <c r="BO8" s="159" t="inlineStr">
        <is>
          <t>Acceleration (m / sec^2)</t>
        </is>
      </c>
      <c r="BP8" s="159" t="inlineStr">
        <is>
          <t>Total Distance (m)</t>
        </is>
      </c>
      <c r="BQ8" s="159" t="inlineStr">
        <is>
          <t>Time to Reach Max Speed (sec)</t>
        </is>
      </c>
      <c r="BR8" s="159" t="inlineStr">
        <is>
          <t>Distance in accerlaration (m)</t>
        </is>
      </c>
      <c r="BS8" s="159" t="inlineStr">
        <is>
          <t>Distance in Max speed (m)</t>
        </is>
      </c>
      <c r="BT8" s="159" t="inlineStr">
        <is>
          <t>Distance in de-acceleration (m)</t>
        </is>
      </c>
      <c r="BU8" s="159" t="inlineStr">
        <is>
          <t>Time in acceleration (sec)</t>
        </is>
      </c>
      <c r="BV8" s="159" t="inlineStr">
        <is>
          <t>Time in full speed (sec)</t>
        </is>
      </c>
      <c r="BW8" s="159" t="inlineStr">
        <is>
          <t>Time in de-acceleration (sec)</t>
        </is>
      </c>
      <c r="BX8" s="159" t="inlineStr">
        <is>
          <t>Time (sec)</t>
        </is>
      </c>
      <c r="BY8" s="159" t="inlineStr">
        <is>
          <t>Units</t>
        </is>
      </c>
      <c r="BZ8" s="159" t="inlineStr">
        <is>
          <t>Total Time</t>
        </is>
      </c>
      <c r="CA8" s="152" t="n"/>
      <c r="CB8" s="529" t="n"/>
      <c r="CC8" s="531" t="inlineStr">
        <is>
          <t>Activity Type</t>
        </is>
      </c>
      <c r="CD8" s="159" t="inlineStr">
        <is>
          <t>Steps</t>
        </is>
      </c>
      <c r="CE8" s="159" t="inlineStr">
        <is>
          <t>Time to consider in absence of data (sec)</t>
        </is>
      </c>
      <c r="CF8" s="159" t="inlineStr">
        <is>
          <t>Speed (m / sec)</t>
        </is>
      </c>
      <c r="CG8" s="159" t="inlineStr">
        <is>
          <t>Acceleration (m / sec^2)</t>
        </is>
      </c>
      <c r="CH8" s="159" t="inlineStr">
        <is>
          <t>Total Distance (m)</t>
        </is>
      </c>
      <c r="CI8" s="159" t="inlineStr">
        <is>
          <t>Time to Reach Max Speed (sec)</t>
        </is>
      </c>
      <c r="CJ8" s="159" t="inlineStr">
        <is>
          <t>Distance in accerlaration (m)</t>
        </is>
      </c>
      <c r="CK8" s="159" t="inlineStr">
        <is>
          <t>Distance in Max speed (m)</t>
        </is>
      </c>
      <c r="CL8" s="159" t="inlineStr">
        <is>
          <t>Distance in de-acceleration (m)</t>
        </is>
      </c>
      <c r="CM8" s="159" t="inlineStr">
        <is>
          <t>Time in acceleration (sec)</t>
        </is>
      </c>
      <c r="CN8" s="159" t="inlineStr">
        <is>
          <t>Time in full speed (sec)</t>
        </is>
      </c>
      <c r="CO8" s="159" t="inlineStr">
        <is>
          <t>Time in de-acceleration (sec)</t>
        </is>
      </c>
      <c r="CP8" s="159" t="inlineStr">
        <is>
          <t>Time (sec)</t>
        </is>
      </c>
      <c r="CQ8" s="159" t="inlineStr">
        <is>
          <t>Units</t>
        </is>
      </c>
      <c r="CR8" s="159" t="inlineStr">
        <is>
          <t>Total Time</t>
        </is>
      </c>
    </row>
    <row r="9" ht="19" customHeight="1" s="516">
      <c r="A9" s="63" t="inlineStr">
        <is>
          <t>Multi Pro required</t>
        </is>
      </c>
      <c r="B9" s="467">
        <f>IFERROR(B10/B8,0)</f>
        <v/>
      </c>
      <c r="C9" s="467">
        <f>IFERROR(C10/C8,0)</f>
        <v/>
      </c>
      <c r="H9" s="160" t="n">
        <v>1</v>
      </c>
      <c r="I9" s="161" t="inlineStr">
        <is>
          <t>Pallet Chain Conveyor</t>
        </is>
      </c>
      <c r="J9" s="162" t="inlineStr">
        <is>
          <t>Transfer of pallet from buffer conveyor to Multi pro</t>
        </is>
      </c>
      <c r="K9" s="163">
        <f>IFERROR(VLOOKUP(I9,'Master List'!$A:$D,2,0),0)</f>
        <v/>
      </c>
      <c r="L9" s="163">
        <f>IFERROR(VLOOKUP(I9,'Master List'!$A:$D,3,0),0)</f>
        <v/>
      </c>
      <c r="M9" s="163">
        <f>IFERROR(VLOOKUP(I9,'Master List'!$A:$D,4,0),0)</f>
        <v/>
      </c>
      <c r="N9" s="163">
        <f>B18</f>
        <v/>
      </c>
      <c r="O9" s="163">
        <f>IFERROR(L9/M9,0)</f>
        <v/>
      </c>
      <c r="P9" s="163">
        <f>IFERROR(IF(N9&lt;((1/2*M9*O9^2)*2),1/2*M9*SQRT((N9/2)*2/M9)^2,1/2*M9*O9^2),0)</f>
        <v/>
      </c>
      <c r="Q9" s="163">
        <f>IFERROR(IF(N9-P9-R9&lt;=0,0,N9-P9-R9),0)</f>
        <v/>
      </c>
      <c r="R9" s="163">
        <f>P9</f>
        <v/>
      </c>
      <c r="S9" s="163">
        <f>IFERROR(IF(N9&lt;((1/2*M9*O9^2)*2),SQRT((N9/2)*2/M9),O9),0)</f>
        <v/>
      </c>
      <c r="T9" s="163">
        <f>IFERROR(Q9/L9,0)</f>
        <v/>
      </c>
      <c r="U9" s="163">
        <f>S9</f>
        <v/>
      </c>
      <c r="V9" s="164">
        <f>IF(K9&gt;0,K9,SUM(S9:U9))</f>
        <v/>
      </c>
      <c r="W9" s="163" t="n">
        <v>1</v>
      </c>
      <c r="X9" s="163">
        <f>V9*W9</f>
        <v/>
      </c>
      <c r="Z9" s="160" t="n">
        <v>1</v>
      </c>
      <c r="AA9" s="161" t="inlineStr">
        <is>
          <t>Pallet Chain Conveyor</t>
        </is>
      </c>
      <c r="AB9" s="162" t="inlineStr">
        <is>
          <t>Transfer of pallet from buffer conveyor to Multi pro</t>
        </is>
      </c>
      <c r="AC9" s="163">
        <f>IFERROR(VLOOKUP(AA9,'Master List'!$A:$D,2,0),0)</f>
        <v/>
      </c>
      <c r="AD9" s="163">
        <f>IFERROR(VLOOKUP(AA9,'Master List'!$A:$D,3,0),0)</f>
        <v/>
      </c>
      <c r="AE9" s="163">
        <f>IFERROR(VLOOKUP(AA9,'Master List'!$A:$D,4,0),0)</f>
        <v/>
      </c>
      <c r="AF9" s="163">
        <f>B18</f>
        <v/>
      </c>
      <c r="AG9" s="163">
        <f>IFERROR(AD9/AE9,0)</f>
        <v/>
      </c>
      <c r="AH9" s="163">
        <f>IFERROR(IF(AF9&lt;((1/2*AE9*AG9^2)*2),1/2*AE9*SQRT((AF9/2)*2/AE9)^2,1/2*AE9*AG9^2),0)</f>
        <v/>
      </c>
      <c r="AI9" s="163">
        <f>IFERROR(IF(AF9-AH9-AJ9&lt;=0,0,AF9-AH9-AJ9),0)</f>
        <v/>
      </c>
      <c r="AJ9" s="163">
        <f>AH9</f>
        <v/>
      </c>
      <c r="AK9" s="163">
        <f>IFERROR(IF(AF9&lt;((1/2*AE9*AG9^2)*2),SQRT((AF9/2)*2/AE9),AG9),0)</f>
        <v/>
      </c>
      <c r="AL9" s="163">
        <f>IFERROR(AI9/AD9,0)</f>
        <v/>
      </c>
      <c r="AM9" s="163">
        <f>AK9</f>
        <v/>
      </c>
      <c r="AN9" s="164">
        <f>IF(AC9&gt;0,AC9,SUM(AK9:AM9))</f>
        <v/>
      </c>
      <c r="AO9" s="163" t="n">
        <v>1</v>
      </c>
      <c r="AP9" s="163">
        <f>AN9*AO9</f>
        <v/>
      </c>
      <c r="AR9" s="160" t="n">
        <v>1</v>
      </c>
      <c r="AS9" s="161" t="inlineStr">
        <is>
          <t>Pallet Chain Conveyor</t>
        </is>
      </c>
      <c r="AT9" s="162" t="inlineStr">
        <is>
          <t>Transfer of pallet from buffer conveyor to Multi pro</t>
        </is>
      </c>
      <c r="AU9" s="163">
        <f>IFERROR(VLOOKUP(AS9,'Master List'!$A:$D,2,0),0)</f>
        <v/>
      </c>
      <c r="AV9" s="163">
        <f>IFERROR(VLOOKUP(AS9,'Master List'!$A:$D,3,0),0)</f>
        <v/>
      </c>
      <c r="AW9" s="163">
        <f>IFERROR(VLOOKUP(AS9,'Master List'!$A:$D,4,0),0)</f>
        <v/>
      </c>
      <c r="AX9" s="163">
        <f>B18</f>
        <v/>
      </c>
      <c r="AY9" s="163">
        <f>IFERROR(AV9/AW9,0)</f>
        <v/>
      </c>
      <c r="AZ9" s="163">
        <f>IFERROR(IF(AX9&lt;((1/2*AW9*AY9^2)*2),1/2*AW9*SQRT((AX9/2)*2/AW9)^2,1/2*AW9*AY9^2),0)</f>
        <v/>
      </c>
      <c r="BA9" s="163">
        <f>IFERROR(IF(AX9-AZ9-BB9&lt;=0,0,AX9-AZ9-BB9),0)</f>
        <v/>
      </c>
      <c r="BB9" s="163">
        <f>AZ9</f>
        <v/>
      </c>
      <c r="BC9" s="163">
        <f>IFERROR(IF(AX9&lt;((1/2*AW9*AY9^2)*2),SQRT((AX9/2)*2/AW9),AY9),0)</f>
        <v/>
      </c>
      <c r="BD9" s="163">
        <f>IFERROR(BA9/AV9,0)</f>
        <v/>
      </c>
      <c r="BE9" s="163">
        <f>BC9</f>
        <v/>
      </c>
      <c r="BF9" s="164">
        <f>IF(AU9&gt;0,AU9,SUM(BC9:BE9))</f>
        <v/>
      </c>
      <c r="BG9" s="163" t="n">
        <v>1</v>
      </c>
      <c r="BH9" s="163">
        <f>BF9*BG9</f>
        <v/>
      </c>
      <c r="BJ9" s="160" t="n">
        <v>1</v>
      </c>
      <c r="BK9" s="161" t="inlineStr">
        <is>
          <t>Pallet Chain Conveyor</t>
        </is>
      </c>
      <c r="BL9" s="162" t="inlineStr">
        <is>
          <t>Transfer of pallet from buffer conveyor to Multi pro</t>
        </is>
      </c>
      <c r="BM9" s="163">
        <f>IFERROR(VLOOKUP(BK9,'Master List'!$A:$D,2,0),0)</f>
        <v/>
      </c>
      <c r="BN9" s="163">
        <f>IFERROR(VLOOKUP(BK9,'Master List'!$A:$D,3,0),0)</f>
        <v/>
      </c>
      <c r="BO9" s="163">
        <f>IFERROR(VLOOKUP(BK9,'Master List'!$A:$D,4,0),0)</f>
        <v/>
      </c>
      <c r="BP9" s="163">
        <f>B18</f>
        <v/>
      </c>
      <c r="BQ9" s="163">
        <f>IFERROR(BN9/BO9,0)</f>
        <v/>
      </c>
      <c r="BR9" s="163">
        <f>IFERROR(IF(BP9&lt;((1/2*BO9*BQ9^2)*2),1/2*BO9*SQRT((BP9/2)*2/BO9)^2,1/2*BO9*BQ9^2),0)</f>
        <v/>
      </c>
      <c r="BS9" s="163">
        <f>IFERROR(IF(BP9-BR9-BT9&lt;=0,0,BP9-BR9-BT9),0)</f>
        <v/>
      </c>
      <c r="BT9" s="163">
        <f>BR9</f>
        <v/>
      </c>
      <c r="BU9" s="163">
        <f>IFERROR(IF(BP9&lt;((1/2*BO9*BQ9^2)*2),SQRT((BP9/2)*2/BO9),BQ9),0)</f>
        <v/>
      </c>
      <c r="BV9" s="163">
        <f>IFERROR(BS9/BN9,0)</f>
        <v/>
      </c>
      <c r="BW9" s="163">
        <f>BU9</f>
        <v/>
      </c>
      <c r="BX9" s="164">
        <f>IF(BM9&gt;0,BM9,SUM(BU9:BW9))</f>
        <v/>
      </c>
      <c r="BY9" s="163" t="n">
        <v>1</v>
      </c>
      <c r="BZ9" s="163">
        <f>BX9*BY9</f>
        <v/>
      </c>
      <c r="CB9" s="160" t="n">
        <v>1</v>
      </c>
      <c r="CC9" s="161" t="inlineStr">
        <is>
          <t>Cruiser Running Unloaded</t>
        </is>
      </c>
      <c r="CD9" s="162" t="inlineStr">
        <is>
          <t>Cruiser movement (Pick and drop pallet)</t>
        </is>
      </c>
      <c r="CE9" s="163">
        <f>IFERROR(VLOOKUP(CC9,'Master List'!$A:$D,2,0),0)</f>
        <v/>
      </c>
      <c r="CF9" s="163">
        <f>IFERROR(VLOOKUP(CC9,'Master List'!$A:$D,3,0),0)</f>
        <v/>
      </c>
      <c r="CG9" s="163">
        <f>IFERROR(VLOOKUP(CC9,'Master List'!$A:$D,4,0),0)</f>
        <v/>
      </c>
      <c r="CH9" s="163">
        <f>B27</f>
        <v/>
      </c>
      <c r="CI9" s="163">
        <f>IFERROR(CF9/CG9,0)</f>
        <v/>
      </c>
      <c r="CJ9" s="163">
        <f>IFERROR(IF(CH9&lt;((1/2*CG9*CI9^2)*2),1/2*CG9*SQRT((CH9/2)*2/CG9)^2,1/2*CG9*CI9^2),0)</f>
        <v/>
      </c>
      <c r="CK9" s="163">
        <f>IFERROR(IF(CH9-CJ9-CL9&lt;=0,0,CH9-CJ9-CL9),0)</f>
        <v/>
      </c>
      <c r="CL9" s="163">
        <f>CJ9</f>
        <v/>
      </c>
      <c r="CM9" s="163">
        <f>IFERROR(IF(CH9&lt;((1/2*CG9*CI9^2)*2),SQRT((CH9/2)*2/CG9),CI9),0)</f>
        <v/>
      </c>
      <c r="CN9" s="163">
        <f>IFERROR(CK9/CF9,0)</f>
        <v/>
      </c>
      <c r="CO9" s="163">
        <f>CM9</f>
        <v/>
      </c>
      <c r="CP9" s="164">
        <f>IF(CE9&gt;0,CE9,SUM(CM9:CO9))</f>
        <v/>
      </c>
      <c r="CQ9" s="163" t="n">
        <v>4</v>
      </c>
      <c r="CR9" s="163">
        <f>CP9*CQ9</f>
        <v/>
      </c>
    </row>
    <row r="10" ht="38" customHeight="1" s="516">
      <c r="A10" s="63" t="inlineStr">
        <is>
          <t>Throughput Pallets/ Hr (In + Out)</t>
        </is>
      </c>
      <c r="B10" s="242">
        <f>SUM('Multi Pro Input OutPut'!B7:B8)</f>
        <v/>
      </c>
      <c r="C10" s="242">
        <f>'Multi Pro Input OutPut'!B20</f>
        <v/>
      </c>
      <c r="H10" s="160">
        <f>H9+1</f>
        <v/>
      </c>
      <c r="I10" s="161" t="inlineStr">
        <is>
          <t>Multipro Running Loaded/Unloaded</t>
        </is>
      </c>
      <c r="J10" s="162" t="inlineStr">
        <is>
          <t>Multi pro moving to location</t>
        </is>
      </c>
      <c r="K10" s="163">
        <f>IFERROR(VLOOKUP(I10,'Master List'!$A:$D,2,0),0)</f>
        <v/>
      </c>
      <c r="L10" s="163">
        <f>IFERROR(VLOOKUP(I10,'Master List'!$A:$D,3,0),0)</f>
        <v/>
      </c>
      <c r="M10" s="163">
        <f>IFERROR(VLOOKUP(I10,'Master List'!$A:$D,4,0),0)</f>
        <v/>
      </c>
      <c r="N10" s="163">
        <f>C21</f>
        <v/>
      </c>
      <c r="O10" s="163">
        <f>IFERROR(L10/M10,0)</f>
        <v/>
      </c>
      <c r="P10" s="163">
        <f>IFERROR(IF(N10&lt;((1/2*M10*O10^2)*2),1/2*M10*SQRT((N10/2)*2/M10)^2,1/2*M10*O10^2),0)</f>
        <v/>
      </c>
      <c r="Q10" s="163">
        <f>IFERROR(IF(N10-P10-R10&lt;=0,0,N10-P10-R10),0)</f>
        <v/>
      </c>
      <c r="R10" s="163">
        <f>P10</f>
        <v/>
      </c>
      <c r="S10" s="163">
        <f>IFERROR(IF(N10&lt;((1/2*M10*O10^2)*2),SQRT((N10/2)*2/M10),O10),0)</f>
        <v/>
      </c>
      <c r="T10" s="163">
        <f>IFERROR(Q10/L10,0)</f>
        <v/>
      </c>
      <c r="U10" s="163">
        <f>S10</f>
        <v/>
      </c>
      <c r="V10" s="164">
        <f>IF(K10&gt;0,K10,SUM(S10:U10))</f>
        <v/>
      </c>
      <c r="W10" s="163" t="n">
        <v>1</v>
      </c>
      <c r="X10" s="163">
        <f>V10*W10</f>
        <v/>
      </c>
      <c r="Z10" s="160">
        <f>Z9+1</f>
        <v/>
      </c>
      <c r="AA10" s="161" t="inlineStr">
        <is>
          <t>Multipro Running Loaded/Unloaded</t>
        </is>
      </c>
      <c r="AB10" s="162" t="inlineStr">
        <is>
          <t>Multi pro moving to location</t>
        </is>
      </c>
      <c r="AC10" s="163">
        <f>IFERROR(VLOOKUP(AA10,'Master List'!$A:$D,2,0),0)</f>
        <v/>
      </c>
      <c r="AD10" s="163">
        <f>IFERROR(VLOOKUP(AA10,'Master List'!$A:$D,3,0),0)</f>
        <v/>
      </c>
      <c r="AE10" s="163">
        <f>IFERROR(VLOOKUP(AA10,'Master List'!$A:$D,4,0),0)</f>
        <v/>
      </c>
      <c r="AF10" s="163">
        <f>C22</f>
        <v/>
      </c>
      <c r="AG10" s="163">
        <f>IFERROR(AD10/AE10,0)</f>
        <v/>
      </c>
      <c r="AH10" s="163">
        <f>IFERROR(IF(AF10&lt;((1/2*AE10*AG10^2)*2),1/2*AE10*SQRT((AF10/2)*2/AE10)^2,1/2*AE10*AG10^2),0)</f>
        <v/>
      </c>
      <c r="AI10" s="163">
        <f>IFERROR(IF(AF10-AH10-AJ10&lt;=0,0,AF10-AH10-AJ10),0)</f>
        <v/>
      </c>
      <c r="AJ10" s="163">
        <f>AH10</f>
        <v/>
      </c>
      <c r="AK10" s="163">
        <f>IFERROR(IF(AF10&lt;((1/2*AE10*AG10^2)*2),SQRT((AF10/2)*2/AE10),AG10),0)</f>
        <v/>
      </c>
      <c r="AL10" s="163">
        <f>IFERROR(AI10/AD10,0)</f>
        <v/>
      </c>
      <c r="AM10" s="163">
        <f>AK10</f>
        <v/>
      </c>
      <c r="AN10" s="164">
        <f>IF(AC10&gt;0,AC10,SUM(AK10:AM10))</f>
        <v/>
      </c>
      <c r="AO10" s="163" t="n">
        <v>1</v>
      </c>
      <c r="AP10" s="163">
        <f>AN10*AO10</f>
        <v/>
      </c>
      <c r="AR10" s="160">
        <f>AR9+1</f>
        <v/>
      </c>
      <c r="AS10" s="161" t="inlineStr">
        <is>
          <t>Multipro Running Loaded/Unloaded</t>
        </is>
      </c>
      <c r="AT10" s="162" t="inlineStr">
        <is>
          <t>Multi pro moving to location</t>
        </is>
      </c>
      <c r="AU10" s="163">
        <f>IFERROR(VLOOKUP(AS10,'Master List'!$A:$D,2,0),0)</f>
        <v/>
      </c>
      <c r="AV10" s="163">
        <f>IFERROR(VLOOKUP(AS10,'Master List'!$A:$D,3,0),0)</f>
        <v/>
      </c>
      <c r="AW10" s="163">
        <f>IFERROR(VLOOKUP(AS10,'Master List'!$A:$D,4,0),0)</f>
        <v/>
      </c>
      <c r="AX10" s="163">
        <f>C23</f>
        <v/>
      </c>
      <c r="AY10" s="163">
        <f>IFERROR(AV10/AW10,0)</f>
        <v/>
      </c>
      <c r="AZ10" s="163">
        <f>IFERROR(IF(AX10&lt;((1/2*AW10*AY10^2)*2),1/2*AW10*SQRT((AX10/2)*2/AW10)^2,1/2*AW10*AY10^2),0)</f>
        <v/>
      </c>
      <c r="BA10" s="163">
        <f>IFERROR(IF(AX10-AZ10-BB10&lt;=0,0,AX10-AZ10-BB10),0)</f>
        <v/>
      </c>
      <c r="BB10" s="163">
        <f>AZ10</f>
        <v/>
      </c>
      <c r="BC10" s="163">
        <f>IFERROR(IF(AX10&lt;((1/2*AW10*AY10^2)*2),SQRT((AX10/2)*2/AW10),AY10),0)</f>
        <v/>
      </c>
      <c r="BD10" s="163">
        <f>IFERROR(BA10/AV10,0)</f>
        <v/>
      </c>
      <c r="BE10" s="163">
        <f>BC10</f>
        <v/>
      </c>
      <c r="BF10" s="164">
        <f>IF(AU10&gt;0,AU10,SUM(BC10:BE10))</f>
        <v/>
      </c>
      <c r="BG10" s="163" t="n">
        <v>1</v>
      </c>
      <c r="BH10" s="163">
        <f>BF10*BG10</f>
        <v/>
      </c>
      <c r="BJ10" s="160">
        <f>BJ9+1</f>
        <v/>
      </c>
      <c r="BK10" s="161" t="inlineStr">
        <is>
          <t>Multipro Running Loaded/Unloaded</t>
        </is>
      </c>
      <c r="BL10" s="162" t="inlineStr">
        <is>
          <t>Multi pro moving to location</t>
        </is>
      </c>
      <c r="BM10" s="163">
        <f>IFERROR(VLOOKUP(BK10,'Master List'!$A:$D,2,0),0)</f>
        <v/>
      </c>
      <c r="BN10" s="163">
        <f>IFERROR(VLOOKUP(BK10,'Master List'!$A:$D,3,0),0)</f>
        <v/>
      </c>
      <c r="BO10" s="163">
        <f>IFERROR(VLOOKUP(BK10,'Master List'!$A:$D,4,0),0)</f>
        <v/>
      </c>
      <c r="BP10" s="163">
        <f>C24</f>
        <v/>
      </c>
      <c r="BQ10" s="163">
        <f>IFERROR(BN10/BO10,0)</f>
        <v/>
      </c>
      <c r="BR10" s="163">
        <f>IFERROR(IF(BP10&lt;((1/2*BO10*BQ10^2)*2),1/2*BO10*SQRT((BP10/2)*2/BO10)^2,1/2*BO10*BQ10^2),0)</f>
        <v/>
      </c>
      <c r="BS10" s="163">
        <f>IFERROR(IF(BP10-BR10-BT10&lt;=0,0,BP10-BR10-BT10),0)</f>
        <v/>
      </c>
      <c r="BT10" s="163">
        <f>BR10</f>
        <v/>
      </c>
      <c r="BU10" s="163">
        <f>IFERROR(IF(BP10&lt;((1/2*BO10*BQ10^2)*2),SQRT((BP10/2)*2/BO10),BQ10),0)</f>
        <v/>
      </c>
      <c r="BV10" s="163">
        <f>IFERROR(BS10/BN10,0)</f>
        <v/>
      </c>
      <c r="BW10" s="163">
        <f>BU10</f>
        <v/>
      </c>
      <c r="BX10" s="164">
        <f>IF(BM10&gt;0,BM10,SUM(BU10:BW10))</f>
        <v/>
      </c>
      <c r="BY10" s="163" t="n">
        <v>1</v>
      </c>
      <c r="BZ10" s="163">
        <f>BX10*BY10</f>
        <v/>
      </c>
      <c r="CB10" s="160">
        <f>CB9+1</f>
        <v/>
      </c>
      <c r="CC10" s="161" t="inlineStr">
        <is>
          <t>Cruiser lift/ drop time</t>
        </is>
      </c>
      <c r="CD10" s="162" t="inlineStr">
        <is>
          <t>Cruiser lift and drop (Pick and drop pallet)</t>
        </is>
      </c>
      <c r="CE10" s="163">
        <f>IFERROR(VLOOKUP(CC10,'Master List'!$A:$D,2,0),0)</f>
        <v/>
      </c>
      <c r="CF10" s="163">
        <f>IFERROR(VLOOKUP(CC10,'Master List'!$A:$D,3,0),0)</f>
        <v/>
      </c>
      <c r="CG10" s="163">
        <f>IFERROR(VLOOKUP(CC10,'Master List'!$A:$D,4,0),0)</f>
        <v/>
      </c>
      <c r="CH10" s="163" t="n"/>
      <c r="CI10" s="163">
        <f>IFERROR(CF10/CG10,0)</f>
        <v/>
      </c>
      <c r="CJ10" s="163">
        <f>IFERROR(IF(CH10&lt;((1/2*CG10*CI10^2)*2),1/2*CG10*SQRT((CH10/2)*2/CG10)^2,1/2*CG10*CI10^2),0)</f>
        <v/>
      </c>
      <c r="CK10" s="163">
        <f>IFERROR(IF(CH10-CJ10-CL10&lt;=0,0,CH10-CJ10-CL10),0)</f>
        <v/>
      </c>
      <c r="CL10" s="163">
        <f>CJ10</f>
        <v/>
      </c>
      <c r="CM10" s="163">
        <f>IFERROR(IF(CH10&lt;((1/2*CG10*CI10^2)*2),SQRT((CH10/2)*2/CG10),CI10),0)</f>
        <v/>
      </c>
      <c r="CN10" s="163">
        <f>IFERROR(CK10/CF10,0)</f>
        <v/>
      </c>
      <c r="CO10" s="163">
        <f>CM10</f>
        <v/>
      </c>
      <c r="CP10" s="164">
        <f>IF(CE10&gt;0,CE10,SUM(CM10:CO10))</f>
        <v/>
      </c>
      <c r="CQ10" s="163" t="n">
        <v>4</v>
      </c>
      <c r="CR10" s="163">
        <f>CP10*CQ10</f>
        <v/>
      </c>
    </row>
    <row r="11">
      <c r="H11" s="160">
        <f>H10+1</f>
        <v/>
      </c>
      <c r="I11" s="161" t="inlineStr">
        <is>
          <t>Cruiser lift/ drop time</t>
        </is>
      </c>
      <c r="J11" s="162" t="inlineStr">
        <is>
          <t>Cruiser lifting pallet</t>
        </is>
      </c>
      <c r="K11" s="163">
        <f>IFERROR(VLOOKUP(I11,'Master List'!$A:$D,2,0),0)</f>
        <v/>
      </c>
      <c r="L11" s="163">
        <f>IFERROR(VLOOKUP(I11,'Master List'!$A:$D,3,0),0)</f>
        <v/>
      </c>
      <c r="M11" s="163">
        <f>IFERROR(VLOOKUP(I11,'Master List'!$A:$D,4,0),0)</f>
        <v/>
      </c>
      <c r="N11" s="163" t="n"/>
      <c r="O11" s="163">
        <f>IFERROR(L11/M11,0)</f>
        <v/>
      </c>
      <c r="P11" s="163">
        <f>IFERROR(IF(N11&lt;((1/2*M11*O11^2)*2),1/2*M11*SQRT((N11/2)*2/M11)^2,1/2*M11*O11^2),0)</f>
        <v/>
      </c>
      <c r="Q11" s="163">
        <f>IFERROR(IF(N11-P11-R11&lt;=0,0,N11-P11-R11),0)</f>
        <v/>
      </c>
      <c r="R11" s="163">
        <f>P11</f>
        <v/>
      </c>
      <c r="S11" s="163">
        <f>IFERROR(IF(N11&lt;((1/2*M11*O11^2)*2),SQRT((N11/2)*2/M11),O11),0)</f>
        <v/>
      </c>
      <c r="T11" s="163">
        <f>IFERROR(Q11/L11,0)</f>
        <v/>
      </c>
      <c r="U11" s="163">
        <f>S11</f>
        <v/>
      </c>
      <c r="V11" s="164">
        <f>IF(K11&gt;0,K11,SUM(S11:U11))</f>
        <v/>
      </c>
      <c r="W11" s="163" t="n">
        <v>1</v>
      </c>
      <c r="X11" s="163">
        <f>V11*W11</f>
        <v/>
      </c>
      <c r="Z11" s="160">
        <f>Z10+1</f>
        <v/>
      </c>
      <c r="AA11" s="161" t="inlineStr">
        <is>
          <t>Cruiser lift/ drop time</t>
        </is>
      </c>
      <c r="AB11" s="162" t="inlineStr">
        <is>
          <t>Cruiser lifting pallet</t>
        </is>
      </c>
      <c r="AC11" s="163">
        <f>IFERROR(VLOOKUP(AA11,'Master List'!$A:$D,2,0),0)</f>
        <v/>
      </c>
      <c r="AD11" s="163">
        <f>IFERROR(VLOOKUP(AA11,'Master List'!$A:$D,3,0),0)</f>
        <v/>
      </c>
      <c r="AE11" s="163">
        <f>IFERROR(VLOOKUP(AA11,'Master List'!$A:$D,4,0),0)</f>
        <v/>
      </c>
      <c r="AF11" s="163" t="n"/>
      <c r="AG11" s="163">
        <f>IFERROR(AD11/AE11,0)</f>
        <v/>
      </c>
      <c r="AH11" s="163">
        <f>IFERROR(IF(AF11&lt;((1/2*AE11*AG11^2)*2),1/2*AE11*SQRT((AF11/2)*2/AE11)^2,1/2*AE11*AG11^2),0)</f>
        <v/>
      </c>
      <c r="AI11" s="163">
        <f>IFERROR(IF(AF11-AH11-AJ11&lt;=0,0,AF11-AH11-AJ11),0)</f>
        <v/>
      </c>
      <c r="AJ11" s="163">
        <f>AH11</f>
        <v/>
      </c>
      <c r="AK11" s="163">
        <f>IFERROR(IF(AF11&lt;((1/2*AE11*AG11^2)*2),SQRT((AF11/2)*2/AE11),AG11),0)</f>
        <v/>
      </c>
      <c r="AL11" s="163">
        <f>IFERROR(AI11/AD11,0)</f>
        <v/>
      </c>
      <c r="AM11" s="163">
        <f>AK11</f>
        <v/>
      </c>
      <c r="AN11" s="164">
        <f>IF(AC11&gt;0,AC11,SUM(AK11:AM11))</f>
        <v/>
      </c>
      <c r="AO11" s="163" t="n">
        <v>1</v>
      </c>
      <c r="AP11" s="163">
        <f>AN11*AO11</f>
        <v/>
      </c>
      <c r="AR11" s="160">
        <f>AR10+1</f>
        <v/>
      </c>
      <c r="AS11" s="161" t="inlineStr">
        <is>
          <t>Cruiser lift/ drop time</t>
        </is>
      </c>
      <c r="AT11" s="162" t="inlineStr">
        <is>
          <t>Cruiser lifting pallet</t>
        </is>
      </c>
      <c r="AU11" s="163">
        <f>IFERROR(VLOOKUP(AS11,'Master List'!$A:$D,2,0),0)</f>
        <v/>
      </c>
      <c r="AV11" s="163">
        <f>IFERROR(VLOOKUP(AS11,'Master List'!$A:$D,3,0),0)</f>
        <v/>
      </c>
      <c r="AW11" s="163">
        <f>IFERROR(VLOOKUP(AS11,'Master List'!$A:$D,4,0),0)</f>
        <v/>
      </c>
      <c r="AX11" s="163" t="n"/>
      <c r="AY11" s="163">
        <f>IFERROR(AV11/AW11,0)</f>
        <v/>
      </c>
      <c r="AZ11" s="163">
        <f>IFERROR(IF(AX11&lt;((1/2*AW11*AY11^2)*2),1/2*AW11*SQRT((AX11/2)*2/AW11)^2,1/2*AW11*AY11^2),0)</f>
        <v/>
      </c>
      <c r="BA11" s="163">
        <f>IFERROR(IF(AX11-AZ11-BB11&lt;=0,0,AX11-AZ11-BB11),0)</f>
        <v/>
      </c>
      <c r="BB11" s="163">
        <f>AZ11</f>
        <v/>
      </c>
      <c r="BC11" s="163">
        <f>IFERROR(IF(AX11&lt;((1/2*AW11*AY11^2)*2),SQRT((AX11/2)*2/AW11),AY11),0)</f>
        <v/>
      </c>
      <c r="BD11" s="163">
        <f>IFERROR(BA11/AV11,0)</f>
        <v/>
      </c>
      <c r="BE11" s="163">
        <f>BC11</f>
        <v/>
      </c>
      <c r="BF11" s="164">
        <f>IF(AU11&gt;0,AU11,SUM(BC11:BE11))</f>
        <v/>
      </c>
      <c r="BG11" s="163" t="n">
        <v>1</v>
      </c>
      <c r="BH11" s="163">
        <f>BF11*BG11</f>
        <v/>
      </c>
      <c r="BJ11" s="160">
        <f>BJ10+1</f>
        <v/>
      </c>
      <c r="BK11" s="161" t="inlineStr">
        <is>
          <t>Cruiser lift/ drop time</t>
        </is>
      </c>
      <c r="BL11" s="162" t="inlineStr">
        <is>
          <t>Cruiser lifting pallet</t>
        </is>
      </c>
      <c r="BM11" s="163">
        <f>IFERROR(VLOOKUP(BK11,'Master List'!$A:$D,2,0),0)</f>
        <v/>
      </c>
      <c r="BN11" s="163">
        <f>IFERROR(VLOOKUP(BK11,'Master List'!$A:$D,3,0),0)</f>
        <v/>
      </c>
      <c r="BO11" s="163">
        <f>IFERROR(VLOOKUP(BK11,'Master List'!$A:$D,4,0),0)</f>
        <v/>
      </c>
      <c r="BP11" s="163" t="n"/>
      <c r="BQ11" s="163">
        <f>IFERROR(BN11/BO11,0)</f>
        <v/>
      </c>
      <c r="BR11" s="163">
        <f>IFERROR(IF(BP11&lt;((1/2*BO11*BQ11^2)*2),1/2*BO11*SQRT((BP11/2)*2/BO11)^2,1/2*BO11*BQ11^2),0)</f>
        <v/>
      </c>
      <c r="BS11" s="163">
        <f>IFERROR(IF(BP11-BR11-BT11&lt;=0,0,BP11-BR11-BT11),0)</f>
        <v/>
      </c>
      <c r="BT11" s="163">
        <f>BR11</f>
        <v/>
      </c>
      <c r="BU11" s="163">
        <f>IFERROR(IF(BP11&lt;((1/2*BO11*BQ11^2)*2),SQRT((BP11/2)*2/BO11),BQ11),0)</f>
        <v/>
      </c>
      <c r="BV11" s="163">
        <f>IFERROR(BS11/BN11,0)</f>
        <v/>
      </c>
      <c r="BW11" s="163">
        <f>BU11</f>
        <v/>
      </c>
      <c r="BX11" s="164">
        <f>IF(BM11&gt;0,BM11,SUM(BU11:BW11))</f>
        <v/>
      </c>
      <c r="BY11" s="163" t="n">
        <v>1</v>
      </c>
      <c r="BZ11" s="163">
        <f>BX11*BY11</f>
        <v/>
      </c>
      <c r="CB11" s="160">
        <f>CB10+1</f>
        <v/>
      </c>
      <c r="CC11" s="161" t="inlineStr">
        <is>
          <t>Multipro Running Loaded/Unloaded</t>
        </is>
      </c>
      <c r="CD11" s="162" t="inlineStr">
        <is>
          <t>Multi pro to and fro movement from pick to drop location</t>
        </is>
      </c>
      <c r="CE11" s="163">
        <f>IFERROR(VLOOKUP(CC11,'Master List'!$A:$D,2,0),0)</f>
        <v/>
      </c>
      <c r="CF11" s="163">
        <f>IFERROR(VLOOKUP(CC11,'Master List'!$A:$D,3,0),0)</f>
        <v/>
      </c>
      <c r="CG11" s="163">
        <f>IFERROR(VLOOKUP(CC11,'Master List'!$A:$D,4,0),0)</f>
        <v/>
      </c>
      <c r="CH11" s="163">
        <f>B28</f>
        <v/>
      </c>
      <c r="CI11" s="163">
        <f>IFERROR(CF11/CG11,0)</f>
        <v/>
      </c>
      <c r="CJ11" s="163">
        <f>IFERROR(IF(CH11&lt;((1/2*CG11*CI11^2)*2),1/2*CG11*SQRT((CH11/2)*2/CG11)^2,1/2*CG11*CI11^2),0)</f>
        <v/>
      </c>
      <c r="CK11" s="163">
        <f>IFERROR(IF(CH11-CJ11-CL11&lt;=0,0,CH11-CJ11-CL11),0)</f>
        <v/>
      </c>
      <c r="CL11" s="163">
        <f>CJ11</f>
        <v/>
      </c>
      <c r="CM11" s="163">
        <f>IFERROR(IF(CH11&lt;((1/2*CG11*CI11^2)*2),SQRT((CH11/2)*2/CG11),CI11),0)</f>
        <v/>
      </c>
      <c r="CN11" s="163">
        <f>IFERROR(CK11/CF11,0)</f>
        <v/>
      </c>
      <c r="CO11" s="163">
        <f>CM11</f>
        <v/>
      </c>
      <c r="CP11" s="164">
        <f>IF(CE11&gt;0,CE11,SUM(CM11:CO11))</f>
        <v/>
      </c>
      <c r="CQ11" s="163" t="n">
        <v>2</v>
      </c>
      <c r="CR11" s="163">
        <f>CP11*CQ11</f>
        <v/>
      </c>
    </row>
    <row r="12" ht="24" customHeight="1" s="516">
      <c r="A12" s="468" t="inlineStr">
        <is>
          <t>Total Multi Pro required</t>
        </is>
      </c>
      <c r="B12" s="469">
        <f>ROUNDUP(SUM(B9:C9),0)</f>
        <v/>
      </c>
      <c r="H12" s="160">
        <f>H11+1</f>
        <v/>
      </c>
      <c r="I12" s="161" t="inlineStr">
        <is>
          <t>Cruiser Running loaded</t>
        </is>
      </c>
      <c r="J12" s="162" t="inlineStr">
        <is>
          <t>Cruiser moves to rack depth</t>
        </is>
      </c>
      <c r="K12" s="163">
        <f>IFERROR(VLOOKUP(I12,'Master List'!$A:$D,2,0),0)</f>
        <v/>
      </c>
      <c r="L12" s="163">
        <f>IFERROR(VLOOKUP(I12,'Master List'!$A:$D,3,0),0)</f>
        <v/>
      </c>
      <c r="M12" s="163">
        <f>IFERROR(VLOOKUP(I12,'Master List'!$A:$D,4,0),0)</f>
        <v/>
      </c>
      <c r="N12" s="163">
        <f>B27</f>
        <v/>
      </c>
      <c r="O12" s="163">
        <f>IFERROR(L12/M12,0)</f>
        <v/>
      </c>
      <c r="P12" s="163">
        <f>IFERROR(IF(N12&lt;((1/2*M12*O12^2)*2),1/2*M12*SQRT((N12/2)*2/M12)^2,1/2*M12*O12^2),0)</f>
        <v/>
      </c>
      <c r="Q12" s="163">
        <f>IFERROR(IF(N12-P12-R12&lt;=0,0,N12-P12-R12),0)</f>
        <v/>
      </c>
      <c r="R12" s="163">
        <f>P12</f>
        <v/>
      </c>
      <c r="S12" s="163">
        <f>IFERROR(IF(N12&lt;((1/2*M12*O12^2)*2),SQRT((N12/2)*2/M12),O12),0)</f>
        <v/>
      </c>
      <c r="T12" s="163">
        <f>IFERROR(Q12/L12,0)</f>
        <v/>
      </c>
      <c r="U12" s="163">
        <f>S12</f>
        <v/>
      </c>
      <c r="V12" s="164">
        <f>IF(K12&gt;0,K12,SUM(S12:U12))</f>
        <v/>
      </c>
      <c r="W12" s="163" t="n">
        <v>1</v>
      </c>
      <c r="X12" s="163">
        <f>V12*W12</f>
        <v/>
      </c>
      <c r="Z12" s="160">
        <f>Z11+1</f>
        <v/>
      </c>
      <c r="AA12" s="161" t="inlineStr">
        <is>
          <t>Cruiser Running loaded</t>
        </is>
      </c>
      <c r="AB12" s="162" t="inlineStr">
        <is>
          <t>Cruiser moves to rack depth</t>
        </is>
      </c>
      <c r="AC12" s="163">
        <f>IFERROR(VLOOKUP(AA12,'Master List'!$A:$D,2,0),0)</f>
        <v/>
      </c>
      <c r="AD12" s="163">
        <f>IFERROR(VLOOKUP(AA12,'Master List'!$A:$D,3,0),0)</f>
        <v/>
      </c>
      <c r="AE12" s="163">
        <f>IFERROR(VLOOKUP(AA12,'Master List'!$A:$D,4,0),0)</f>
        <v/>
      </c>
      <c r="AF12" s="163">
        <f>B27</f>
        <v/>
      </c>
      <c r="AG12" s="163">
        <f>IFERROR(AD12/AE12,0)</f>
        <v/>
      </c>
      <c r="AH12" s="163">
        <f>IFERROR(IF(AF12&lt;((1/2*AE12*AG12^2)*2),1/2*AE12*SQRT((AF12/2)*2/AE12)^2,1/2*AE12*AG12^2),0)</f>
        <v/>
      </c>
      <c r="AI12" s="163">
        <f>IFERROR(IF(AF12-AH12-AJ12&lt;=0,0,AF12-AH12-AJ12),0)</f>
        <v/>
      </c>
      <c r="AJ12" s="163">
        <f>AH12</f>
        <v/>
      </c>
      <c r="AK12" s="163">
        <f>IFERROR(IF(AF12&lt;((1/2*AE12*AG12^2)*2),SQRT((AF12/2)*2/AE12),AG12),0)</f>
        <v/>
      </c>
      <c r="AL12" s="163">
        <f>IFERROR(AI12/AD12,0)</f>
        <v/>
      </c>
      <c r="AM12" s="163">
        <f>AK12</f>
        <v/>
      </c>
      <c r="AN12" s="164">
        <f>IF(AC12&gt;0,AC12,SUM(AK12:AM12))</f>
        <v/>
      </c>
      <c r="AO12" s="163" t="n">
        <v>1</v>
      </c>
      <c r="AP12" s="163">
        <f>AN12*AO12</f>
        <v/>
      </c>
      <c r="AR12" s="160">
        <f>AR11+1</f>
        <v/>
      </c>
      <c r="AS12" s="161" t="inlineStr">
        <is>
          <t>Cruiser Running loaded</t>
        </is>
      </c>
      <c r="AT12" s="162" t="inlineStr">
        <is>
          <t>Cruiser moves to rack depth</t>
        </is>
      </c>
      <c r="AU12" s="163">
        <f>IFERROR(VLOOKUP(AS12,'Master List'!$A:$D,2,0),0)</f>
        <v/>
      </c>
      <c r="AV12" s="163">
        <f>IFERROR(VLOOKUP(AS12,'Master List'!$A:$D,3,0),0)</f>
        <v/>
      </c>
      <c r="AW12" s="163">
        <f>IFERROR(VLOOKUP(AS12,'Master List'!$A:$D,4,0),0)</f>
        <v/>
      </c>
      <c r="AX12" s="163">
        <f>B27</f>
        <v/>
      </c>
      <c r="AY12" s="163">
        <f>IFERROR(AV12/AW12,0)</f>
        <v/>
      </c>
      <c r="AZ12" s="163">
        <f>IFERROR(IF(AX12&lt;((1/2*AW12*AY12^2)*2),1/2*AW12*SQRT((AX12/2)*2/AW12)^2,1/2*AW12*AY12^2),0)</f>
        <v/>
      </c>
      <c r="BA12" s="163">
        <f>IFERROR(IF(AX12-AZ12-BB12&lt;=0,0,AX12-AZ12-BB12),0)</f>
        <v/>
      </c>
      <c r="BB12" s="163">
        <f>AZ12</f>
        <v/>
      </c>
      <c r="BC12" s="163">
        <f>IFERROR(IF(AX12&lt;((1/2*AW12*AY12^2)*2),SQRT((AX12/2)*2/AW12),AY12),0)</f>
        <v/>
      </c>
      <c r="BD12" s="163">
        <f>IFERROR(BA12/AV12,0)</f>
        <v/>
      </c>
      <c r="BE12" s="163">
        <f>BC12</f>
        <v/>
      </c>
      <c r="BF12" s="164">
        <f>IF(AU12&gt;0,AU12,SUM(BC12:BE12))</f>
        <v/>
      </c>
      <c r="BG12" s="163" t="n">
        <v>1</v>
      </c>
      <c r="BH12" s="163">
        <f>BF12*BG12</f>
        <v/>
      </c>
      <c r="BJ12" s="160">
        <f>BJ11+1</f>
        <v/>
      </c>
      <c r="BK12" s="161" t="inlineStr">
        <is>
          <t>Cruiser Running loaded</t>
        </is>
      </c>
      <c r="BL12" s="162" t="inlineStr">
        <is>
          <t>Cruiser moves to rack depth</t>
        </is>
      </c>
      <c r="BM12" s="163">
        <f>IFERROR(VLOOKUP(BK12,'Master List'!$A:$D,2,0),0)</f>
        <v/>
      </c>
      <c r="BN12" s="163">
        <f>IFERROR(VLOOKUP(BK12,'Master List'!$A:$D,3,0),0)</f>
        <v/>
      </c>
      <c r="BO12" s="163">
        <f>IFERROR(VLOOKUP(BK12,'Master List'!$A:$D,4,0),0)</f>
        <v/>
      </c>
      <c r="BP12" s="163">
        <f>B27</f>
        <v/>
      </c>
      <c r="BQ12" s="163">
        <f>IFERROR(BN12/BO12,0)</f>
        <v/>
      </c>
      <c r="BR12" s="163">
        <f>IFERROR(IF(BP12&lt;((1/2*BO12*BQ12^2)*2),1/2*BO12*SQRT((BP12/2)*2/BO12)^2,1/2*BO12*BQ12^2),0)</f>
        <v/>
      </c>
      <c r="BS12" s="163">
        <f>IFERROR(IF(BP12-BR12-BT12&lt;=0,0,BP12-BR12-BT12),0)</f>
        <v/>
      </c>
      <c r="BT12" s="163">
        <f>BR12</f>
        <v/>
      </c>
      <c r="BU12" s="163">
        <f>IFERROR(IF(BP12&lt;((1/2*BO12*BQ12^2)*2),SQRT((BP12/2)*2/BO12),BQ12),0)</f>
        <v/>
      </c>
      <c r="BV12" s="163">
        <f>IFERROR(BS12/BN12,0)</f>
        <v/>
      </c>
      <c r="BW12" s="163">
        <f>BU12</f>
        <v/>
      </c>
      <c r="BX12" s="164">
        <f>IF(BM12&gt;0,BM12,SUM(BU12:BW12))</f>
        <v/>
      </c>
      <c r="BY12" s="163" t="n">
        <v>1</v>
      </c>
      <c r="BZ12" s="163">
        <f>BX12*BY12</f>
        <v/>
      </c>
      <c r="CB12" s="160">
        <f>CB11+1</f>
        <v/>
      </c>
      <c r="CC12" s="161" t="n"/>
      <c r="CD12" s="162" t="n"/>
      <c r="CE12" s="163">
        <f>IFERROR(VLOOKUP(CC12,'Master List'!$A:$D,2,0),0)</f>
        <v/>
      </c>
      <c r="CF12" s="163">
        <f>IFERROR(VLOOKUP(CC12,'Master List'!$A:$D,3,0),0)</f>
        <v/>
      </c>
      <c r="CG12" s="163">
        <f>IFERROR(VLOOKUP(CC12,'Master List'!$A:$D,4,0),0)</f>
        <v/>
      </c>
      <c r="CH12" s="163" t="n"/>
      <c r="CI12" s="163">
        <f>IFERROR(CF12/CG12,0)</f>
        <v/>
      </c>
      <c r="CJ12" s="163">
        <f>IFERROR(IF(CH12&lt;((1/2*CG12*CI12^2)*2),1/2*CG12*SQRT((CH12/2)*2/CG12)^2,1/2*CG12*CI12^2),0)</f>
        <v/>
      </c>
      <c r="CK12" s="163">
        <f>IFERROR(IF(CH12-CJ12-CL12&lt;=0,0,CH12-CJ12-CL12),0)</f>
        <v/>
      </c>
      <c r="CL12" s="163">
        <f>CJ12</f>
        <v/>
      </c>
      <c r="CM12" s="163">
        <f>IFERROR(IF(CH12&lt;((1/2*CG12*CI12^2)*2),SQRT((CH12/2)*2/CG12),CI12),0)</f>
        <v/>
      </c>
      <c r="CN12" s="163">
        <f>IFERROR(CK12/CF12,0)</f>
        <v/>
      </c>
      <c r="CO12" s="163">
        <f>CM12</f>
        <v/>
      </c>
      <c r="CP12" s="164">
        <f>IF(CE12&gt;0,CE12,SUM(CM12:CO12))</f>
        <v/>
      </c>
      <c r="CQ12" s="163" t="n"/>
      <c r="CR12" s="163">
        <f>CP12*CQ12</f>
        <v/>
      </c>
    </row>
    <row r="13" ht="24" customHeight="1" s="516">
      <c r="A13" s="468" t="inlineStr">
        <is>
          <t>Effective pallets per Hr</t>
        </is>
      </c>
      <c r="B13" s="469">
        <f>B10/B12</f>
        <v/>
      </c>
      <c r="H13" s="160">
        <f>H12+1</f>
        <v/>
      </c>
      <c r="I13" s="161" t="inlineStr">
        <is>
          <t>Cruiser lift/ drop time</t>
        </is>
      </c>
      <c r="J13" s="162" t="inlineStr">
        <is>
          <t>Cruiser drops pallet</t>
        </is>
      </c>
      <c r="K13" s="163">
        <f>IFERROR(VLOOKUP(I13,'Master List'!$A:$D,2,0),0)</f>
        <v/>
      </c>
      <c r="L13" s="163">
        <f>IFERROR(VLOOKUP(I13,'Master List'!$A:$D,3,0),0)</f>
        <v/>
      </c>
      <c r="M13" s="163">
        <f>IFERROR(VLOOKUP(I13,'Master List'!$A:$D,4,0),0)</f>
        <v/>
      </c>
      <c r="N13" s="163" t="n"/>
      <c r="O13" s="163">
        <f>IFERROR(L13/M13,0)</f>
        <v/>
      </c>
      <c r="P13" s="163">
        <f>IFERROR(IF(N13&lt;((1/2*M13*O13^2)*2),1/2*M13*SQRT((N13/2)*2/M13)^2,1/2*M13*O13^2),0)</f>
        <v/>
      </c>
      <c r="Q13" s="163">
        <f>IFERROR(IF(N13-P13-R13&lt;=0,0,N13-P13-R13),0)</f>
        <v/>
      </c>
      <c r="R13" s="163">
        <f>P13</f>
        <v/>
      </c>
      <c r="S13" s="163">
        <f>IFERROR(IF(N13&lt;((1/2*M13*O13^2)*2),SQRT((N13/2)*2/M13),O13),0)</f>
        <v/>
      </c>
      <c r="T13" s="163">
        <f>IFERROR(Q13/L13,0)</f>
        <v/>
      </c>
      <c r="U13" s="163">
        <f>S13</f>
        <v/>
      </c>
      <c r="V13" s="164">
        <f>IF(K13&gt;0,K13,SUM(S13:U13))</f>
        <v/>
      </c>
      <c r="W13" s="163" t="n">
        <v>1</v>
      </c>
      <c r="X13" s="163">
        <f>V13*W13</f>
        <v/>
      </c>
      <c r="Z13" s="160">
        <f>Z12+1</f>
        <v/>
      </c>
      <c r="AA13" s="161" t="inlineStr">
        <is>
          <t>Cruiser lift/ drop time</t>
        </is>
      </c>
      <c r="AB13" s="162" t="inlineStr">
        <is>
          <t>Cruiser drops pallet</t>
        </is>
      </c>
      <c r="AC13" s="163">
        <f>IFERROR(VLOOKUP(AA13,'Master List'!$A:$D,2,0),0)</f>
        <v/>
      </c>
      <c r="AD13" s="163">
        <f>IFERROR(VLOOKUP(AA13,'Master List'!$A:$D,3,0),0)</f>
        <v/>
      </c>
      <c r="AE13" s="163">
        <f>IFERROR(VLOOKUP(AA13,'Master List'!$A:$D,4,0),0)</f>
        <v/>
      </c>
      <c r="AF13" s="163" t="n"/>
      <c r="AG13" s="163">
        <f>IFERROR(AD13/AE13,0)</f>
        <v/>
      </c>
      <c r="AH13" s="163">
        <f>IFERROR(IF(AF13&lt;((1/2*AE13*AG13^2)*2),1/2*AE13*SQRT((AF13/2)*2/AE13)^2,1/2*AE13*AG13^2),0)</f>
        <v/>
      </c>
      <c r="AI13" s="163">
        <f>IFERROR(IF(AF13-AH13-AJ13&lt;=0,0,AF13-AH13-AJ13),0)</f>
        <v/>
      </c>
      <c r="AJ13" s="163">
        <f>AH13</f>
        <v/>
      </c>
      <c r="AK13" s="163">
        <f>IFERROR(IF(AF13&lt;((1/2*AE13*AG13^2)*2),SQRT((AF13/2)*2/AE13),AG13),0)</f>
        <v/>
      </c>
      <c r="AL13" s="163">
        <f>IFERROR(AI13/AD13,0)</f>
        <v/>
      </c>
      <c r="AM13" s="163">
        <f>AK13</f>
        <v/>
      </c>
      <c r="AN13" s="164">
        <f>IF(AC13&gt;0,AC13,SUM(AK13:AM13))</f>
        <v/>
      </c>
      <c r="AO13" s="163" t="n">
        <v>1</v>
      </c>
      <c r="AP13" s="163">
        <f>AN13*AO13</f>
        <v/>
      </c>
      <c r="AR13" s="160">
        <f>AR12+1</f>
        <v/>
      </c>
      <c r="AS13" s="161" t="inlineStr">
        <is>
          <t>Cruiser lift/ drop time</t>
        </is>
      </c>
      <c r="AT13" s="162" t="inlineStr">
        <is>
          <t>Cruiser drops pallet</t>
        </is>
      </c>
      <c r="AU13" s="163">
        <f>IFERROR(VLOOKUP(AS13,'Master List'!$A:$D,2,0),0)</f>
        <v/>
      </c>
      <c r="AV13" s="163">
        <f>IFERROR(VLOOKUP(AS13,'Master List'!$A:$D,3,0),0)</f>
        <v/>
      </c>
      <c r="AW13" s="163">
        <f>IFERROR(VLOOKUP(AS13,'Master List'!$A:$D,4,0),0)</f>
        <v/>
      </c>
      <c r="AX13" s="163" t="n"/>
      <c r="AY13" s="163">
        <f>IFERROR(AV13/AW13,0)</f>
        <v/>
      </c>
      <c r="AZ13" s="163">
        <f>IFERROR(IF(AX13&lt;((1/2*AW13*AY13^2)*2),1/2*AW13*SQRT((AX13/2)*2/AW13)^2,1/2*AW13*AY13^2),0)</f>
        <v/>
      </c>
      <c r="BA13" s="163">
        <f>IFERROR(IF(AX13-AZ13-BB13&lt;=0,0,AX13-AZ13-BB13),0)</f>
        <v/>
      </c>
      <c r="BB13" s="163">
        <f>AZ13</f>
        <v/>
      </c>
      <c r="BC13" s="163">
        <f>IFERROR(IF(AX13&lt;((1/2*AW13*AY13^2)*2),SQRT((AX13/2)*2/AW13),AY13),0)</f>
        <v/>
      </c>
      <c r="BD13" s="163">
        <f>IFERROR(BA13/AV13,0)</f>
        <v/>
      </c>
      <c r="BE13" s="163">
        <f>BC13</f>
        <v/>
      </c>
      <c r="BF13" s="164">
        <f>IF(AU13&gt;0,AU13,SUM(BC13:BE13))</f>
        <v/>
      </c>
      <c r="BG13" s="163" t="n">
        <v>1</v>
      </c>
      <c r="BH13" s="163">
        <f>BF13*BG13</f>
        <v/>
      </c>
      <c r="BJ13" s="160">
        <f>BJ12+1</f>
        <v/>
      </c>
      <c r="BK13" s="161" t="inlineStr">
        <is>
          <t>Cruiser lift/ drop time</t>
        </is>
      </c>
      <c r="BL13" s="162" t="inlineStr">
        <is>
          <t>Cruiser drops pallet</t>
        </is>
      </c>
      <c r="BM13" s="163">
        <f>IFERROR(VLOOKUP(BK13,'Master List'!$A:$D,2,0),0)</f>
        <v/>
      </c>
      <c r="BN13" s="163">
        <f>IFERROR(VLOOKUP(BK13,'Master List'!$A:$D,3,0),0)</f>
        <v/>
      </c>
      <c r="BO13" s="163">
        <f>IFERROR(VLOOKUP(BK13,'Master List'!$A:$D,4,0),0)</f>
        <v/>
      </c>
      <c r="BP13" s="163" t="n"/>
      <c r="BQ13" s="163">
        <f>IFERROR(BN13/BO13,0)</f>
        <v/>
      </c>
      <c r="BR13" s="163">
        <f>IFERROR(IF(BP13&lt;((1/2*BO13*BQ13^2)*2),1/2*BO13*SQRT((BP13/2)*2/BO13)^2,1/2*BO13*BQ13^2),0)</f>
        <v/>
      </c>
      <c r="BS13" s="163">
        <f>IFERROR(IF(BP13-BR13-BT13&lt;=0,0,BP13-BR13-BT13),0)</f>
        <v/>
      </c>
      <c r="BT13" s="163">
        <f>BR13</f>
        <v/>
      </c>
      <c r="BU13" s="163">
        <f>IFERROR(IF(BP13&lt;((1/2*BO13*BQ13^2)*2),SQRT((BP13/2)*2/BO13),BQ13),0)</f>
        <v/>
      </c>
      <c r="BV13" s="163">
        <f>IFERROR(BS13/BN13,0)</f>
        <v/>
      </c>
      <c r="BW13" s="163">
        <f>BU13</f>
        <v/>
      </c>
      <c r="BX13" s="164">
        <f>IF(BM13&gt;0,BM13,SUM(BU13:BW13))</f>
        <v/>
      </c>
      <c r="BY13" s="163" t="n">
        <v>1</v>
      </c>
      <c r="BZ13" s="163">
        <f>BX13*BY13</f>
        <v/>
      </c>
      <c r="CB13" s="160">
        <f>CB12+1</f>
        <v/>
      </c>
      <c r="CC13" s="161" t="n"/>
      <c r="CD13" s="162" t="n"/>
      <c r="CE13" s="163">
        <f>IFERROR(VLOOKUP(CC13,'Master List'!$A:$D,2,0),0)</f>
        <v/>
      </c>
      <c r="CF13" s="163">
        <f>IFERROR(VLOOKUP(CC13,'Master List'!$A:$D,3,0),0)</f>
        <v/>
      </c>
      <c r="CG13" s="163">
        <f>IFERROR(VLOOKUP(CC13,'Master List'!$A:$D,4,0),0)</f>
        <v/>
      </c>
      <c r="CH13" s="163" t="n"/>
      <c r="CI13" s="163">
        <f>IFERROR(CF13/CG13,0)</f>
        <v/>
      </c>
      <c r="CJ13" s="163">
        <f>IFERROR(IF(CH13&lt;((1/2*CG13*CI13^2)*2),1/2*CG13*SQRT((CH13/2)*2/CG13)^2,1/2*CG13*CI13^2),0)</f>
        <v/>
      </c>
      <c r="CK13" s="163">
        <f>IFERROR(IF(CH13-CJ13-CL13&lt;=0,0,CH13-CJ13-CL13),0)</f>
        <v/>
      </c>
      <c r="CL13" s="163">
        <f>CJ13</f>
        <v/>
      </c>
      <c r="CM13" s="163">
        <f>IFERROR(IF(CH13&lt;((1/2*CG13*CI13^2)*2),SQRT((CH13/2)*2/CG13),CI13),0)</f>
        <v/>
      </c>
      <c r="CN13" s="163">
        <f>IFERROR(CK13/CF13,0)</f>
        <v/>
      </c>
      <c r="CO13" s="163">
        <f>CM13</f>
        <v/>
      </c>
      <c r="CP13" s="164">
        <f>IF(CE13&gt;0,CE13,SUM(CM13:CO13))</f>
        <v/>
      </c>
      <c r="CQ13" s="163" t="n"/>
      <c r="CR13" s="163">
        <f>CP13*CQ13</f>
        <v/>
      </c>
    </row>
    <row r="14">
      <c r="H14" s="160">
        <f>H13+1</f>
        <v/>
      </c>
      <c r="I14" s="161" t="inlineStr">
        <is>
          <t>Cruiser Running Unloaded</t>
        </is>
      </c>
      <c r="J14" s="162" t="inlineStr">
        <is>
          <t>Cruiser comes back to multi pro</t>
        </is>
      </c>
      <c r="K14" s="163">
        <f>IFERROR(VLOOKUP(I14,'Master List'!$A:$D,2,0),0)</f>
        <v/>
      </c>
      <c r="L14" s="163">
        <f>IFERROR(VLOOKUP(I14,'Master List'!$A:$D,3,0),0)</f>
        <v/>
      </c>
      <c r="M14" s="163">
        <f>IFERROR(VLOOKUP(I14,'Master List'!$A:$D,4,0),0)</f>
        <v/>
      </c>
      <c r="N14" s="163">
        <f>B27</f>
        <v/>
      </c>
      <c r="O14" s="163">
        <f>IFERROR(L14/M14,0)</f>
        <v/>
      </c>
      <c r="P14" s="163">
        <f>IFERROR(IF(N14&lt;((1/2*M14*O14^2)*2),1/2*M14*SQRT((N14/2)*2/M14)^2,1/2*M14*O14^2),0)</f>
        <v/>
      </c>
      <c r="Q14" s="163">
        <f>IFERROR(IF(N14-P14-R14&lt;=0,0,N14-P14-R14),0)</f>
        <v/>
      </c>
      <c r="R14" s="163">
        <f>P14</f>
        <v/>
      </c>
      <c r="S14" s="163">
        <f>IFERROR(IF(N14&lt;((1/2*M14*O14^2)*2),SQRT((N14/2)*2/M14),O14),0)</f>
        <v/>
      </c>
      <c r="T14" s="163">
        <f>IFERROR(Q14/L14,0)</f>
        <v/>
      </c>
      <c r="U14" s="163">
        <f>S14</f>
        <v/>
      </c>
      <c r="V14" s="164">
        <f>IF(K14&gt;0,K14,SUM(S14:U14))</f>
        <v/>
      </c>
      <c r="W14" s="163" t="n">
        <v>1</v>
      </c>
      <c r="X14" s="163">
        <f>V14*W14</f>
        <v/>
      </c>
      <c r="Z14" s="160">
        <f>Z13+1</f>
        <v/>
      </c>
      <c r="AA14" s="161" t="inlineStr">
        <is>
          <t>Cruiser Running Unloaded</t>
        </is>
      </c>
      <c r="AB14" s="162" t="inlineStr">
        <is>
          <t>Cruiser comes back to multi pro</t>
        </is>
      </c>
      <c r="AC14" s="163">
        <f>IFERROR(VLOOKUP(AA14,'Master List'!$A:$D,2,0),0)</f>
        <v/>
      </c>
      <c r="AD14" s="163">
        <f>IFERROR(VLOOKUP(AA14,'Master List'!$A:$D,3,0),0)</f>
        <v/>
      </c>
      <c r="AE14" s="163">
        <f>IFERROR(VLOOKUP(AA14,'Master List'!$A:$D,4,0),0)</f>
        <v/>
      </c>
      <c r="AF14" s="163">
        <f>AF12</f>
        <v/>
      </c>
      <c r="AG14" s="163">
        <f>IFERROR(AD14/AE14,0)</f>
        <v/>
      </c>
      <c r="AH14" s="163">
        <f>IFERROR(IF(AF14&lt;((1/2*AE14*AG14^2)*2),1/2*AE14*SQRT((AF14/2)*2/AE14)^2,1/2*AE14*AG14^2),0)</f>
        <v/>
      </c>
      <c r="AI14" s="163">
        <f>IFERROR(IF(AF14-AH14-AJ14&lt;=0,0,AF14-AH14-AJ14),0)</f>
        <v/>
      </c>
      <c r="AJ14" s="163">
        <f>AH14</f>
        <v/>
      </c>
      <c r="AK14" s="163">
        <f>IFERROR(IF(AF14&lt;((1/2*AE14*AG14^2)*2),SQRT((AF14/2)*2/AE14),AG14),0)</f>
        <v/>
      </c>
      <c r="AL14" s="163">
        <f>IFERROR(AI14/AD14,0)</f>
        <v/>
      </c>
      <c r="AM14" s="163">
        <f>AK14</f>
        <v/>
      </c>
      <c r="AN14" s="164">
        <f>IF(AC14&gt;0,AC14,SUM(AK14:AM14))</f>
        <v/>
      </c>
      <c r="AO14" s="163" t="n">
        <v>1</v>
      </c>
      <c r="AP14" s="163">
        <f>AN14*AO14</f>
        <v/>
      </c>
      <c r="AR14" s="160">
        <f>AR13+1</f>
        <v/>
      </c>
      <c r="AS14" s="161" t="inlineStr">
        <is>
          <t>Cruiser Running Unloaded</t>
        </is>
      </c>
      <c r="AT14" s="162" t="inlineStr">
        <is>
          <t>Cruiser comes back to multi pro</t>
        </is>
      </c>
      <c r="AU14" s="163">
        <f>IFERROR(VLOOKUP(AS14,'Master List'!$A:$D,2,0),0)</f>
        <v/>
      </c>
      <c r="AV14" s="163">
        <f>IFERROR(VLOOKUP(AS14,'Master List'!$A:$D,3,0),0)</f>
        <v/>
      </c>
      <c r="AW14" s="163">
        <f>IFERROR(VLOOKUP(AS14,'Master List'!$A:$D,4,0),0)</f>
        <v/>
      </c>
      <c r="AX14" s="163">
        <f>AX12</f>
        <v/>
      </c>
      <c r="AY14" s="163">
        <f>IFERROR(AV14/AW14,0)</f>
        <v/>
      </c>
      <c r="AZ14" s="163">
        <f>IFERROR(IF(AX14&lt;((1/2*AW14*AY14^2)*2),1/2*AW14*SQRT((AX14/2)*2/AW14)^2,1/2*AW14*AY14^2),0)</f>
        <v/>
      </c>
      <c r="BA14" s="163">
        <f>IFERROR(IF(AX14-AZ14-BB14&lt;=0,0,AX14-AZ14-BB14),0)</f>
        <v/>
      </c>
      <c r="BB14" s="163">
        <f>AZ14</f>
        <v/>
      </c>
      <c r="BC14" s="163">
        <f>IFERROR(IF(AX14&lt;((1/2*AW14*AY14^2)*2),SQRT((AX14/2)*2/AW14),AY14),0)</f>
        <v/>
      </c>
      <c r="BD14" s="163">
        <f>IFERROR(BA14/AV14,0)</f>
        <v/>
      </c>
      <c r="BE14" s="163">
        <f>BC14</f>
        <v/>
      </c>
      <c r="BF14" s="164">
        <f>IF(AU14&gt;0,AU14,SUM(BC14:BE14))</f>
        <v/>
      </c>
      <c r="BG14" s="163" t="n">
        <v>1</v>
      </c>
      <c r="BH14" s="163">
        <f>BF14*BG14</f>
        <v/>
      </c>
      <c r="BJ14" s="160">
        <f>BJ13+1</f>
        <v/>
      </c>
      <c r="BK14" s="161" t="inlineStr">
        <is>
          <t>Cruiser Running Unloaded</t>
        </is>
      </c>
      <c r="BL14" s="162" t="inlineStr">
        <is>
          <t>Cruiser comes back to multi pro</t>
        </is>
      </c>
      <c r="BM14" s="163">
        <f>IFERROR(VLOOKUP(BK14,'Master List'!$A:$D,2,0),0)</f>
        <v/>
      </c>
      <c r="BN14" s="163">
        <f>IFERROR(VLOOKUP(BK14,'Master List'!$A:$D,3,0),0)</f>
        <v/>
      </c>
      <c r="BO14" s="163">
        <f>IFERROR(VLOOKUP(BK14,'Master List'!$A:$D,4,0),0)</f>
        <v/>
      </c>
      <c r="BP14" s="163">
        <f>BP12</f>
        <v/>
      </c>
      <c r="BQ14" s="163">
        <f>IFERROR(BN14/BO14,0)</f>
        <v/>
      </c>
      <c r="BR14" s="163">
        <f>IFERROR(IF(BP14&lt;((1/2*BO14*BQ14^2)*2),1/2*BO14*SQRT((BP14/2)*2/BO14)^2,1/2*BO14*BQ14^2),0)</f>
        <v/>
      </c>
      <c r="BS14" s="163">
        <f>IFERROR(IF(BP14-BR14-BT14&lt;=0,0,BP14-BR14-BT14),0)</f>
        <v/>
      </c>
      <c r="BT14" s="163">
        <f>BR14</f>
        <v/>
      </c>
      <c r="BU14" s="163">
        <f>IFERROR(IF(BP14&lt;((1/2*BO14*BQ14^2)*2),SQRT((BP14/2)*2/BO14),BQ14),0)</f>
        <v/>
      </c>
      <c r="BV14" s="163">
        <f>IFERROR(BS14/BN14,0)</f>
        <v/>
      </c>
      <c r="BW14" s="163">
        <f>BU14</f>
        <v/>
      </c>
      <c r="BX14" s="164">
        <f>IF(BM14&gt;0,BM14,SUM(BU14:BW14))</f>
        <v/>
      </c>
      <c r="BY14" s="163" t="n">
        <v>1</v>
      </c>
      <c r="BZ14" s="163">
        <f>BX14*BY14</f>
        <v/>
      </c>
      <c r="CB14" s="160">
        <f>CB13+1</f>
        <v/>
      </c>
      <c r="CC14" s="161" t="n"/>
      <c r="CD14" s="162" t="n"/>
      <c r="CE14" s="163">
        <f>IFERROR(VLOOKUP(CC14,'Master List'!$A:$D,2,0),0)</f>
        <v/>
      </c>
      <c r="CF14" s="163">
        <f>IFERROR(VLOOKUP(CC14,'Master List'!$A:$D,3,0),0)</f>
        <v/>
      </c>
      <c r="CG14" s="163">
        <f>IFERROR(VLOOKUP(CC14,'Master List'!$A:$D,4,0),0)</f>
        <v/>
      </c>
      <c r="CH14" s="163" t="n"/>
      <c r="CI14" s="163">
        <f>IFERROR(CF14/CG14,0)</f>
        <v/>
      </c>
      <c r="CJ14" s="163">
        <f>IFERROR(IF(CH14&lt;((1/2*CG14*CI14^2)*2),1/2*CG14*SQRT((CH14/2)*2/CG14)^2,1/2*CG14*CI14^2),0)</f>
        <v/>
      </c>
      <c r="CK14" s="163">
        <f>IFERROR(IF(CH14-CJ14-CL14&lt;=0,0,CH14-CJ14-CL14),0)</f>
        <v/>
      </c>
      <c r="CL14" s="163">
        <f>CJ14</f>
        <v/>
      </c>
      <c r="CM14" s="163">
        <f>IFERROR(IF(CH14&lt;((1/2*CG14*CI14^2)*2),SQRT((CH14/2)*2/CG14),CI14),0)</f>
        <v/>
      </c>
      <c r="CN14" s="163">
        <f>IFERROR(CK14/CF14,0)</f>
        <v/>
      </c>
      <c r="CO14" s="163">
        <f>CM14</f>
        <v/>
      </c>
      <c r="CP14" s="164">
        <f>IF(CE14&gt;0,CE14,SUM(CM14:CO14))</f>
        <v/>
      </c>
      <c r="CQ14" s="163" t="n"/>
      <c r="CR14" s="163">
        <f>CP14*CQ14</f>
        <v/>
      </c>
    </row>
    <row r="15">
      <c r="H15" s="160">
        <f>H14+1</f>
        <v/>
      </c>
      <c r="I15" s="161" t="inlineStr">
        <is>
          <t>Multipro Running Loaded/Unloaded</t>
        </is>
      </c>
      <c r="J15" s="162" t="inlineStr">
        <is>
          <t>Multi Pro moving next location to pick a pallet</t>
        </is>
      </c>
      <c r="K15" s="163">
        <f>IFERROR(VLOOKUP(I15,'Master List'!$A:$D,2,0),0)</f>
        <v/>
      </c>
      <c r="L15" s="163">
        <f>IFERROR(VLOOKUP(I15,'Master List'!$A:$D,3,0),0)</f>
        <v/>
      </c>
      <c r="M15" s="163">
        <f>IFERROR(VLOOKUP(I15,'Master List'!$A:$D,4,0),0)</f>
        <v/>
      </c>
      <c r="N15" s="163">
        <f>B26</f>
        <v/>
      </c>
      <c r="O15" s="163">
        <f>IFERROR(L15/M15,0)</f>
        <v/>
      </c>
      <c r="P15" s="163">
        <f>IFERROR(IF(N15&lt;((1/2*M15*O15^2)*2),1/2*M15*SQRT((N15/2)*2/M15)^2,1/2*M15*O15^2),0)</f>
        <v/>
      </c>
      <c r="Q15" s="163">
        <f>IFERROR(IF(N15-P15-R15&lt;=0,0,N15-P15-R15),0)</f>
        <v/>
      </c>
      <c r="R15" s="163">
        <f>P15</f>
        <v/>
      </c>
      <c r="S15" s="163">
        <f>IFERROR(IF(N15&lt;((1/2*M15*O15^2)*2),SQRT((N15/2)*2/M15),O15),0)</f>
        <v/>
      </c>
      <c r="T15" s="163">
        <f>IFERROR(Q15/L15,0)</f>
        <v/>
      </c>
      <c r="U15" s="163">
        <f>S15</f>
        <v/>
      </c>
      <c r="V15" s="164">
        <f>IF(K15&gt;0,K15,SUM(S15:U15))</f>
        <v/>
      </c>
      <c r="W15" s="163" t="n">
        <v>1</v>
      </c>
      <c r="X15" s="163">
        <f>V15*W15</f>
        <v/>
      </c>
      <c r="Z15" s="160">
        <f>Z14+1</f>
        <v/>
      </c>
      <c r="AA15" s="161" t="inlineStr">
        <is>
          <t>Multipro Running Loaded/Unloaded</t>
        </is>
      </c>
      <c r="AB15" s="162" t="inlineStr">
        <is>
          <t>Multi Pro moving next location to pick a pallet</t>
        </is>
      </c>
      <c r="AC15" s="163">
        <f>IFERROR(VLOOKUP(AA15,'Master List'!$A:$D,2,0),0)</f>
        <v/>
      </c>
      <c r="AD15" s="163">
        <f>IFERROR(VLOOKUP(AA15,'Master List'!$A:$D,3,0),0)</f>
        <v/>
      </c>
      <c r="AE15" s="163">
        <f>IFERROR(VLOOKUP(AA15,'Master List'!$A:$D,4,0),0)</f>
        <v/>
      </c>
      <c r="AF15" s="163">
        <f>B26</f>
        <v/>
      </c>
      <c r="AG15" s="163">
        <f>IFERROR(AD15/AE15,0)</f>
        <v/>
      </c>
      <c r="AH15" s="163">
        <f>IFERROR(IF(AF15&lt;((1/2*AE15*AG15^2)*2),1/2*AE15*SQRT((AF15/2)*2/AE15)^2,1/2*AE15*AG15^2),0)</f>
        <v/>
      </c>
      <c r="AI15" s="163">
        <f>IFERROR(IF(AF15-AH15-AJ15&lt;=0,0,AF15-AH15-AJ15),0)</f>
        <v/>
      </c>
      <c r="AJ15" s="163">
        <f>AH15</f>
        <v/>
      </c>
      <c r="AK15" s="163">
        <f>IFERROR(IF(AF15&lt;((1/2*AE15*AG15^2)*2),SQRT((AF15/2)*2/AE15),AG15),0)</f>
        <v/>
      </c>
      <c r="AL15" s="163">
        <f>IFERROR(AI15/AD15,0)</f>
        <v/>
      </c>
      <c r="AM15" s="163">
        <f>AK15</f>
        <v/>
      </c>
      <c r="AN15" s="164">
        <f>IF(AC15&gt;0,AC15,SUM(AK15:AM15))</f>
        <v/>
      </c>
      <c r="AO15" s="163" t="n">
        <v>1</v>
      </c>
      <c r="AP15" s="163">
        <f>AN15*AO15</f>
        <v/>
      </c>
      <c r="AR15" s="160">
        <f>AR14+1</f>
        <v/>
      </c>
      <c r="AS15" s="161" t="inlineStr">
        <is>
          <t>Multipro Running Loaded/Unloaded</t>
        </is>
      </c>
      <c r="AT15" s="162" t="inlineStr">
        <is>
          <t>Multi Pro moving next location to pick a pallet</t>
        </is>
      </c>
      <c r="AU15" s="163">
        <f>IFERROR(VLOOKUP(AS15,'Master List'!$A:$D,2,0),0)</f>
        <v/>
      </c>
      <c r="AV15" s="163">
        <f>IFERROR(VLOOKUP(AS15,'Master List'!$A:$D,3,0),0)</f>
        <v/>
      </c>
      <c r="AW15" s="163">
        <f>IFERROR(VLOOKUP(AS15,'Master List'!$A:$D,4,0),0)</f>
        <v/>
      </c>
      <c r="AX15" s="163">
        <f>B26</f>
        <v/>
      </c>
      <c r="AY15" s="163">
        <f>IFERROR(AV15/AW15,0)</f>
        <v/>
      </c>
      <c r="AZ15" s="163">
        <f>IFERROR(IF(AX15&lt;((1/2*AW15*AY15^2)*2),1/2*AW15*SQRT((AX15/2)*2/AW15)^2,1/2*AW15*AY15^2),0)</f>
        <v/>
      </c>
      <c r="BA15" s="163">
        <f>IFERROR(IF(AX15-AZ15-BB15&lt;=0,0,AX15-AZ15-BB15),0)</f>
        <v/>
      </c>
      <c r="BB15" s="163">
        <f>AZ15</f>
        <v/>
      </c>
      <c r="BC15" s="163">
        <f>IFERROR(IF(AX15&lt;((1/2*AW15*AY15^2)*2),SQRT((AX15/2)*2/AW15),AY15),0)</f>
        <v/>
      </c>
      <c r="BD15" s="163">
        <f>IFERROR(BA15/AV15,0)</f>
        <v/>
      </c>
      <c r="BE15" s="163">
        <f>BC15</f>
        <v/>
      </c>
      <c r="BF15" s="164">
        <f>IF(AU15&gt;0,AU15,SUM(BC15:BE15))</f>
        <v/>
      </c>
      <c r="BG15" s="163" t="n">
        <v>1</v>
      </c>
      <c r="BH15" s="163">
        <f>BF15*BG15</f>
        <v/>
      </c>
      <c r="BJ15" s="160">
        <f>BJ14+1</f>
        <v/>
      </c>
      <c r="BK15" s="161" t="inlineStr">
        <is>
          <t>Multipro Running Loaded/Unloaded</t>
        </is>
      </c>
      <c r="BL15" s="162" t="inlineStr">
        <is>
          <t>Multi pro moves back to outbound buffer conveyor</t>
        </is>
      </c>
      <c r="BM15" s="163">
        <f>IFERROR(VLOOKUP(BK15,'Master List'!$A:$D,2,0),0)</f>
        <v/>
      </c>
      <c r="BN15" s="163">
        <f>IFERROR(VLOOKUP(BK15,'Master List'!$A:$D,3,0),0)</f>
        <v/>
      </c>
      <c r="BO15" s="163">
        <f>IFERROR(VLOOKUP(BK15,'Master List'!$A:$D,4,0),0)</f>
        <v/>
      </c>
      <c r="BP15" s="163">
        <f>BP10</f>
        <v/>
      </c>
      <c r="BQ15" s="163">
        <f>IFERROR(BN15/BO15,0)</f>
        <v/>
      </c>
      <c r="BR15" s="163">
        <f>IFERROR(IF(BP15&lt;((1/2*BO15*BQ15^2)*2),1/2*BO15*SQRT((BP15/2)*2/BO15)^2,1/2*BO15*BQ15^2),0)</f>
        <v/>
      </c>
      <c r="BS15" s="163">
        <f>IFERROR(IF(BP15-BR15-BT15&lt;=0,0,BP15-BR15-BT15),0)</f>
        <v/>
      </c>
      <c r="BT15" s="163">
        <f>BR15</f>
        <v/>
      </c>
      <c r="BU15" s="163">
        <f>IFERROR(IF(BP15&lt;((1/2*BO15*BQ15^2)*2),SQRT((BP15/2)*2/BO15),BQ15),0)</f>
        <v/>
      </c>
      <c r="BV15" s="163">
        <f>IFERROR(BS15/BN15,0)</f>
        <v/>
      </c>
      <c r="BW15" s="163">
        <f>BU15</f>
        <v/>
      </c>
      <c r="BX15" s="164">
        <f>IF(BM15&gt;0,BM15,SUM(BU15:BW15))</f>
        <v/>
      </c>
      <c r="BY15" s="163" t="n">
        <v>1</v>
      </c>
      <c r="BZ15" s="163">
        <f>BX15*BY15</f>
        <v/>
      </c>
      <c r="CB15" s="160">
        <f>CB14+1</f>
        <v/>
      </c>
      <c r="CC15" s="161" t="n"/>
      <c r="CD15" s="162" t="n"/>
      <c r="CE15" s="163">
        <f>IFERROR(VLOOKUP(CC15,'Master List'!$A:$D,2,0),0)</f>
        <v/>
      </c>
      <c r="CF15" s="163">
        <f>IFERROR(VLOOKUP(CC15,'Master List'!$A:$D,3,0),0)</f>
        <v/>
      </c>
      <c r="CG15" s="163">
        <f>IFERROR(VLOOKUP(CC15,'Master List'!$A:$D,4,0),0)</f>
        <v/>
      </c>
      <c r="CH15" s="163" t="n"/>
      <c r="CI15" s="163">
        <f>IFERROR(CF15/CG15,0)</f>
        <v/>
      </c>
      <c r="CJ15" s="163">
        <f>IFERROR(IF(CH15&lt;((1/2*CG15*CI15^2)*2),1/2*CG15*SQRT((CH15/2)*2/CG15)^2,1/2*CG15*CI15^2),0)</f>
        <v/>
      </c>
      <c r="CK15" s="163">
        <f>IFERROR(IF(CH15-CJ15-CL15&lt;=0,0,CH15-CJ15-CL15),0)</f>
        <v/>
      </c>
      <c r="CL15" s="163">
        <f>CJ15</f>
        <v/>
      </c>
      <c r="CM15" s="163">
        <f>IFERROR(IF(CH15&lt;((1/2*CG15*CI15^2)*2),SQRT((CH15/2)*2/CG15),CI15),0)</f>
        <v/>
      </c>
      <c r="CN15" s="163">
        <f>IFERROR(CK15/CF15,0)</f>
        <v/>
      </c>
      <c r="CO15" s="163">
        <f>CM15</f>
        <v/>
      </c>
      <c r="CP15" s="164">
        <f>IF(CE15&gt;0,CE15,SUM(CM15:CO15))</f>
        <v/>
      </c>
      <c r="CQ15" s="163" t="n"/>
      <c r="CR15" s="163">
        <f>CP15*CQ15</f>
        <v/>
      </c>
    </row>
    <row r="16">
      <c r="A16" s="33" t="inlineStr">
        <is>
          <t>Aisle length max m (Mother)</t>
        </is>
      </c>
      <c r="B16" s="408">
        <f>'Multi Pro Input OutPut'!B9</f>
        <v/>
      </c>
      <c r="C16" s="1" t="inlineStr">
        <is>
          <t>Max length travelled by multi pro in a level in meters</t>
        </is>
      </c>
      <c r="H16" s="160">
        <f>H15+1</f>
        <v/>
      </c>
      <c r="I16" s="161" t="inlineStr">
        <is>
          <t>Cruiser Running Unloaded</t>
        </is>
      </c>
      <c r="J16" s="162" t="inlineStr">
        <is>
          <t>Cruiser moves in rack depth to pick pallet</t>
        </is>
      </c>
      <c r="K16" s="163">
        <f>IFERROR(VLOOKUP(I16,'Master List'!$A:$D,2,0),0)</f>
        <v/>
      </c>
      <c r="L16" s="163">
        <f>IFERROR(VLOOKUP(I16,'Master List'!$A:$D,3,0),0)</f>
        <v/>
      </c>
      <c r="M16" s="163">
        <f>IFERROR(VLOOKUP(I16,'Master List'!$A:$D,4,0),0)</f>
        <v/>
      </c>
      <c r="N16" s="163">
        <f>N12</f>
        <v/>
      </c>
      <c r="O16" s="163">
        <f>IFERROR(L16/M16,0)</f>
        <v/>
      </c>
      <c r="P16" s="163">
        <f>IFERROR(IF(N16&lt;((1/2*M16*O16^2)*2),1/2*M16*SQRT((N16/2)*2/M16)^2,1/2*M16*O16^2),0)</f>
        <v/>
      </c>
      <c r="Q16" s="163">
        <f>IFERROR(IF(N16-P16-R16&lt;=0,0,N16-P16-R16),0)</f>
        <v/>
      </c>
      <c r="R16" s="163">
        <f>P16</f>
        <v/>
      </c>
      <c r="S16" s="163">
        <f>IFERROR(IF(N16&lt;((1/2*M16*O16^2)*2),SQRT((N16/2)*2/M16),O16),0)</f>
        <v/>
      </c>
      <c r="T16" s="163">
        <f>IFERROR(Q16/L16,0)</f>
        <v/>
      </c>
      <c r="U16" s="163">
        <f>S16</f>
        <v/>
      </c>
      <c r="V16" s="164">
        <f>IF(K16&gt;0,K16,SUM(S16:U16))</f>
        <v/>
      </c>
      <c r="W16" s="163" t="n">
        <v>1</v>
      </c>
      <c r="X16" s="163">
        <f>V16*W16</f>
        <v/>
      </c>
      <c r="Z16" s="160">
        <f>Z15+1</f>
        <v/>
      </c>
      <c r="AA16" s="161" t="inlineStr">
        <is>
          <t>Cruiser Running Unloaded</t>
        </is>
      </c>
      <c r="AB16" s="162" t="inlineStr">
        <is>
          <t>Cruiser moves in rack depth to pick pallet</t>
        </is>
      </c>
      <c r="AC16" s="163">
        <f>IFERROR(VLOOKUP(AA16,'Master List'!$A:$D,2,0),0)</f>
        <v/>
      </c>
      <c r="AD16" s="163">
        <f>IFERROR(VLOOKUP(AA16,'Master List'!$A:$D,3,0),0)</f>
        <v/>
      </c>
      <c r="AE16" s="163">
        <f>IFERROR(VLOOKUP(AA16,'Master List'!$A:$D,4,0),0)</f>
        <v/>
      </c>
      <c r="AF16" s="163">
        <f>AF12</f>
        <v/>
      </c>
      <c r="AG16" s="163">
        <f>IFERROR(AD16/AE16,0)</f>
        <v/>
      </c>
      <c r="AH16" s="163">
        <f>IFERROR(IF(AF16&lt;((1/2*AE16*AG16^2)*2),1/2*AE16*SQRT((AF16/2)*2/AE16)^2,1/2*AE16*AG16^2),0)</f>
        <v/>
      </c>
      <c r="AI16" s="163">
        <f>IFERROR(IF(AF16-AH16-AJ16&lt;=0,0,AF16-AH16-AJ16),0)</f>
        <v/>
      </c>
      <c r="AJ16" s="163">
        <f>AH16</f>
        <v/>
      </c>
      <c r="AK16" s="163">
        <f>IFERROR(IF(AF16&lt;((1/2*AE16*AG16^2)*2),SQRT((AF16/2)*2/AE16),AG16),0)</f>
        <v/>
      </c>
      <c r="AL16" s="163">
        <f>IFERROR(AI16/AD16,0)</f>
        <v/>
      </c>
      <c r="AM16" s="163">
        <f>AK16</f>
        <v/>
      </c>
      <c r="AN16" s="164">
        <f>IF(AC16&gt;0,AC16,SUM(AK16:AM16))</f>
        <v/>
      </c>
      <c r="AO16" s="163" t="n">
        <v>1</v>
      </c>
      <c r="AP16" s="163">
        <f>AN16*AO16</f>
        <v/>
      </c>
      <c r="AR16" s="160">
        <f>AR15+1</f>
        <v/>
      </c>
      <c r="AS16" s="161" t="inlineStr">
        <is>
          <t>Cruiser Running Unloaded</t>
        </is>
      </c>
      <c r="AT16" s="162" t="inlineStr">
        <is>
          <t>Cruiser moves in rack depth to pick pallet</t>
        </is>
      </c>
      <c r="AU16" s="163">
        <f>IFERROR(VLOOKUP(AS16,'Master List'!$A:$D,2,0),0)</f>
        <v/>
      </c>
      <c r="AV16" s="163">
        <f>IFERROR(VLOOKUP(AS16,'Master List'!$A:$D,3,0),0)</f>
        <v/>
      </c>
      <c r="AW16" s="163">
        <f>IFERROR(VLOOKUP(AS16,'Master List'!$A:$D,4,0),0)</f>
        <v/>
      </c>
      <c r="AX16" s="163">
        <f>AX12</f>
        <v/>
      </c>
      <c r="AY16" s="163">
        <f>IFERROR(AV16/AW16,0)</f>
        <v/>
      </c>
      <c r="AZ16" s="163">
        <f>IFERROR(IF(AX16&lt;((1/2*AW16*AY16^2)*2),1/2*AW16*SQRT((AX16/2)*2/AW16)^2,1/2*AW16*AY16^2),0)</f>
        <v/>
      </c>
      <c r="BA16" s="163">
        <f>IFERROR(IF(AX16-AZ16-BB16&lt;=0,0,AX16-AZ16-BB16),0)</f>
        <v/>
      </c>
      <c r="BB16" s="163">
        <f>AZ16</f>
        <v/>
      </c>
      <c r="BC16" s="163">
        <f>IFERROR(IF(AX16&lt;((1/2*AW16*AY16^2)*2),SQRT((AX16/2)*2/AW16),AY16),0)</f>
        <v/>
      </c>
      <c r="BD16" s="163">
        <f>IFERROR(BA16/AV16,0)</f>
        <v/>
      </c>
      <c r="BE16" s="163">
        <f>BC16</f>
        <v/>
      </c>
      <c r="BF16" s="164">
        <f>IF(AU16&gt;0,AU16,SUM(BC16:BE16))</f>
        <v/>
      </c>
      <c r="BG16" s="163" t="n">
        <v>1</v>
      </c>
      <c r="BH16" s="163">
        <f>BF16*BG16</f>
        <v/>
      </c>
      <c r="BJ16" s="160">
        <f>BJ15+1</f>
        <v/>
      </c>
      <c r="BK16" s="161" t="n"/>
      <c r="BL16" s="162" t="n"/>
      <c r="BM16" s="163">
        <f>IFERROR(VLOOKUP(BK16,'Master List'!$A:$D,2,0),0)</f>
        <v/>
      </c>
      <c r="BN16" s="163">
        <f>IFERROR(VLOOKUP(BK16,'Master List'!$A:$D,3,0),0)</f>
        <v/>
      </c>
      <c r="BO16" s="163">
        <f>IFERROR(VLOOKUP(BK16,'Master List'!$A:$D,4,0),0)</f>
        <v/>
      </c>
      <c r="BP16" s="163" t="n"/>
      <c r="BQ16" s="163">
        <f>IFERROR(BN16/BO16,0)</f>
        <v/>
      </c>
      <c r="BR16" s="163">
        <f>IFERROR(IF(BP16&lt;((1/2*BO16*BQ16^2)*2),1/2*BO16*SQRT((BP16/2)*2/BO16)^2,1/2*BO16*BQ16^2),0)</f>
        <v/>
      </c>
      <c r="BS16" s="163">
        <f>IFERROR(IF(BP16-BR16-BT16&lt;=0,0,BP16-BR16-BT16),0)</f>
        <v/>
      </c>
      <c r="BT16" s="163">
        <f>BR16</f>
        <v/>
      </c>
      <c r="BU16" s="163">
        <f>IFERROR(IF(BP16&lt;((1/2*BO16*BQ16^2)*2),SQRT((BP16/2)*2/BO16),BQ16),0)</f>
        <v/>
      </c>
      <c r="BV16" s="163">
        <f>IFERROR(BS16/BN16,0)</f>
        <v/>
      </c>
      <c r="BW16" s="163">
        <f>BU16</f>
        <v/>
      </c>
      <c r="BX16" s="164">
        <f>IF(BM16&gt;0,BM16,SUM(BU16:BW16))</f>
        <v/>
      </c>
      <c r="BY16" s="163" t="n">
        <v>1</v>
      </c>
      <c r="BZ16" s="163">
        <f>BX16*BY16</f>
        <v/>
      </c>
      <c r="CB16" s="160">
        <f>CB15+1</f>
        <v/>
      </c>
      <c r="CC16" s="161" t="n"/>
      <c r="CD16" s="162" t="n"/>
      <c r="CE16" s="163">
        <f>IFERROR(VLOOKUP(CC16,'Master List'!$A:$D,2,0),0)</f>
        <v/>
      </c>
      <c r="CF16" s="163">
        <f>IFERROR(VLOOKUP(CC16,'Master List'!$A:$D,3,0),0)</f>
        <v/>
      </c>
      <c r="CG16" s="163">
        <f>IFERROR(VLOOKUP(CC16,'Master List'!$A:$D,4,0),0)</f>
        <v/>
      </c>
      <c r="CH16" s="163" t="n"/>
      <c r="CI16" s="163">
        <f>IFERROR(CF16/CG16,0)</f>
        <v/>
      </c>
      <c r="CJ16" s="163">
        <f>IFERROR(IF(CH16&lt;((1/2*CG16*CI16^2)*2),1/2*CG16*SQRT((CH16/2)*2/CG16)^2,1/2*CG16*CI16^2),0)</f>
        <v/>
      </c>
      <c r="CK16" s="163">
        <f>IFERROR(IF(CH16-CJ16-CL16&lt;=0,0,CH16-CJ16-CL16),0)</f>
        <v/>
      </c>
      <c r="CL16" s="163">
        <f>CJ16</f>
        <v/>
      </c>
      <c r="CM16" s="163">
        <f>IFERROR(IF(CH16&lt;((1/2*CG16*CI16^2)*2),SQRT((CH16/2)*2/CG16),CI16),0)</f>
        <v/>
      </c>
      <c r="CN16" s="163">
        <f>IFERROR(CK16/CF16,0)</f>
        <v/>
      </c>
      <c r="CO16" s="163">
        <f>CM16</f>
        <v/>
      </c>
      <c r="CP16" s="164">
        <f>IF(CE16&gt;0,CE16,SUM(CM16:CO16))</f>
        <v/>
      </c>
      <c r="CQ16" s="163" t="n"/>
      <c r="CR16" s="163">
        <f>CP16*CQ16</f>
        <v/>
      </c>
    </row>
    <row r="17">
      <c r="A17" s="33" t="inlineStr">
        <is>
          <t>Travel depth max m (Child)</t>
        </is>
      </c>
      <c r="B17" s="408">
        <f>'Multi Pro Input OutPut'!B10</f>
        <v/>
      </c>
      <c r="C17" s="1" t="inlineStr">
        <is>
          <t>Max length travelled by cruiser in rack depth</t>
        </is>
      </c>
      <c r="H17" s="160">
        <f>H16+1</f>
        <v/>
      </c>
      <c r="I17" s="161" t="inlineStr">
        <is>
          <t>Cruiser lift/ drop time</t>
        </is>
      </c>
      <c r="J17" s="162" t="inlineStr">
        <is>
          <t>Cruiser lifts pallet</t>
        </is>
      </c>
      <c r="K17" s="163">
        <f>IFERROR(VLOOKUP(I17,'Master List'!$A:$D,2,0),0)</f>
        <v/>
      </c>
      <c r="L17" s="163">
        <f>IFERROR(VLOOKUP(I17,'Master List'!$A:$D,3,0),0)</f>
        <v/>
      </c>
      <c r="M17" s="163">
        <f>IFERROR(VLOOKUP(I17,'Master List'!$A:$D,4,0),0)</f>
        <v/>
      </c>
      <c r="N17" s="163" t="n"/>
      <c r="O17" s="163">
        <f>IFERROR(L17/M17,0)</f>
        <v/>
      </c>
      <c r="P17" s="163">
        <f>IFERROR(IF(N17&lt;((1/2*M17*O17^2)*2),1/2*M17*SQRT((N17/2)*2/M17)^2,1/2*M17*O17^2),0)</f>
        <v/>
      </c>
      <c r="Q17" s="163">
        <f>IFERROR(IF(N17-P17-R17&lt;=0,0,N17-P17-R17),0)</f>
        <v/>
      </c>
      <c r="R17" s="163">
        <f>P17</f>
        <v/>
      </c>
      <c r="S17" s="163">
        <f>IFERROR(IF(N17&lt;((1/2*M17*O17^2)*2),SQRT((N17/2)*2/M17),O17),0)</f>
        <v/>
      </c>
      <c r="T17" s="163">
        <f>IFERROR(Q17/L17,0)</f>
        <v/>
      </c>
      <c r="U17" s="163">
        <f>S17</f>
        <v/>
      </c>
      <c r="V17" s="164">
        <f>IF(K17&gt;0,K17,SUM(S17:U17))</f>
        <v/>
      </c>
      <c r="W17" s="163" t="n">
        <v>1</v>
      </c>
      <c r="X17" s="163">
        <f>V17*W17</f>
        <v/>
      </c>
      <c r="Z17" s="160">
        <f>Z16+1</f>
        <v/>
      </c>
      <c r="AA17" s="161" t="inlineStr">
        <is>
          <t>Cruiser lift/ drop time</t>
        </is>
      </c>
      <c r="AB17" s="162" t="inlineStr">
        <is>
          <t>Cruiser lifts pallet</t>
        </is>
      </c>
      <c r="AC17" s="163">
        <f>IFERROR(VLOOKUP(AA17,'Master List'!$A:$D,2,0),0)</f>
        <v/>
      </c>
      <c r="AD17" s="163">
        <f>IFERROR(VLOOKUP(AA17,'Master List'!$A:$D,3,0),0)</f>
        <v/>
      </c>
      <c r="AE17" s="163">
        <f>IFERROR(VLOOKUP(AA17,'Master List'!$A:$D,4,0),0)</f>
        <v/>
      </c>
      <c r="AF17" s="163" t="n"/>
      <c r="AG17" s="163">
        <f>IFERROR(AD17/AE17,0)</f>
        <v/>
      </c>
      <c r="AH17" s="163">
        <f>IFERROR(IF(AF17&lt;((1/2*AE17*AG17^2)*2),1/2*AE17*SQRT((AF17/2)*2/AE17)^2,1/2*AE17*AG17^2),0)</f>
        <v/>
      </c>
      <c r="AI17" s="163">
        <f>IFERROR(IF(AF17-AH17-AJ17&lt;=0,0,AF17-AH17-AJ17),0)</f>
        <v/>
      </c>
      <c r="AJ17" s="163">
        <f>AH17</f>
        <v/>
      </c>
      <c r="AK17" s="163">
        <f>IFERROR(IF(AF17&lt;((1/2*AE17*AG17^2)*2),SQRT((AF17/2)*2/AE17),AG17),0)</f>
        <v/>
      </c>
      <c r="AL17" s="163">
        <f>IFERROR(AI17/AD17,0)</f>
        <v/>
      </c>
      <c r="AM17" s="163">
        <f>AK17</f>
        <v/>
      </c>
      <c r="AN17" s="164">
        <f>IF(AC17&gt;0,AC17,SUM(AK17:AM17))</f>
        <v/>
      </c>
      <c r="AO17" s="163" t="n">
        <v>1</v>
      </c>
      <c r="AP17" s="163">
        <f>AN17*AO17</f>
        <v/>
      </c>
      <c r="AR17" s="160">
        <f>AR16+1</f>
        <v/>
      </c>
      <c r="AS17" s="161" t="inlineStr">
        <is>
          <t>Cruiser lift/ drop time</t>
        </is>
      </c>
      <c r="AT17" s="162" t="inlineStr">
        <is>
          <t>Cruiser lifts pallet</t>
        </is>
      </c>
      <c r="AU17" s="163">
        <f>IFERROR(VLOOKUP(AS17,'Master List'!$A:$D,2,0),0)</f>
        <v/>
      </c>
      <c r="AV17" s="163">
        <f>IFERROR(VLOOKUP(AS17,'Master List'!$A:$D,3,0),0)</f>
        <v/>
      </c>
      <c r="AW17" s="163">
        <f>IFERROR(VLOOKUP(AS17,'Master List'!$A:$D,4,0),0)</f>
        <v/>
      </c>
      <c r="AX17" s="163" t="n"/>
      <c r="AY17" s="163">
        <f>IFERROR(AV17/AW17,0)</f>
        <v/>
      </c>
      <c r="AZ17" s="163">
        <f>IFERROR(IF(AX17&lt;((1/2*AW17*AY17^2)*2),1/2*AW17*SQRT((AX17/2)*2/AW17)^2,1/2*AW17*AY17^2),0)</f>
        <v/>
      </c>
      <c r="BA17" s="163">
        <f>IFERROR(IF(AX17-AZ17-BB17&lt;=0,0,AX17-AZ17-BB17),0)</f>
        <v/>
      </c>
      <c r="BB17" s="163">
        <f>AZ17</f>
        <v/>
      </c>
      <c r="BC17" s="163">
        <f>IFERROR(IF(AX17&lt;((1/2*AW17*AY17^2)*2),SQRT((AX17/2)*2/AW17),AY17),0)</f>
        <v/>
      </c>
      <c r="BD17" s="163">
        <f>IFERROR(BA17/AV17,0)</f>
        <v/>
      </c>
      <c r="BE17" s="163">
        <f>BC17</f>
        <v/>
      </c>
      <c r="BF17" s="164">
        <f>IF(AU17&gt;0,AU17,SUM(BC17:BE17))</f>
        <v/>
      </c>
      <c r="BG17" s="163" t="n">
        <v>1</v>
      </c>
      <c r="BH17" s="163">
        <f>BF17*BG17</f>
        <v/>
      </c>
      <c r="BJ17" s="160">
        <f>BJ16+1</f>
        <v/>
      </c>
      <c r="BK17" s="161" t="n"/>
      <c r="BL17" s="162" t="n"/>
      <c r="BM17" s="163">
        <f>IFERROR(VLOOKUP(BK17,'Master List'!$A:$D,2,0),0)</f>
        <v/>
      </c>
      <c r="BN17" s="163">
        <f>IFERROR(VLOOKUP(BK17,'Master List'!$A:$D,3,0),0)</f>
        <v/>
      </c>
      <c r="BO17" s="163">
        <f>IFERROR(VLOOKUP(BK17,'Master List'!$A:$D,4,0),0)</f>
        <v/>
      </c>
      <c r="BP17" s="163" t="n"/>
      <c r="BQ17" s="163">
        <f>IFERROR(BN17/BO17,0)</f>
        <v/>
      </c>
      <c r="BR17" s="163">
        <f>IFERROR(IF(BP17&lt;((1/2*BO17*BQ17^2)*2),1/2*BO17*SQRT((BP17/2)*2/BO17)^2,1/2*BO17*BQ17^2),0)</f>
        <v/>
      </c>
      <c r="BS17" s="163">
        <f>IFERROR(IF(BP17-BR17-BT17&lt;=0,0,BP17-BR17-BT17),0)</f>
        <v/>
      </c>
      <c r="BT17" s="163">
        <f>BR17</f>
        <v/>
      </c>
      <c r="BU17" s="163">
        <f>IFERROR(IF(BP17&lt;((1/2*BO17*BQ17^2)*2),SQRT((BP17/2)*2/BO17),BQ17),0)</f>
        <v/>
      </c>
      <c r="BV17" s="163">
        <f>IFERROR(BS17/BN17,0)</f>
        <v/>
      </c>
      <c r="BW17" s="163">
        <f>BU17</f>
        <v/>
      </c>
      <c r="BX17" s="164">
        <f>IF(BM17&gt;0,BM17,SUM(BU17:BW17))</f>
        <v/>
      </c>
      <c r="BY17" s="163" t="n">
        <v>1</v>
      </c>
      <c r="BZ17" s="163">
        <f>BX17*BY17</f>
        <v/>
      </c>
      <c r="CB17" s="160">
        <f>CB16+1</f>
        <v/>
      </c>
      <c r="CC17" s="161" t="n"/>
      <c r="CD17" s="162" t="n"/>
      <c r="CE17" s="163">
        <f>IFERROR(VLOOKUP(CC17,'Master List'!$A:$D,2,0),0)</f>
        <v/>
      </c>
      <c r="CF17" s="163">
        <f>IFERROR(VLOOKUP(CC17,'Master List'!$A:$D,3,0),0)</f>
        <v/>
      </c>
      <c r="CG17" s="163">
        <f>IFERROR(VLOOKUP(CC17,'Master List'!$A:$D,4,0),0)</f>
        <v/>
      </c>
      <c r="CH17" s="163" t="n"/>
      <c r="CI17" s="163">
        <f>IFERROR(CF17/CG17,0)</f>
        <v/>
      </c>
      <c r="CJ17" s="163">
        <f>IFERROR(IF(CH17&lt;((1/2*CG17*CI17^2)*2),1/2*CG17*SQRT((CH17/2)*2/CG17)^2,1/2*CG17*CI17^2),0)</f>
        <v/>
      </c>
      <c r="CK17" s="163">
        <f>IFERROR(IF(CH17-CJ17-CL17&lt;=0,0,CH17-CJ17-CL17),0)</f>
        <v/>
      </c>
      <c r="CL17" s="163">
        <f>CJ17</f>
        <v/>
      </c>
      <c r="CM17" s="163">
        <f>IFERROR(IF(CH17&lt;((1/2*CG17*CI17^2)*2),SQRT((CH17/2)*2/CG17),CI17),0)</f>
        <v/>
      </c>
      <c r="CN17" s="163">
        <f>IFERROR(CK17/CF17,0)</f>
        <v/>
      </c>
      <c r="CO17" s="163">
        <f>CM17</f>
        <v/>
      </c>
      <c r="CP17" s="164">
        <f>IF(CE17&gt;0,CE17,SUM(CM17:CO17))</f>
        <v/>
      </c>
      <c r="CQ17" s="163" t="n"/>
      <c r="CR17" s="163">
        <f>CP17*CQ17</f>
        <v/>
      </c>
    </row>
    <row r="18">
      <c r="A18" s="33" t="inlineStr">
        <is>
          <t>Pallet depth m</t>
        </is>
      </c>
      <c r="B18" s="408">
        <f>'Multi Pro Input OutPut'!B11</f>
        <v/>
      </c>
      <c r="C18" s="1" t="inlineStr">
        <is>
          <t>Lead side on multi pro travel direction</t>
        </is>
      </c>
      <c r="H18" s="160">
        <f>H17+1</f>
        <v/>
      </c>
      <c r="I18" s="161" t="inlineStr">
        <is>
          <t>Cruiser Running loaded</t>
        </is>
      </c>
      <c r="J18" s="162" t="inlineStr">
        <is>
          <t>Cruiser moves back to Multi pro with loaded pallet</t>
        </is>
      </c>
      <c r="K18" s="163">
        <f>IFERROR(VLOOKUP(I18,'Master List'!$A:$D,2,0),0)</f>
        <v/>
      </c>
      <c r="L18" s="163">
        <f>IFERROR(VLOOKUP(I18,'Master List'!$A:$D,3,0),0)</f>
        <v/>
      </c>
      <c r="M18" s="163">
        <f>IFERROR(VLOOKUP(I18,'Master List'!$A:$D,4,0),0)</f>
        <v/>
      </c>
      <c r="N18" s="163">
        <f>N16</f>
        <v/>
      </c>
      <c r="O18" s="163">
        <f>IFERROR(L18/M18,0)</f>
        <v/>
      </c>
      <c r="P18" s="163">
        <f>IFERROR(IF(N18&lt;((1/2*M18*O18^2)*2),1/2*M18*SQRT((N18/2)*2/M18)^2,1/2*M18*O18^2),0)</f>
        <v/>
      </c>
      <c r="Q18" s="163">
        <f>IFERROR(IF(N18-P18-R18&lt;=0,0,N18-P18-R18),0)</f>
        <v/>
      </c>
      <c r="R18" s="163">
        <f>P18</f>
        <v/>
      </c>
      <c r="S18" s="163">
        <f>IFERROR(IF(N18&lt;((1/2*M18*O18^2)*2),SQRT((N18/2)*2/M18),O18),0)</f>
        <v/>
      </c>
      <c r="T18" s="163">
        <f>IFERROR(Q18/L18,0)</f>
        <v/>
      </c>
      <c r="U18" s="163">
        <f>S18</f>
        <v/>
      </c>
      <c r="V18" s="164">
        <f>IF(K18&gt;0,K18,SUM(S18:U18))</f>
        <v/>
      </c>
      <c r="W18" s="163" t="n">
        <v>1</v>
      </c>
      <c r="X18" s="163">
        <f>V18*W18</f>
        <v/>
      </c>
      <c r="Z18" s="160">
        <f>Z17+1</f>
        <v/>
      </c>
      <c r="AA18" s="161" t="inlineStr">
        <is>
          <t>Cruiser Running loaded</t>
        </is>
      </c>
      <c r="AB18" s="162" t="inlineStr">
        <is>
          <t>Cruiser moves back to Multi pro with loaded pallet</t>
        </is>
      </c>
      <c r="AC18" s="163">
        <f>IFERROR(VLOOKUP(AA18,'Master List'!$A:$D,2,0),0)</f>
        <v/>
      </c>
      <c r="AD18" s="163">
        <f>IFERROR(VLOOKUP(AA18,'Master List'!$A:$D,3,0),0)</f>
        <v/>
      </c>
      <c r="AE18" s="163">
        <f>IFERROR(VLOOKUP(AA18,'Master List'!$A:$D,4,0),0)</f>
        <v/>
      </c>
      <c r="AF18" s="163">
        <f>AF16</f>
        <v/>
      </c>
      <c r="AG18" s="163">
        <f>IFERROR(AD18/AE18,0)</f>
        <v/>
      </c>
      <c r="AH18" s="163">
        <f>IFERROR(IF(AF18&lt;((1/2*AE18*AG18^2)*2),1/2*AE18*SQRT((AF18/2)*2/AE18)^2,1/2*AE18*AG18^2),0)</f>
        <v/>
      </c>
      <c r="AI18" s="163">
        <f>IFERROR(IF(AF18-AH18-AJ18&lt;=0,0,AF18-AH18-AJ18),0)</f>
        <v/>
      </c>
      <c r="AJ18" s="163">
        <f>AH18</f>
        <v/>
      </c>
      <c r="AK18" s="163">
        <f>IFERROR(IF(AF18&lt;((1/2*AE18*AG18^2)*2),SQRT((AF18/2)*2/AE18),AG18),0)</f>
        <v/>
      </c>
      <c r="AL18" s="163">
        <f>IFERROR(AI18/AD18,0)</f>
        <v/>
      </c>
      <c r="AM18" s="163">
        <f>AK18</f>
        <v/>
      </c>
      <c r="AN18" s="164">
        <f>IF(AC18&gt;0,AC18,SUM(AK18:AM18))</f>
        <v/>
      </c>
      <c r="AO18" s="163" t="n">
        <v>1</v>
      </c>
      <c r="AP18" s="163">
        <f>AN18*AO18</f>
        <v/>
      </c>
      <c r="AR18" s="160">
        <f>AR17+1</f>
        <v/>
      </c>
      <c r="AS18" s="161" t="inlineStr">
        <is>
          <t>Cruiser Running loaded</t>
        </is>
      </c>
      <c r="AT18" s="162" t="inlineStr">
        <is>
          <t>Cruiser moves back to Multi pro with loaded pallet</t>
        </is>
      </c>
      <c r="AU18" s="163">
        <f>IFERROR(VLOOKUP(AS18,'Master List'!$A:$D,2,0),0)</f>
        <v/>
      </c>
      <c r="AV18" s="163">
        <f>IFERROR(VLOOKUP(AS18,'Master List'!$A:$D,3,0),0)</f>
        <v/>
      </c>
      <c r="AW18" s="163">
        <f>IFERROR(VLOOKUP(AS18,'Master List'!$A:$D,4,0),0)</f>
        <v/>
      </c>
      <c r="AX18" s="163">
        <f>AX16</f>
        <v/>
      </c>
      <c r="AY18" s="163">
        <f>IFERROR(AV18/AW18,0)</f>
        <v/>
      </c>
      <c r="AZ18" s="163">
        <f>IFERROR(IF(AX18&lt;((1/2*AW18*AY18^2)*2),1/2*AW18*SQRT((AX18/2)*2/AW18)^2,1/2*AW18*AY18^2),0)</f>
        <v/>
      </c>
      <c r="BA18" s="163">
        <f>IFERROR(IF(AX18-AZ18-BB18&lt;=0,0,AX18-AZ18-BB18),0)</f>
        <v/>
      </c>
      <c r="BB18" s="163">
        <f>AZ18</f>
        <v/>
      </c>
      <c r="BC18" s="163">
        <f>IFERROR(IF(AX18&lt;((1/2*AW18*AY18^2)*2),SQRT((AX18/2)*2/AW18),AY18),0)</f>
        <v/>
      </c>
      <c r="BD18" s="163">
        <f>IFERROR(BA18/AV18,0)</f>
        <v/>
      </c>
      <c r="BE18" s="163">
        <f>BC18</f>
        <v/>
      </c>
      <c r="BF18" s="164">
        <f>IF(AU18&gt;0,AU18,SUM(BC18:BE18))</f>
        <v/>
      </c>
      <c r="BG18" s="163" t="n">
        <v>1</v>
      </c>
      <c r="BH18" s="163">
        <f>BF18*BG18</f>
        <v/>
      </c>
      <c r="BJ18" s="160">
        <f>BJ17+1</f>
        <v/>
      </c>
      <c r="BK18" s="161" t="n"/>
      <c r="BL18" s="162" t="n"/>
      <c r="BM18" s="163">
        <f>IFERROR(VLOOKUP(BK18,'Master List'!$A:$D,2,0),0)</f>
        <v/>
      </c>
      <c r="BN18" s="163">
        <f>IFERROR(VLOOKUP(BK18,'Master List'!$A:$D,3,0),0)</f>
        <v/>
      </c>
      <c r="BO18" s="163">
        <f>IFERROR(VLOOKUP(BK18,'Master List'!$A:$D,4,0),0)</f>
        <v/>
      </c>
      <c r="BP18" s="163" t="n"/>
      <c r="BQ18" s="163">
        <f>IFERROR(BN18/BO18,0)</f>
        <v/>
      </c>
      <c r="BR18" s="163">
        <f>IFERROR(IF(BP18&lt;((1/2*BO18*BQ18^2)*2),1/2*BO18*SQRT((BP18/2)*2/BO18)^2,1/2*BO18*BQ18^2),0)</f>
        <v/>
      </c>
      <c r="BS18" s="163">
        <f>IFERROR(IF(BP18-BR18-BT18&lt;=0,0,BP18-BR18-BT18),0)</f>
        <v/>
      </c>
      <c r="BT18" s="163">
        <f>BR18</f>
        <v/>
      </c>
      <c r="BU18" s="163">
        <f>IFERROR(IF(BP18&lt;((1/2*BO18*BQ18^2)*2),SQRT((BP18/2)*2/BO18),BQ18),0)</f>
        <v/>
      </c>
      <c r="BV18" s="163">
        <f>IFERROR(BS18/BN18,0)</f>
        <v/>
      </c>
      <c r="BW18" s="163">
        <f>BU18</f>
        <v/>
      </c>
      <c r="BX18" s="164">
        <f>IF(BM18&gt;0,BM18,SUM(BU18:BW18))</f>
        <v/>
      </c>
      <c r="BY18" s="163" t="n">
        <v>1</v>
      </c>
      <c r="BZ18" s="163">
        <f>BX18*BY18</f>
        <v/>
      </c>
      <c r="CB18" s="160">
        <f>CB17+1</f>
        <v/>
      </c>
      <c r="CC18" s="161" t="n"/>
      <c r="CD18" s="162" t="n"/>
      <c r="CE18" s="163">
        <f>IFERROR(VLOOKUP(CC18,'Master List'!$A:$D,2,0),0)</f>
        <v/>
      </c>
      <c r="CF18" s="163">
        <f>IFERROR(VLOOKUP(CC18,'Master List'!$A:$D,3,0),0)</f>
        <v/>
      </c>
      <c r="CG18" s="163">
        <f>IFERROR(VLOOKUP(CC18,'Master List'!$A:$D,4,0),0)</f>
        <v/>
      </c>
      <c r="CH18" s="163" t="n"/>
      <c r="CI18" s="163">
        <f>IFERROR(CF18/CG18,0)</f>
        <v/>
      </c>
      <c r="CJ18" s="163">
        <f>IFERROR(IF(CH18&lt;((1/2*CG18*CI18^2)*2),1/2*CG18*SQRT((CH18/2)*2/CG18)^2,1/2*CG18*CI18^2),0)</f>
        <v/>
      </c>
      <c r="CK18" s="163">
        <f>IFERROR(IF(CH18-CJ18-CL18&lt;=0,0,CH18-CJ18-CL18),0)</f>
        <v/>
      </c>
      <c r="CL18" s="163">
        <f>CJ18</f>
        <v/>
      </c>
      <c r="CM18" s="163">
        <f>IFERROR(IF(CH18&lt;((1/2*CG18*CI18^2)*2),SQRT((CH18/2)*2/CG18),CI18),0)</f>
        <v/>
      </c>
      <c r="CN18" s="163">
        <f>IFERROR(CK18/CF18,0)</f>
        <v/>
      </c>
      <c r="CO18" s="163">
        <f>CM18</f>
        <v/>
      </c>
      <c r="CP18" s="164">
        <f>IF(CE18&gt;0,CE18,SUM(CM18:CO18))</f>
        <v/>
      </c>
      <c r="CQ18" s="163" t="n"/>
      <c r="CR18" s="163">
        <f>CP18*CQ18</f>
        <v/>
      </c>
    </row>
    <row r="19">
      <c r="H19" s="160">
        <f>H18+1</f>
        <v/>
      </c>
      <c r="I19" s="165" t="inlineStr">
        <is>
          <t>Multipro Running Loaded/Unloaded</t>
        </is>
      </c>
      <c r="J19" s="162" t="inlineStr">
        <is>
          <t>Multi pro moves back to outbound buffer conveyor</t>
        </is>
      </c>
      <c r="K19" s="163">
        <f>IFERROR(VLOOKUP(I19,'Master List'!$A:$D,2,0),0)</f>
        <v/>
      </c>
      <c r="L19" s="163">
        <f>IFERROR(VLOOKUP(I19,'Master List'!$A:$D,3,0),0)</f>
        <v/>
      </c>
      <c r="M19" s="163">
        <f>IFERROR(VLOOKUP(I19,'Master List'!$A:$D,4,0),0)</f>
        <v/>
      </c>
      <c r="N19" s="163">
        <f>N15+N10</f>
        <v/>
      </c>
      <c r="O19" s="163">
        <f>IFERROR(L19/M19,0)</f>
        <v/>
      </c>
      <c r="P19" s="163">
        <f>IFERROR(IF(N19&lt;((1/2*M19*O19^2)*2),1/2*M19*SQRT((N19/2)*2/M19)^2,1/2*M19*O19^2),0)</f>
        <v/>
      </c>
      <c r="Q19" s="163">
        <f>IFERROR(IF(N19-P19-R19&lt;=0,0,N19-P19-R19),0)</f>
        <v/>
      </c>
      <c r="R19" s="163">
        <f>P19</f>
        <v/>
      </c>
      <c r="S19" s="163">
        <f>IFERROR(IF(N19&lt;((1/2*M19*O19^2)*2),SQRT((N19/2)*2/M19),O19),0)</f>
        <v/>
      </c>
      <c r="T19" s="163">
        <f>IFERROR(Q19/L19,0)</f>
        <v/>
      </c>
      <c r="U19" s="163">
        <f>S19</f>
        <v/>
      </c>
      <c r="V19" s="164">
        <f>IF(K19&gt;0,K19,SUM(S19:U19))</f>
        <v/>
      </c>
      <c r="W19" s="163" t="n">
        <v>1</v>
      </c>
      <c r="X19" s="163">
        <f>V19*W19</f>
        <v/>
      </c>
      <c r="Z19" s="160">
        <f>Z18+1</f>
        <v/>
      </c>
      <c r="AA19" s="165" t="inlineStr">
        <is>
          <t>Multipro Running Loaded/Unloaded</t>
        </is>
      </c>
      <c r="AB19" s="162" t="inlineStr">
        <is>
          <t>Multi pro moves back to outbound buffer conveyor</t>
        </is>
      </c>
      <c r="AC19" s="163">
        <f>IFERROR(VLOOKUP(AA19,'Master List'!$A:$D,2,0),0)</f>
        <v/>
      </c>
      <c r="AD19" s="163">
        <f>IFERROR(VLOOKUP(AA19,'Master List'!$A:$D,3,0),0)</f>
        <v/>
      </c>
      <c r="AE19" s="163">
        <f>IFERROR(VLOOKUP(AA19,'Master List'!$A:$D,4,0),0)</f>
        <v/>
      </c>
      <c r="AF19" s="163">
        <f>AF15+AF10</f>
        <v/>
      </c>
      <c r="AG19" s="163">
        <f>IFERROR(AD19/AE19,0)</f>
        <v/>
      </c>
      <c r="AH19" s="163">
        <f>IFERROR(IF(AF19&lt;((1/2*AE19*AG19^2)*2),1/2*AE19*SQRT((AF19/2)*2/AE19)^2,1/2*AE19*AG19^2),0)</f>
        <v/>
      </c>
      <c r="AI19" s="163">
        <f>IFERROR(IF(AF19-AH19-AJ19&lt;=0,0,AF19-AH19-AJ19),0)</f>
        <v/>
      </c>
      <c r="AJ19" s="163">
        <f>AH19</f>
        <v/>
      </c>
      <c r="AK19" s="163">
        <f>IFERROR(IF(AF19&lt;((1/2*AE19*AG19^2)*2),SQRT((AF19/2)*2/AE19),AG19),0)</f>
        <v/>
      </c>
      <c r="AL19" s="163">
        <f>IFERROR(AI19/AD19,0)</f>
        <v/>
      </c>
      <c r="AM19" s="163">
        <f>AK19</f>
        <v/>
      </c>
      <c r="AN19" s="164">
        <f>IF(AC19&gt;0,AC19,SUM(AK19:AM19))</f>
        <v/>
      </c>
      <c r="AO19" s="163" t="n">
        <v>1</v>
      </c>
      <c r="AP19" s="163">
        <f>AN19*AO19</f>
        <v/>
      </c>
      <c r="AR19" s="160">
        <f>AR18+1</f>
        <v/>
      </c>
      <c r="AS19" s="165" t="inlineStr">
        <is>
          <t>Multipro Running Loaded/Unloaded</t>
        </is>
      </c>
      <c r="AT19" s="162" t="inlineStr">
        <is>
          <t>Multi pro moves back to outbound buffer conveyor</t>
        </is>
      </c>
      <c r="AU19" s="163">
        <f>IFERROR(VLOOKUP(AS19,'Master List'!$A:$D,2,0),0)</f>
        <v/>
      </c>
      <c r="AV19" s="163">
        <f>IFERROR(VLOOKUP(AS19,'Master List'!$A:$D,3,0),0)</f>
        <v/>
      </c>
      <c r="AW19" s="163">
        <f>IFERROR(VLOOKUP(AS19,'Master List'!$A:$D,4,0),0)</f>
        <v/>
      </c>
      <c r="AX19" s="163">
        <f>AX10-AX15</f>
        <v/>
      </c>
      <c r="AY19" s="163">
        <f>IFERROR(AV19/AW19,0)</f>
        <v/>
      </c>
      <c r="AZ19" s="163">
        <f>IFERROR(IF(AX19&lt;((1/2*AW19*AY19^2)*2),1/2*AW19*SQRT((AX19/2)*2/AW19)^2,1/2*AW19*AY19^2),0)</f>
        <v/>
      </c>
      <c r="BA19" s="163">
        <f>IFERROR(IF(AX19-AZ19-BB19&lt;=0,0,AX19-AZ19-BB19),0)</f>
        <v/>
      </c>
      <c r="BB19" s="163">
        <f>AZ19</f>
        <v/>
      </c>
      <c r="BC19" s="163">
        <f>IFERROR(IF(AX19&lt;((1/2*AW19*AY19^2)*2),SQRT((AX19/2)*2/AW19),AY19),0)</f>
        <v/>
      </c>
      <c r="BD19" s="163">
        <f>IFERROR(BA19/AV19,0)</f>
        <v/>
      </c>
      <c r="BE19" s="163">
        <f>BC19</f>
        <v/>
      </c>
      <c r="BF19" s="164">
        <f>IF(AU19&gt;0,AU19,SUM(BC19:BE19))</f>
        <v/>
      </c>
      <c r="BG19" s="163" t="n">
        <v>1</v>
      </c>
      <c r="BH19" s="163">
        <f>BF19*BG19</f>
        <v/>
      </c>
      <c r="BJ19" s="160">
        <f>BJ18+1</f>
        <v/>
      </c>
      <c r="BK19" s="165" t="n"/>
      <c r="BL19" s="162" t="n"/>
      <c r="BM19" s="163">
        <f>IFERROR(VLOOKUP(BK19,'Master List'!$A:$D,2,0),0)</f>
        <v/>
      </c>
      <c r="BN19" s="163">
        <f>IFERROR(VLOOKUP(BK19,'Master List'!$A:$D,3,0),0)</f>
        <v/>
      </c>
      <c r="BO19" s="163">
        <f>IFERROR(VLOOKUP(BK19,'Master List'!$A:$D,4,0),0)</f>
        <v/>
      </c>
      <c r="BP19" s="163" t="n"/>
      <c r="BQ19" s="163">
        <f>IFERROR(BN19/BO19,0)</f>
        <v/>
      </c>
      <c r="BR19" s="163">
        <f>IFERROR(IF(BP19&lt;((1/2*BO19*BQ19^2)*2),1/2*BO19*SQRT((BP19/2)*2/BO19)^2,1/2*BO19*BQ19^2),0)</f>
        <v/>
      </c>
      <c r="BS19" s="163">
        <f>IFERROR(IF(BP19-BR19-BT19&lt;=0,0,BP19-BR19-BT19),0)</f>
        <v/>
      </c>
      <c r="BT19" s="163">
        <f>BR19</f>
        <v/>
      </c>
      <c r="BU19" s="163">
        <f>IFERROR(IF(BP19&lt;((1/2*BO19*BQ19^2)*2),SQRT((BP19/2)*2/BO19),BQ19),0)</f>
        <v/>
      </c>
      <c r="BV19" s="163">
        <f>IFERROR(BS19/BN19,0)</f>
        <v/>
      </c>
      <c r="BW19" s="163">
        <f>BU19</f>
        <v/>
      </c>
      <c r="BX19" s="164">
        <f>IF(BM19&gt;0,BM19,SUM(BU19:BW19))</f>
        <v/>
      </c>
      <c r="BY19" s="163" t="n">
        <v>1</v>
      </c>
      <c r="BZ19" s="163">
        <f>BX19*BY19</f>
        <v/>
      </c>
      <c r="CB19" s="160">
        <f>CB18+1</f>
        <v/>
      </c>
      <c r="CC19" s="165" t="n"/>
      <c r="CD19" s="162" t="n"/>
      <c r="CE19" s="163">
        <f>IFERROR(VLOOKUP(CC19,'Master List'!$A:$D,2,0),0)</f>
        <v/>
      </c>
      <c r="CF19" s="163">
        <f>IFERROR(VLOOKUP(CC19,'Master List'!$A:$D,3,0),0)</f>
        <v/>
      </c>
      <c r="CG19" s="163">
        <f>IFERROR(VLOOKUP(CC19,'Master List'!$A:$D,4,0),0)</f>
        <v/>
      </c>
      <c r="CH19" s="163" t="n"/>
      <c r="CI19" s="163">
        <f>IFERROR(CF19/CG19,0)</f>
        <v/>
      </c>
      <c r="CJ19" s="163">
        <f>IFERROR(IF(CH19&lt;((1/2*CG19*CI19^2)*2),1/2*CG19*SQRT((CH19/2)*2/CG19)^2,1/2*CG19*CI19^2),0)</f>
        <v/>
      </c>
      <c r="CK19" s="163">
        <f>IFERROR(IF(CH19-CJ19-CL19&lt;=0,0,CH19-CJ19-CL19),0)</f>
        <v/>
      </c>
      <c r="CL19" s="163">
        <f>CJ19</f>
        <v/>
      </c>
      <c r="CM19" s="163">
        <f>IFERROR(IF(CH19&lt;((1/2*CG19*CI19^2)*2),SQRT((CH19/2)*2/CG19),CI19),0)</f>
        <v/>
      </c>
      <c r="CN19" s="163">
        <f>IFERROR(CK19/CF19,0)</f>
        <v/>
      </c>
      <c r="CO19" s="163">
        <f>CM19</f>
        <v/>
      </c>
      <c r="CP19" s="164">
        <f>IF(CE19&gt;0,CE19,SUM(CM19:CO19))</f>
        <v/>
      </c>
      <c r="CQ19" s="163" t="n"/>
      <c r="CR19" s="163">
        <f>CP19*CQ19</f>
        <v/>
      </c>
    </row>
    <row r="20">
      <c r="A20" s="33" t="n"/>
      <c r="B20" s="34" t="inlineStr">
        <is>
          <t>% of Aisle length</t>
        </is>
      </c>
      <c r="C20" s="34" t="inlineStr">
        <is>
          <t>Distance travelled M</t>
        </is>
      </c>
      <c r="D20" s="34" t="inlineStr">
        <is>
          <t>Cycles/ Hr</t>
        </is>
      </c>
      <c r="E20" s="34" t="inlineStr">
        <is>
          <t>Weightage</t>
        </is>
      </c>
      <c r="F20" s="34" t="inlineStr">
        <is>
          <t>Pallets/ Hr</t>
        </is>
      </c>
      <c r="H20" s="160">
        <f>H19+1</f>
        <v/>
      </c>
      <c r="I20" s="165" t="inlineStr">
        <is>
          <t>Cruiser lift/ drop time</t>
        </is>
      </c>
      <c r="J20" s="162" t="inlineStr">
        <is>
          <t>Cruiser drops pallet</t>
        </is>
      </c>
      <c r="K20" s="163">
        <f>IFERROR(VLOOKUP(I20,'Master List'!$A:$D,2,0),0)</f>
        <v/>
      </c>
      <c r="L20" s="163">
        <f>IFERROR(VLOOKUP(I20,'Master List'!$A:$D,3,0),0)</f>
        <v/>
      </c>
      <c r="M20" s="163">
        <f>IFERROR(VLOOKUP(I20,'Master List'!$A:$D,4,0),0)</f>
        <v/>
      </c>
      <c r="N20" s="163" t="n"/>
      <c r="O20" s="163">
        <f>IFERROR(L20/M20,0)</f>
        <v/>
      </c>
      <c r="P20" s="163">
        <f>IFERROR(IF(N20&lt;((1/2*M20*O20^2)*2),1/2*M20*SQRT((N20/2)*2/M20)^2,1/2*M20*O20^2),0)</f>
        <v/>
      </c>
      <c r="Q20" s="163">
        <f>IFERROR(IF(N20-P20-R20&lt;=0,0,N20-P20-R20),0)</f>
        <v/>
      </c>
      <c r="R20" s="163">
        <f>P20</f>
        <v/>
      </c>
      <c r="S20" s="163">
        <f>IFERROR(IF(N20&lt;((1/2*M20*O20^2)*2),SQRT((N20/2)*2/M20),O20),0)</f>
        <v/>
      </c>
      <c r="T20" s="163">
        <f>IFERROR(Q20/L20,0)</f>
        <v/>
      </c>
      <c r="U20" s="163">
        <f>S20</f>
        <v/>
      </c>
      <c r="V20" s="164">
        <f>IF(K20&gt;0,K20,SUM(S20:U20))</f>
        <v/>
      </c>
      <c r="W20" s="163" t="n">
        <v>1</v>
      </c>
      <c r="X20" s="163">
        <f>V20*W20</f>
        <v/>
      </c>
      <c r="Z20" s="160">
        <f>Z19+1</f>
        <v/>
      </c>
      <c r="AA20" s="165" t="inlineStr">
        <is>
          <t>Cruiser lift/ drop time</t>
        </is>
      </c>
      <c r="AB20" s="162" t="inlineStr">
        <is>
          <t>Cruiser drops pallet</t>
        </is>
      </c>
      <c r="AC20" s="163">
        <f>IFERROR(VLOOKUP(AA20,'Master List'!$A:$D,2,0),0)</f>
        <v/>
      </c>
      <c r="AD20" s="163">
        <f>IFERROR(VLOOKUP(AA20,'Master List'!$A:$D,3,0),0)</f>
        <v/>
      </c>
      <c r="AE20" s="163">
        <f>IFERROR(VLOOKUP(AA20,'Master List'!$A:$D,4,0),0)</f>
        <v/>
      </c>
      <c r="AF20" s="163" t="n"/>
      <c r="AG20" s="163">
        <f>IFERROR(AD20/AE20,0)</f>
        <v/>
      </c>
      <c r="AH20" s="163">
        <f>IFERROR(IF(AF20&lt;((1/2*AE20*AG20^2)*2),1/2*AE20*SQRT((AF20/2)*2/AE20)^2,1/2*AE20*AG20^2),0)</f>
        <v/>
      </c>
      <c r="AI20" s="163">
        <f>IFERROR(IF(AF20-AH20-AJ20&lt;=0,0,AF20-AH20-AJ20),0)</f>
        <v/>
      </c>
      <c r="AJ20" s="163">
        <f>AH20</f>
        <v/>
      </c>
      <c r="AK20" s="163">
        <f>IFERROR(IF(AF20&lt;((1/2*AE20*AG20^2)*2),SQRT((AF20/2)*2/AE20),AG20),0)</f>
        <v/>
      </c>
      <c r="AL20" s="163">
        <f>IFERROR(AI20/AD20,0)</f>
        <v/>
      </c>
      <c r="AM20" s="163">
        <f>AK20</f>
        <v/>
      </c>
      <c r="AN20" s="164">
        <f>IF(AC20&gt;0,AC20,SUM(AK20:AM20))</f>
        <v/>
      </c>
      <c r="AO20" s="163" t="n">
        <v>1</v>
      </c>
      <c r="AP20" s="163">
        <f>AN20*AO20</f>
        <v/>
      </c>
      <c r="AR20" s="160">
        <f>AR19+1</f>
        <v/>
      </c>
      <c r="AS20" s="165" t="inlineStr">
        <is>
          <t>Cruiser lift/ drop time</t>
        </is>
      </c>
      <c r="AT20" s="162" t="inlineStr">
        <is>
          <t>Cruiser drops pallet</t>
        </is>
      </c>
      <c r="AU20" s="163">
        <f>IFERROR(VLOOKUP(AS20,'Master List'!$A:$D,2,0),0)</f>
        <v/>
      </c>
      <c r="AV20" s="163">
        <f>IFERROR(VLOOKUP(AS20,'Master List'!$A:$D,3,0),0)</f>
        <v/>
      </c>
      <c r="AW20" s="163">
        <f>IFERROR(VLOOKUP(AS20,'Master List'!$A:$D,4,0),0)</f>
        <v/>
      </c>
      <c r="AX20" s="163" t="n"/>
      <c r="AY20" s="163">
        <f>IFERROR(AV20/AW20,0)</f>
        <v/>
      </c>
      <c r="AZ20" s="163">
        <f>IFERROR(IF(AX20&lt;((1/2*AW20*AY20^2)*2),1/2*AW20*SQRT((AX20/2)*2/AW20)^2,1/2*AW20*AY20^2),0)</f>
        <v/>
      </c>
      <c r="BA20" s="163">
        <f>IFERROR(IF(AX20-AZ20-BB20&lt;=0,0,AX20-AZ20-BB20),0)</f>
        <v/>
      </c>
      <c r="BB20" s="163">
        <f>AZ20</f>
        <v/>
      </c>
      <c r="BC20" s="163">
        <f>IFERROR(IF(AX20&lt;((1/2*AW20*AY20^2)*2),SQRT((AX20/2)*2/AW20),AY20),0)</f>
        <v/>
      </c>
      <c r="BD20" s="163">
        <f>IFERROR(BA20/AV20,0)</f>
        <v/>
      </c>
      <c r="BE20" s="163">
        <f>BC20</f>
        <v/>
      </c>
      <c r="BF20" s="164">
        <f>IF(AU20&gt;0,AU20,SUM(BC20:BE20))</f>
        <v/>
      </c>
      <c r="BG20" s="163" t="n">
        <v>1</v>
      </c>
      <c r="BH20" s="163">
        <f>BF20*BG20</f>
        <v/>
      </c>
      <c r="BJ20" s="160">
        <f>BJ19+1</f>
        <v/>
      </c>
      <c r="BK20" s="165" t="n"/>
      <c r="BL20" s="162" t="n"/>
      <c r="BM20" s="163">
        <f>IFERROR(VLOOKUP(BK20,'Master List'!$A:$D,2,0),0)</f>
        <v/>
      </c>
      <c r="BN20" s="163">
        <f>IFERROR(VLOOKUP(BK20,'Master List'!$A:$D,3,0),0)</f>
        <v/>
      </c>
      <c r="BO20" s="163">
        <f>IFERROR(VLOOKUP(BK20,'Master List'!$A:$D,4,0),0)</f>
        <v/>
      </c>
      <c r="BP20" s="163" t="n"/>
      <c r="BQ20" s="163">
        <f>IFERROR(BN20/BO20,0)</f>
        <v/>
      </c>
      <c r="BR20" s="163">
        <f>IFERROR(IF(BP20&lt;((1/2*BO20*BQ20^2)*2),1/2*BO20*SQRT((BP20/2)*2/BO20)^2,1/2*BO20*BQ20^2),0)</f>
        <v/>
      </c>
      <c r="BS20" s="163">
        <f>IFERROR(IF(BP20-BR20-BT20&lt;=0,0,BP20-BR20-BT20),0)</f>
        <v/>
      </c>
      <c r="BT20" s="163">
        <f>BR20</f>
        <v/>
      </c>
      <c r="BU20" s="163">
        <f>IFERROR(IF(BP20&lt;((1/2*BO20*BQ20^2)*2),SQRT((BP20/2)*2/BO20),BQ20),0)</f>
        <v/>
      </c>
      <c r="BV20" s="163">
        <f>IFERROR(BS20/BN20,0)</f>
        <v/>
      </c>
      <c r="BW20" s="163">
        <f>BU20</f>
        <v/>
      </c>
      <c r="BX20" s="164">
        <f>IF(BM20&gt;0,BM20,SUM(BU20:BW20))</f>
        <v/>
      </c>
      <c r="BY20" s="163" t="n">
        <v>1</v>
      </c>
      <c r="BZ20" s="163">
        <f>BX20*BY20</f>
        <v/>
      </c>
      <c r="CB20" s="160">
        <f>CB19+1</f>
        <v/>
      </c>
      <c r="CC20" s="165" t="n"/>
      <c r="CD20" s="162" t="n"/>
      <c r="CE20" s="163">
        <f>IFERROR(VLOOKUP(CC20,'Master List'!$A:$D,2,0),0)</f>
        <v/>
      </c>
      <c r="CF20" s="163">
        <f>IFERROR(VLOOKUP(CC20,'Master List'!$A:$D,3,0),0)</f>
        <v/>
      </c>
      <c r="CG20" s="163">
        <f>IFERROR(VLOOKUP(CC20,'Master List'!$A:$D,4,0),0)</f>
        <v/>
      </c>
      <c r="CH20" s="163" t="n"/>
      <c r="CI20" s="163">
        <f>IFERROR(CF20/CG20,0)</f>
        <v/>
      </c>
      <c r="CJ20" s="163">
        <f>IFERROR(IF(CH20&lt;((1/2*CG20*CI20^2)*2),1/2*CG20*SQRT((CH20/2)*2/CG20)^2,1/2*CG20*CI20^2),0)</f>
        <v/>
      </c>
      <c r="CK20" s="163">
        <f>IFERROR(IF(CH20-CJ20-CL20&lt;=0,0,CH20-CJ20-CL20),0)</f>
        <v/>
      </c>
      <c r="CL20" s="163">
        <f>CJ20</f>
        <v/>
      </c>
      <c r="CM20" s="163">
        <f>IFERROR(IF(CH20&lt;((1/2*CG20*CI20^2)*2),SQRT((CH20/2)*2/CG20),CI20),0)</f>
        <v/>
      </c>
      <c r="CN20" s="163">
        <f>IFERROR(CK20/CF20,0)</f>
        <v/>
      </c>
      <c r="CO20" s="163">
        <f>CM20</f>
        <v/>
      </c>
      <c r="CP20" s="164">
        <f>IF(CE20&gt;0,CE20,SUM(CM20:CO20))</f>
        <v/>
      </c>
      <c r="CQ20" s="163" t="n"/>
      <c r="CR20" s="163">
        <f>CP20*CQ20</f>
        <v/>
      </c>
    </row>
    <row r="21">
      <c r="A21" s="33">
        <f>"Combined cycle - Near "&amp;C21&amp;" m"</f>
        <v/>
      </c>
      <c r="B21" s="52" t="n">
        <v>0.3</v>
      </c>
      <c r="C21" s="43">
        <f>B21*$B$16</f>
        <v/>
      </c>
      <c r="D21" s="43">
        <f>X4</f>
        <v/>
      </c>
      <c r="E21" s="409">
        <f>'Multi Pro Input OutPut'!$E$7/3</f>
        <v/>
      </c>
      <c r="F21" s="43">
        <f>D21*2</f>
        <v/>
      </c>
      <c r="H21" s="160">
        <f>H20+1</f>
        <v/>
      </c>
      <c r="I21" s="165" t="inlineStr">
        <is>
          <t>Pallet Chain Conveyor</t>
        </is>
      </c>
      <c r="J21" s="162" t="inlineStr">
        <is>
          <t>Pallet transferred to chain conveyor</t>
        </is>
      </c>
      <c r="K21" s="163">
        <f>IFERROR(VLOOKUP(I21,'Master List'!$A:$D,2,0),0)</f>
        <v/>
      </c>
      <c r="L21" s="163">
        <f>IFERROR(VLOOKUP(I21,'Master List'!$A:$D,3,0),0)</f>
        <v/>
      </c>
      <c r="M21" s="163">
        <f>IFERROR(VLOOKUP(I21,'Master List'!$A:$D,4,0),0)</f>
        <v/>
      </c>
      <c r="N21" s="163">
        <f>B18</f>
        <v/>
      </c>
      <c r="O21" s="163">
        <f>IFERROR(L21/M21,0)</f>
        <v/>
      </c>
      <c r="P21" s="163">
        <f>IFERROR(IF(N21&lt;((1/2*M21*O21^2)*2),1/2*M21*SQRT((N21/2)*2/M21)^2,1/2*M21*O21^2),0)</f>
        <v/>
      </c>
      <c r="Q21" s="163">
        <f>IFERROR(IF(N21-P21-R21&lt;=0,0,N21-P21-R21),0)</f>
        <v/>
      </c>
      <c r="R21" s="163">
        <f>P21</f>
        <v/>
      </c>
      <c r="S21" s="163">
        <f>IFERROR(IF(N21&lt;((1/2*M21*O21^2)*2),SQRT((N21/2)*2/M21),O21),0)</f>
        <v/>
      </c>
      <c r="T21" s="163">
        <f>IFERROR(Q21/L21,0)</f>
        <v/>
      </c>
      <c r="U21" s="163">
        <f>S21</f>
        <v/>
      </c>
      <c r="V21" s="164">
        <f>IF(K21&gt;0,K21,SUM(S21:U21))</f>
        <v/>
      </c>
      <c r="W21" s="163" t="n"/>
      <c r="X21" s="163">
        <f>V21*W21</f>
        <v/>
      </c>
      <c r="Z21" s="160">
        <f>Z20+1</f>
        <v/>
      </c>
      <c r="AA21" s="165" t="inlineStr">
        <is>
          <t>Pallet Chain Conveyor</t>
        </is>
      </c>
      <c r="AB21" s="162" t="inlineStr">
        <is>
          <t>Pallet transferred to chain conveyor</t>
        </is>
      </c>
      <c r="AC21" s="163">
        <f>IFERROR(VLOOKUP(AA21,'Master List'!$A:$D,2,0),0)</f>
        <v/>
      </c>
      <c r="AD21" s="163">
        <f>IFERROR(VLOOKUP(AA21,'Master List'!$A:$D,3,0),0)</f>
        <v/>
      </c>
      <c r="AE21" s="163">
        <f>IFERROR(VLOOKUP(AA21,'Master List'!$A:$D,4,0),0)</f>
        <v/>
      </c>
      <c r="AF21" s="163">
        <f>AF9</f>
        <v/>
      </c>
      <c r="AG21" s="163">
        <f>IFERROR(AD21/AE21,0)</f>
        <v/>
      </c>
      <c r="AH21" s="163">
        <f>IFERROR(IF(AF21&lt;((1/2*AE21*AG21^2)*2),1/2*AE21*SQRT((AF21/2)*2/AE21)^2,1/2*AE21*AG21^2),0)</f>
        <v/>
      </c>
      <c r="AI21" s="163">
        <f>IFERROR(IF(AF21-AH21-AJ21&lt;=0,0,AF21-AH21-AJ21),0)</f>
        <v/>
      </c>
      <c r="AJ21" s="163">
        <f>AH21</f>
        <v/>
      </c>
      <c r="AK21" s="163">
        <f>IFERROR(IF(AF21&lt;((1/2*AE21*AG21^2)*2),SQRT((AF21/2)*2/AE21),AG21),0)</f>
        <v/>
      </c>
      <c r="AL21" s="163">
        <f>IFERROR(AI21/AD21,0)</f>
        <v/>
      </c>
      <c r="AM21" s="163">
        <f>AK21</f>
        <v/>
      </c>
      <c r="AN21" s="164">
        <f>IF(AC21&gt;0,AC21,SUM(AK21:AM21))</f>
        <v/>
      </c>
      <c r="AO21" s="163" t="n">
        <v>1</v>
      </c>
      <c r="AP21" s="163">
        <f>AN21*AO21</f>
        <v/>
      </c>
      <c r="AR21" s="160">
        <f>AR20+1</f>
        <v/>
      </c>
      <c r="AS21" s="165" t="inlineStr">
        <is>
          <t>Pallet Chain Conveyor</t>
        </is>
      </c>
      <c r="AT21" s="162" t="inlineStr">
        <is>
          <t>Pallet transferred to chain conveyor</t>
        </is>
      </c>
      <c r="AU21" s="163">
        <f>IFERROR(VLOOKUP(AS21,'Master List'!$A:$D,2,0),0)</f>
        <v/>
      </c>
      <c r="AV21" s="163">
        <f>IFERROR(VLOOKUP(AS21,'Master List'!$A:$D,3,0),0)</f>
        <v/>
      </c>
      <c r="AW21" s="163">
        <f>IFERROR(VLOOKUP(AS21,'Master List'!$A:$D,4,0),0)</f>
        <v/>
      </c>
      <c r="AX21" s="163">
        <f>B18</f>
        <v/>
      </c>
      <c r="AY21" s="163">
        <f>IFERROR(AV21/AW21,0)</f>
        <v/>
      </c>
      <c r="AZ21" s="163">
        <f>IFERROR(IF(AX21&lt;((1/2*AW21*AY21^2)*2),1/2*AW21*SQRT((AX21/2)*2/AW21)^2,1/2*AW21*AY21^2),0)</f>
        <v/>
      </c>
      <c r="BA21" s="163">
        <f>IFERROR(IF(AX21-AZ21-BB21&lt;=0,0,AX21-AZ21-BB21),0)</f>
        <v/>
      </c>
      <c r="BB21" s="163">
        <f>AZ21</f>
        <v/>
      </c>
      <c r="BC21" s="163">
        <f>IFERROR(IF(AX21&lt;((1/2*AW21*AY21^2)*2),SQRT((AX21/2)*2/AW21),AY21),0)</f>
        <v/>
      </c>
      <c r="BD21" s="163">
        <f>IFERROR(BA21/AV21,0)</f>
        <v/>
      </c>
      <c r="BE21" s="163">
        <f>BC21</f>
        <v/>
      </c>
      <c r="BF21" s="164">
        <f>IF(AU21&gt;0,AU21,SUM(BC21:BE21))</f>
        <v/>
      </c>
      <c r="BG21" s="163" t="n">
        <v>1</v>
      </c>
      <c r="BH21" s="163">
        <f>BF21*BG21</f>
        <v/>
      </c>
      <c r="BJ21" s="160">
        <f>BJ20+1</f>
        <v/>
      </c>
      <c r="BK21" s="165" t="n"/>
      <c r="BL21" s="162" t="n"/>
      <c r="BM21" s="163">
        <f>IFERROR(VLOOKUP(BK21,'Master List'!$A:$D,2,0),0)</f>
        <v/>
      </c>
      <c r="BN21" s="163">
        <f>IFERROR(VLOOKUP(BK21,'Master List'!$A:$D,3,0),0)</f>
        <v/>
      </c>
      <c r="BO21" s="163">
        <f>IFERROR(VLOOKUP(BK21,'Master List'!$A:$D,4,0),0)</f>
        <v/>
      </c>
      <c r="BP21" s="163" t="n"/>
      <c r="BQ21" s="163">
        <f>IFERROR(BN21/BO21,0)</f>
        <v/>
      </c>
      <c r="BR21" s="163">
        <f>IFERROR(IF(BP21&lt;((1/2*BO21*BQ21^2)*2),1/2*BO21*SQRT((BP21/2)*2/BO21)^2,1/2*BO21*BQ21^2),0)</f>
        <v/>
      </c>
      <c r="BS21" s="163">
        <f>IFERROR(IF(BP21-BR21-BT21&lt;=0,0,BP21-BR21-BT21),0)</f>
        <v/>
      </c>
      <c r="BT21" s="163">
        <f>BR21</f>
        <v/>
      </c>
      <c r="BU21" s="163">
        <f>IFERROR(IF(BP21&lt;((1/2*BO21*BQ21^2)*2),SQRT((BP21/2)*2/BO21),BQ21),0)</f>
        <v/>
      </c>
      <c r="BV21" s="163">
        <f>IFERROR(BS21/BN21,0)</f>
        <v/>
      </c>
      <c r="BW21" s="163">
        <f>BU21</f>
        <v/>
      </c>
      <c r="BX21" s="164">
        <f>IF(BM21&gt;0,BM21,SUM(BU21:BW21))</f>
        <v/>
      </c>
      <c r="BY21" s="163" t="n">
        <v>1</v>
      </c>
      <c r="BZ21" s="163">
        <f>BX21*BY21</f>
        <v/>
      </c>
      <c r="CB21" s="160">
        <f>CB20+1</f>
        <v/>
      </c>
      <c r="CC21" s="165" t="n"/>
      <c r="CD21" s="162" t="n"/>
      <c r="CE21" s="163">
        <f>IFERROR(VLOOKUP(CC21,'Master List'!$A:$D,2,0),0)</f>
        <v/>
      </c>
      <c r="CF21" s="163">
        <f>IFERROR(VLOOKUP(CC21,'Master List'!$A:$D,3,0),0)</f>
        <v/>
      </c>
      <c r="CG21" s="163">
        <f>IFERROR(VLOOKUP(CC21,'Master List'!$A:$D,4,0),0)</f>
        <v/>
      </c>
      <c r="CH21" s="163" t="n"/>
      <c r="CI21" s="163">
        <f>IFERROR(CF21/CG21,0)</f>
        <v/>
      </c>
      <c r="CJ21" s="163">
        <f>IFERROR(IF(CH21&lt;((1/2*CG21*CI21^2)*2),1/2*CG21*SQRT((CH21/2)*2/CG21)^2,1/2*CG21*CI21^2),0)</f>
        <v/>
      </c>
      <c r="CK21" s="163">
        <f>IFERROR(IF(CH21-CJ21-CL21&lt;=0,0,CH21-CJ21-CL21),0)</f>
        <v/>
      </c>
      <c r="CL21" s="163">
        <f>CJ21</f>
        <v/>
      </c>
      <c r="CM21" s="163">
        <f>IFERROR(IF(CH21&lt;((1/2*CG21*CI21^2)*2),SQRT((CH21/2)*2/CG21),CI21),0)</f>
        <v/>
      </c>
      <c r="CN21" s="163">
        <f>IFERROR(CK21/CF21,0)</f>
        <v/>
      </c>
      <c r="CO21" s="163">
        <f>CM21</f>
        <v/>
      </c>
      <c r="CP21" s="164">
        <f>IF(CE21&gt;0,CE21,SUM(CM21:CO21))</f>
        <v/>
      </c>
      <c r="CQ21" s="163" t="n"/>
      <c r="CR21" s="163">
        <f>CP21*CQ21</f>
        <v/>
      </c>
    </row>
    <row r="22">
      <c r="A22" s="33">
        <f>"Combined cycle - Mid "&amp;C22&amp;" m"</f>
        <v/>
      </c>
      <c r="B22" s="52" t="n">
        <v>0.7</v>
      </c>
      <c r="C22" s="43">
        <f>B22*$B$16</f>
        <v/>
      </c>
      <c r="D22" s="43">
        <f>AP4</f>
        <v/>
      </c>
      <c r="E22" s="409">
        <f>'Multi Pro Input OutPut'!$E$7/3</f>
        <v/>
      </c>
      <c r="F22" s="43">
        <f>D22*2</f>
        <v/>
      </c>
      <c r="H22" s="160">
        <f>H21+1</f>
        <v/>
      </c>
      <c r="I22" s="165" t="n"/>
      <c r="J22" s="162" t="n"/>
      <c r="K22" s="163">
        <f>IFERROR(VLOOKUP(I22,'Master List'!$A:$D,2,0),0)</f>
        <v/>
      </c>
      <c r="L22" s="163">
        <f>IFERROR(VLOOKUP(I22,'Master List'!$A:$D,3,0),0)</f>
        <v/>
      </c>
      <c r="M22" s="163">
        <f>IFERROR(VLOOKUP(I22,'Master List'!$A:$D,4,0),0)</f>
        <v/>
      </c>
      <c r="N22" s="163">
        <f>B19</f>
        <v/>
      </c>
      <c r="O22" s="163">
        <f>IFERROR(L22/M22,0)</f>
        <v/>
      </c>
      <c r="P22" s="163">
        <f>IFERROR(IF(N22&lt;((1/2*M22*O22^2)*2),1/2*M22*SQRT((N22/2)*2/M22)^2,1/2*M22*O22^2),0)</f>
        <v/>
      </c>
      <c r="Q22" s="163">
        <f>IFERROR(IF(N22-P22-R22&lt;=0,0,N22-P22-R22),0)</f>
        <v/>
      </c>
      <c r="R22" s="163">
        <f>P22</f>
        <v/>
      </c>
      <c r="S22" s="163">
        <f>IFERROR(IF(N22&lt;((1/2*M22*O22^2)*2),SQRT((N22/2)*2/M22),O22),0)</f>
        <v/>
      </c>
      <c r="T22" s="163">
        <f>IFERROR(Q22/L22,0)</f>
        <v/>
      </c>
      <c r="U22" s="163">
        <f>S22</f>
        <v/>
      </c>
      <c r="V22" s="164">
        <f>IF(K22&gt;0,K22,SUM(S22:U22))</f>
        <v/>
      </c>
      <c r="W22" s="163" t="n"/>
      <c r="X22" s="163">
        <f>V22*W22</f>
        <v/>
      </c>
      <c r="Z22" s="160">
        <f>Z21+1</f>
        <v/>
      </c>
      <c r="AA22" s="465" t="n"/>
      <c r="AB22" s="466" t="n"/>
      <c r="AC22" s="167">
        <f>IFERROR(VLOOKUP(AA22,'Master List'!$A:$D,2,0),0)</f>
        <v/>
      </c>
      <c r="AD22" s="167">
        <f>IFERROR(VLOOKUP(AA22,'Master List'!$A:$D,3,0),0)</f>
        <v/>
      </c>
      <c r="AE22" s="167">
        <f>IFERROR(VLOOKUP(AA22,'Master List'!$A:$D,4,0),0)</f>
        <v/>
      </c>
      <c r="AF22" s="167" t="n"/>
      <c r="AG22" s="167">
        <f>IFERROR(AD22/AE22,0)</f>
        <v/>
      </c>
      <c r="AH22" s="167">
        <f>IFERROR(IF(AF22&lt;((1/2*AE22*AG22^2)*2),1/2*AE22*SQRT((AF22/2)*2/AE22)^2,1/2*AE22*AG22^2),0)</f>
        <v/>
      </c>
      <c r="AI22" s="167">
        <f>IFERROR(IF(AF22-AH22-AJ22&lt;=0,0,AF22-AH22-AJ22),0)</f>
        <v/>
      </c>
      <c r="AJ22" s="167">
        <f>AH22</f>
        <v/>
      </c>
      <c r="AK22" s="167">
        <f>IFERROR(IF(AF22&lt;((1/2*AE22*AG22^2)*2),SQRT((AF22/2)*2/AE22),AG22),0)</f>
        <v/>
      </c>
      <c r="AL22" s="167">
        <f>IFERROR(AI22/AD22,0)</f>
        <v/>
      </c>
      <c r="AM22" s="167">
        <f>AK22</f>
        <v/>
      </c>
      <c r="AN22" s="167">
        <f>IF(AC22&gt;0,AC22,SUM(AK22:AM22))</f>
        <v/>
      </c>
      <c r="AO22" s="167" t="n"/>
      <c r="AP22" s="167">
        <f>AN22*AO22</f>
        <v/>
      </c>
      <c r="AR22" s="160">
        <f>AR21+1</f>
        <v/>
      </c>
      <c r="AS22" s="465" t="n"/>
      <c r="AT22" s="466" t="n"/>
      <c r="AU22" s="167">
        <f>IFERROR(VLOOKUP(AS22,'Master List'!$A:$D,2,0),0)</f>
        <v/>
      </c>
      <c r="AV22" s="167">
        <f>IFERROR(VLOOKUP(AS22,'Master List'!$A:$D,3,0),0)</f>
        <v/>
      </c>
      <c r="AW22" s="167">
        <f>IFERROR(VLOOKUP(AS22,'Master List'!$A:$D,4,0),0)</f>
        <v/>
      </c>
      <c r="AX22" s="167" t="n"/>
      <c r="AY22" s="167">
        <f>IFERROR(AV22/AW22,0)</f>
        <v/>
      </c>
      <c r="AZ22" s="167">
        <f>IFERROR(IF(AX22&lt;((1/2*AW22*AY22^2)*2),1/2*AW22*SQRT((AX22/2)*2/AW22)^2,1/2*AW22*AY22^2),0)</f>
        <v/>
      </c>
      <c r="BA22" s="167">
        <f>IFERROR(IF(AX22-AZ22-BB22&lt;=0,0,AX22-AZ22-BB22),0)</f>
        <v/>
      </c>
      <c r="BB22" s="167">
        <f>AZ22</f>
        <v/>
      </c>
      <c r="BC22" s="167">
        <f>IFERROR(IF(AX22&lt;((1/2*AW22*AY22^2)*2),SQRT((AX22/2)*2/AW22),AY22),0)</f>
        <v/>
      </c>
      <c r="BD22" s="167">
        <f>IFERROR(BA22/AV22,0)</f>
        <v/>
      </c>
      <c r="BE22" s="167">
        <f>BC22</f>
        <v/>
      </c>
      <c r="BF22" s="167">
        <f>IF(AU22&gt;0,AU22,SUM(BC22:BE22))</f>
        <v/>
      </c>
      <c r="BG22" s="167" t="n"/>
      <c r="BH22" s="167">
        <f>BF22*BG22</f>
        <v/>
      </c>
      <c r="BJ22" s="160">
        <f>BJ21+1</f>
        <v/>
      </c>
      <c r="BK22" s="465" t="n"/>
      <c r="BL22" s="466" t="n"/>
      <c r="BM22" s="167">
        <f>IFERROR(VLOOKUP(BK22,'Master List'!$A:$D,2,0),0)</f>
        <v/>
      </c>
      <c r="BN22" s="167">
        <f>IFERROR(VLOOKUP(BK22,'Master List'!$A:$D,3,0),0)</f>
        <v/>
      </c>
      <c r="BO22" s="167">
        <f>IFERROR(VLOOKUP(BK22,'Master List'!$A:$D,4,0),0)</f>
        <v/>
      </c>
      <c r="BP22" s="167" t="n"/>
      <c r="BQ22" s="167">
        <f>IFERROR(BN22/BO22,0)</f>
        <v/>
      </c>
      <c r="BR22" s="167">
        <f>IFERROR(IF(BP22&lt;((1/2*BO22*BQ22^2)*2),1/2*BO22*SQRT((BP22/2)*2/BO22)^2,1/2*BO22*BQ22^2),0)</f>
        <v/>
      </c>
      <c r="BS22" s="167">
        <f>IFERROR(IF(BP22-BR22-BT22&lt;=0,0,BP22-BR22-BT22),0)</f>
        <v/>
      </c>
      <c r="BT22" s="167">
        <f>BR22</f>
        <v/>
      </c>
      <c r="BU22" s="167">
        <f>IFERROR(IF(BP22&lt;((1/2*BO22*BQ22^2)*2),SQRT((BP22/2)*2/BO22),BQ22),0)</f>
        <v/>
      </c>
      <c r="BV22" s="167">
        <f>IFERROR(BS22/BN22,0)</f>
        <v/>
      </c>
      <c r="BW22" s="167">
        <f>BU22</f>
        <v/>
      </c>
      <c r="BX22" s="167">
        <f>IF(BM22&gt;0,BM22,SUM(BU22:BW22))</f>
        <v/>
      </c>
      <c r="BY22" s="167" t="n"/>
      <c r="BZ22" s="167">
        <f>BX22*BY22</f>
        <v/>
      </c>
      <c r="CB22" s="160">
        <f>CB21+1</f>
        <v/>
      </c>
      <c r="CC22" s="465" t="n"/>
      <c r="CD22" s="466" t="n"/>
      <c r="CE22" s="167">
        <f>IFERROR(VLOOKUP(CC22,'Master List'!$A:$D,2,0),0)</f>
        <v/>
      </c>
      <c r="CF22" s="167">
        <f>IFERROR(VLOOKUP(CC22,'Master List'!$A:$D,3,0),0)</f>
        <v/>
      </c>
      <c r="CG22" s="167">
        <f>IFERROR(VLOOKUP(CC22,'Master List'!$A:$D,4,0),0)</f>
        <v/>
      </c>
      <c r="CH22" s="167" t="n"/>
      <c r="CI22" s="167">
        <f>IFERROR(CF22/CG22,0)</f>
        <v/>
      </c>
      <c r="CJ22" s="167">
        <f>IFERROR(IF(CH22&lt;((1/2*CG22*CI22^2)*2),1/2*CG22*SQRT((CH22/2)*2/CG22)^2,1/2*CG22*CI22^2),0)</f>
        <v/>
      </c>
      <c r="CK22" s="167">
        <f>IFERROR(IF(CH22-CJ22-CL22&lt;=0,0,CH22-CJ22-CL22),0)</f>
        <v/>
      </c>
      <c r="CL22" s="167">
        <f>CJ22</f>
        <v/>
      </c>
      <c r="CM22" s="167">
        <f>IFERROR(IF(CH22&lt;((1/2*CG22*CI22^2)*2),SQRT((CH22/2)*2/CG22),CI22),0)</f>
        <v/>
      </c>
      <c r="CN22" s="167">
        <f>IFERROR(CK22/CF22,0)</f>
        <v/>
      </c>
      <c r="CO22" s="167">
        <f>CM22</f>
        <v/>
      </c>
      <c r="CP22" s="167">
        <f>IF(CE22&gt;0,CE22,SUM(CM22:CO22))</f>
        <v/>
      </c>
      <c r="CQ22" s="167" t="n"/>
      <c r="CR22" s="167">
        <f>CP22*CQ22</f>
        <v/>
      </c>
    </row>
    <row r="23">
      <c r="A23" s="33">
        <f>"Combined cycle - Far "&amp;C23&amp;" m"</f>
        <v/>
      </c>
      <c r="B23" s="52" t="n">
        <v>1</v>
      </c>
      <c r="C23" s="43">
        <f>B23*$B$16</f>
        <v/>
      </c>
      <c r="D23" s="43">
        <f>BH4</f>
        <v/>
      </c>
      <c r="E23" s="409">
        <f>'Multi Pro Input OutPut'!$E$7/3</f>
        <v/>
      </c>
      <c r="F23" s="43">
        <f>D23*2</f>
        <v/>
      </c>
      <c r="H23" s="160">
        <f>H22+1</f>
        <v/>
      </c>
      <c r="I23" s="161" t="n"/>
      <c r="J23" s="162" t="n"/>
      <c r="K23" s="163">
        <f>IFERROR(VLOOKUP(I23,'Master List'!$A:$D,2,0),0)</f>
        <v/>
      </c>
      <c r="L23" s="163">
        <f>IFERROR(VLOOKUP(I23,'Master List'!$A:$D,3,0),0)</f>
        <v/>
      </c>
      <c r="M23" s="163">
        <f>IFERROR(VLOOKUP(I23,'Master List'!$A:$D,4,0),0)</f>
        <v/>
      </c>
      <c r="N23" s="163" t="n"/>
      <c r="O23" s="163">
        <f>IFERROR(L23/M23,0)</f>
        <v/>
      </c>
      <c r="P23" s="163">
        <f>IFERROR(IF(N23&lt;((1/2*M23*O23^2)*2),1/2*M23*SQRT((N23/2)*2/M23)^2,1/2*M23*O23^2),0)</f>
        <v/>
      </c>
      <c r="Q23" s="163">
        <f>IFERROR(IF(N23-P23-R23&lt;=0,0,N23-P23-R23),0)</f>
        <v/>
      </c>
      <c r="R23" s="163">
        <f>P23</f>
        <v/>
      </c>
      <c r="S23" s="163">
        <f>IFERROR(IF(N23&lt;((1/2*M23*O23^2)*2),SQRT((N23/2)*2/M23),O23),0)</f>
        <v/>
      </c>
      <c r="T23" s="163">
        <f>IFERROR(Q23/L23,0)</f>
        <v/>
      </c>
      <c r="U23" s="163">
        <f>S23</f>
        <v/>
      </c>
      <c r="V23" s="163">
        <f>IF(K23&gt;0,K23,SUM(S23:U23))</f>
        <v/>
      </c>
      <c r="W23" s="163" t="n"/>
      <c r="X23" s="163" t="n"/>
      <c r="Z23" s="160">
        <f>Z22+1</f>
        <v/>
      </c>
      <c r="AA23" s="161" t="n"/>
      <c r="AB23" s="162" t="n"/>
      <c r="AC23" s="163">
        <f>IFERROR(VLOOKUP(AA23,'Master List'!$A:$D,2,0),0)</f>
        <v/>
      </c>
      <c r="AD23" s="163">
        <f>IFERROR(VLOOKUP(AA23,'Master List'!$A:$D,3,0),0)</f>
        <v/>
      </c>
      <c r="AE23" s="163">
        <f>IFERROR(VLOOKUP(AA23,'Master List'!$A:$D,4,0),0)</f>
        <v/>
      </c>
      <c r="AF23" s="163" t="n"/>
      <c r="AG23" s="163">
        <f>IFERROR(AD23/AE23,0)</f>
        <v/>
      </c>
      <c r="AH23" s="163">
        <f>IFERROR(IF(AF23&lt;((1/2*AE23*AG23^2)*2),1/2*AE23*SQRT((AF23/2)*2/AE23)^2,1/2*AE23*AG23^2),0)</f>
        <v/>
      </c>
      <c r="AI23" s="163">
        <f>IFERROR(IF(AF23-AH23-AJ23&lt;=0,0,AF23-AH23-AJ23),0)</f>
        <v/>
      </c>
      <c r="AJ23" s="163">
        <f>AH23</f>
        <v/>
      </c>
      <c r="AK23" s="163">
        <f>IFERROR(IF(AF23&lt;((1/2*AE23*AG23^2)*2),SQRT((AF23/2)*2/AE23),AG23),0)</f>
        <v/>
      </c>
      <c r="AL23" s="163">
        <f>IFERROR(AI23/AD23,0)</f>
        <v/>
      </c>
      <c r="AM23" s="163">
        <f>AK23</f>
        <v/>
      </c>
      <c r="AN23" s="163">
        <f>IF(AC23&gt;0,AC23,SUM(AK23:AM23))</f>
        <v/>
      </c>
      <c r="AO23" s="163" t="n"/>
      <c r="AP23" s="163">
        <f>AN23*AO23</f>
        <v/>
      </c>
      <c r="AR23" s="160">
        <f>AR22+1</f>
        <v/>
      </c>
      <c r="AS23" s="161" t="n"/>
      <c r="AT23" s="162" t="n"/>
      <c r="AU23" s="163">
        <f>IFERROR(VLOOKUP(AS23,'Master List'!$A:$D,2,0),0)</f>
        <v/>
      </c>
      <c r="AV23" s="163">
        <f>IFERROR(VLOOKUP(AS23,'Master List'!$A:$D,3,0),0)</f>
        <v/>
      </c>
      <c r="AW23" s="163">
        <f>IFERROR(VLOOKUP(AS23,'Master List'!$A:$D,4,0),0)</f>
        <v/>
      </c>
      <c r="AX23" s="163" t="n"/>
      <c r="AY23" s="163">
        <f>IFERROR(AV23/AW23,0)</f>
        <v/>
      </c>
      <c r="AZ23" s="163">
        <f>IFERROR(IF(AX23&lt;((1/2*AW23*AY23^2)*2),1/2*AW23*SQRT((AX23/2)*2/AW23)^2,1/2*AW23*AY23^2),0)</f>
        <v/>
      </c>
      <c r="BA23" s="163">
        <f>IFERROR(IF(AX23-AZ23-BB23&lt;=0,0,AX23-AZ23-BB23),0)</f>
        <v/>
      </c>
      <c r="BB23" s="163">
        <f>AZ23</f>
        <v/>
      </c>
      <c r="BC23" s="163">
        <f>IFERROR(IF(AX23&lt;((1/2*AW23*AY23^2)*2),SQRT((AX23/2)*2/AW23),AY23),0)</f>
        <v/>
      </c>
      <c r="BD23" s="163">
        <f>IFERROR(BA23/AV23,0)</f>
        <v/>
      </c>
      <c r="BE23" s="163">
        <f>BC23</f>
        <v/>
      </c>
      <c r="BF23" s="163">
        <f>IF(AU23&gt;0,AU23,SUM(BC23:BE23))</f>
        <v/>
      </c>
      <c r="BG23" s="163" t="n"/>
      <c r="BH23" s="163">
        <f>BF23*BG23</f>
        <v/>
      </c>
      <c r="BJ23" s="160">
        <f>BJ22+1</f>
        <v/>
      </c>
      <c r="BK23" s="161" t="n"/>
      <c r="BL23" s="162" t="n"/>
      <c r="BM23" s="163">
        <f>IFERROR(VLOOKUP(BK23,'Master List'!$A:$D,2,0),0)</f>
        <v/>
      </c>
      <c r="BN23" s="163">
        <f>IFERROR(VLOOKUP(BK23,'Master List'!$A:$D,3,0),0)</f>
        <v/>
      </c>
      <c r="BO23" s="163">
        <f>IFERROR(VLOOKUP(BK23,'Master List'!$A:$D,4,0),0)</f>
        <v/>
      </c>
      <c r="BP23" s="163" t="n"/>
      <c r="BQ23" s="163">
        <f>IFERROR(BN23/BO23,0)</f>
        <v/>
      </c>
      <c r="BR23" s="163">
        <f>IFERROR(IF(BP23&lt;((1/2*BO23*BQ23^2)*2),1/2*BO23*SQRT((BP23/2)*2/BO23)^2,1/2*BO23*BQ23^2),0)</f>
        <v/>
      </c>
      <c r="BS23" s="163">
        <f>IFERROR(IF(BP23-BR23-BT23&lt;=0,0,BP23-BR23-BT23),0)</f>
        <v/>
      </c>
      <c r="BT23" s="163">
        <f>BR23</f>
        <v/>
      </c>
      <c r="BU23" s="163">
        <f>IFERROR(IF(BP23&lt;((1/2*BO23*BQ23^2)*2),SQRT((BP23/2)*2/BO23),BQ23),0)</f>
        <v/>
      </c>
      <c r="BV23" s="163">
        <f>IFERROR(BS23/BN23,0)</f>
        <v/>
      </c>
      <c r="BW23" s="163">
        <f>BU23</f>
        <v/>
      </c>
      <c r="BX23" s="163">
        <f>IF(BM23&gt;0,BM23,SUM(BU23:BW23))</f>
        <v/>
      </c>
      <c r="BY23" s="163" t="n">
        <v>1</v>
      </c>
      <c r="BZ23" s="163">
        <f>BX23*BY23</f>
        <v/>
      </c>
      <c r="CB23" s="160">
        <f>CB22+1</f>
        <v/>
      </c>
      <c r="CC23" s="161" t="n"/>
      <c r="CD23" s="162" t="n"/>
      <c r="CE23" s="163">
        <f>IFERROR(VLOOKUP(CC23,'Master List'!$A:$D,2,0),0)</f>
        <v/>
      </c>
      <c r="CF23" s="163">
        <f>IFERROR(VLOOKUP(CC23,'Master List'!$A:$D,3,0),0)</f>
        <v/>
      </c>
      <c r="CG23" s="163">
        <f>IFERROR(VLOOKUP(CC23,'Master List'!$A:$D,4,0),0)</f>
        <v/>
      </c>
      <c r="CH23" s="163" t="n"/>
      <c r="CI23" s="163">
        <f>IFERROR(CF23/CG23,0)</f>
        <v/>
      </c>
      <c r="CJ23" s="163">
        <f>IFERROR(IF(CH23&lt;((1/2*CG23*CI23^2)*2),1/2*CG23*SQRT((CH23/2)*2/CG23)^2,1/2*CG23*CI23^2),0)</f>
        <v/>
      </c>
      <c r="CK23" s="163">
        <f>IFERROR(IF(CH23-CJ23-CL23&lt;=0,0,CH23-CJ23-CL23),0)</f>
        <v/>
      </c>
      <c r="CL23" s="163">
        <f>CJ23</f>
        <v/>
      </c>
      <c r="CM23" s="163">
        <f>IFERROR(IF(CH23&lt;((1/2*CG23*CI23^2)*2),SQRT((CH23/2)*2/CG23),CI23),0)</f>
        <v/>
      </c>
      <c r="CN23" s="163">
        <f>IFERROR(CK23/CF23,0)</f>
        <v/>
      </c>
      <c r="CO23" s="163">
        <f>CM23</f>
        <v/>
      </c>
      <c r="CP23" s="163">
        <f>IF(CE23&gt;0,CE23,SUM(CM23:CO23))</f>
        <v/>
      </c>
      <c r="CQ23" s="163" t="n"/>
      <c r="CR23" s="163">
        <f>CP23*CQ23</f>
        <v/>
      </c>
    </row>
    <row r="24">
      <c r="A24" s="33">
        <f>"Single cycle "&amp;C24&amp;" m"</f>
        <v/>
      </c>
      <c r="B24" s="52" t="n">
        <v>0.55</v>
      </c>
      <c r="C24" s="43">
        <f>B24*$B$16</f>
        <v/>
      </c>
      <c r="D24" s="43">
        <f>BZ4</f>
        <v/>
      </c>
      <c r="E24" s="409">
        <f>'Multi Pro Input OutPut'!E8</f>
        <v/>
      </c>
      <c r="F24" s="43">
        <f>D24*1</f>
        <v/>
      </c>
      <c r="H24" s="160">
        <f>H23+1</f>
        <v/>
      </c>
      <c r="I24" s="161" t="n"/>
      <c r="J24" s="162" t="n"/>
      <c r="K24" s="163">
        <f>IFERROR(VLOOKUP(I24,'Master List'!$A:$D,2,0),0)</f>
        <v/>
      </c>
      <c r="L24" s="163">
        <f>IFERROR(VLOOKUP(I24,'Master List'!$A:$D,3,0),0)</f>
        <v/>
      </c>
      <c r="M24" s="163">
        <f>IFERROR(VLOOKUP(I24,'Master List'!$A:$D,4,0),0)</f>
        <v/>
      </c>
      <c r="N24" s="163" t="n"/>
      <c r="O24" s="163">
        <f>IFERROR(L24/M24,0)</f>
        <v/>
      </c>
      <c r="P24" s="163">
        <f>IFERROR(IF(N24&lt;((1/2*M24*O24^2)*2),1/2*M24*SQRT((N24/2)*2/M24)^2,1/2*M24*O24^2),0)</f>
        <v/>
      </c>
      <c r="Q24" s="163">
        <f>IFERROR(IF(N24-P24-R24&lt;=0,0,N24-P24-R24),0)</f>
        <v/>
      </c>
      <c r="R24" s="163">
        <f>P24</f>
        <v/>
      </c>
      <c r="S24" s="163">
        <f>IFERROR(IF(N24&lt;((1/2*M24*O24^2)*2),SQRT((N24/2)*2/M24),O24),0)</f>
        <v/>
      </c>
      <c r="T24" s="163">
        <f>IFERROR(Q24/L24,0)</f>
        <v/>
      </c>
      <c r="U24" s="163">
        <f>S24</f>
        <v/>
      </c>
      <c r="V24" s="163">
        <f>IF(K24&gt;0,K24,SUM(S24:U24))</f>
        <v/>
      </c>
      <c r="W24" s="163" t="n"/>
      <c r="X24" s="163" t="n"/>
      <c r="Z24" s="160">
        <f>Z23+1</f>
        <v/>
      </c>
      <c r="AA24" s="161" t="n"/>
      <c r="AB24" s="162" t="n"/>
      <c r="AC24" s="163">
        <f>IFERROR(VLOOKUP(AA24,'Master List'!$A:$D,2,0),0)</f>
        <v/>
      </c>
      <c r="AD24" s="163">
        <f>IFERROR(VLOOKUP(AA24,'Master List'!$A:$D,3,0),0)</f>
        <v/>
      </c>
      <c r="AE24" s="163">
        <f>IFERROR(VLOOKUP(AA24,'Master List'!$A:$D,4,0),0)</f>
        <v/>
      </c>
      <c r="AF24" s="163" t="n"/>
      <c r="AG24" s="163">
        <f>IFERROR(AD24/AE24,0)</f>
        <v/>
      </c>
      <c r="AH24" s="163">
        <f>IFERROR(IF(AF24&lt;((1/2*AE24*AG24^2)*2),1/2*AE24*SQRT((AF24/2)*2/AE24)^2,1/2*AE24*AG24^2),0)</f>
        <v/>
      </c>
      <c r="AI24" s="163">
        <f>IFERROR(IF(AF24-AH24-AJ24&lt;=0,0,AF24-AH24-AJ24),0)</f>
        <v/>
      </c>
      <c r="AJ24" s="163">
        <f>AH24</f>
        <v/>
      </c>
      <c r="AK24" s="163">
        <f>IFERROR(IF(AF24&lt;((1/2*AE24*AG24^2)*2),SQRT((AF24/2)*2/AE24),AG24),0)</f>
        <v/>
      </c>
      <c r="AL24" s="163">
        <f>IFERROR(AI24/AD24,0)</f>
        <v/>
      </c>
      <c r="AM24" s="163">
        <f>AK24</f>
        <v/>
      </c>
      <c r="AN24" s="163">
        <f>IF(AC24&gt;0,AC24,SUM(AK24:AM24))</f>
        <v/>
      </c>
      <c r="AO24" s="163" t="n"/>
      <c r="AP24" s="163">
        <f>AN24*AO24</f>
        <v/>
      </c>
      <c r="AR24" s="160">
        <f>AR23+1</f>
        <v/>
      </c>
      <c r="AS24" s="161" t="n"/>
      <c r="AT24" s="162" t="n"/>
      <c r="AU24" s="163">
        <f>IFERROR(VLOOKUP(AS24,'Master List'!$A:$D,2,0),0)</f>
        <v/>
      </c>
      <c r="AV24" s="163">
        <f>IFERROR(VLOOKUP(AS24,'Master List'!$A:$D,3,0),0)</f>
        <v/>
      </c>
      <c r="AW24" s="163">
        <f>IFERROR(VLOOKUP(AS24,'Master List'!$A:$D,4,0),0)</f>
        <v/>
      </c>
      <c r="AX24" s="163" t="n"/>
      <c r="AY24" s="163">
        <f>IFERROR(AV24/AW24,0)</f>
        <v/>
      </c>
      <c r="AZ24" s="163">
        <f>IFERROR(IF(AX24&lt;((1/2*AW24*AY24^2)*2),1/2*AW24*SQRT((AX24/2)*2/AW24)^2,1/2*AW24*AY24^2),0)</f>
        <v/>
      </c>
      <c r="BA24" s="163">
        <f>IFERROR(IF(AX24-AZ24-BB24&lt;=0,0,AX24-AZ24-BB24),0)</f>
        <v/>
      </c>
      <c r="BB24" s="163">
        <f>AZ24</f>
        <v/>
      </c>
      <c r="BC24" s="163">
        <f>IFERROR(IF(AX24&lt;((1/2*AW24*AY24^2)*2),SQRT((AX24/2)*2/AW24),AY24),0)</f>
        <v/>
      </c>
      <c r="BD24" s="163">
        <f>IFERROR(BA24/AV24,0)</f>
        <v/>
      </c>
      <c r="BE24" s="163">
        <f>BC24</f>
        <v/>
      </c>
      <c r="BF24" s="163">
        <f>IF(AU24&gt;0,AU24,SUM(BC24:BE24))</f>
        <v/>
      </c>
      <c r="BG24" s="163" t="n"/>
      <c r="BH24" s="163">
        <f>BF24*BG24</f>
        <v/>
      </c>
      <c r="BJ24" s="160">
        <f>BJ23+1</f>
        <v/>
      </c>
      <c r="BK24" s="161" t="n"/>
      <c r="BL24" s="162" t="n"/>
      <c r="BM24" s="163">
        <f>IFERROR(VLOOKUP(BK24,'Master List'!$A:$D,2,0),0)</f>
        <v/>
      </c>
      <c r="BN24" s="163">
        <f>IFERROR(VLOOKUP(BK24,'Master List'!$A:$D,3,0),0)</f>
        <v/>
      </c>
      <c r="BO24" s="163">
        <f>IFERROR(VLOOKUP(BK24,'Master List'!$A:$D,4,0),0)</f>
        <v/>
      </c>
      <c r="BP24" s="163" t="n"/>
      <c r="BQ24" s="163">
        <f>IFERROR(BN24/BO24,0)</f>
        <v/>
      </c>
      <c r="BR24" s="163">
        <f>IFERROR(IF(BP24&lt;((1/2*BO24*BQ24^2)*2),1/2*BO24*SQRT((BP24/2)*2/BO24)^2,1/2*BO24*BQ24^2),0)</f>
        <v/>
      </c>
      <c r="BS24" s="163">
        <f>IFERROR(IF(BP24-BR24-BT24&lt;=0,0,BP24-BR24-BT24),0)</f>
        <v/>
      </c>
      <c r="BT24" s="163">
        <f>BR24</f>
        <v/>
      </c>
      <c r="BU24" s="163">
        <f>IFERROR(IF(BP24&lt;((1/2*BO24*BQ24^2)*2),SQRT((BP24/2)*2/BO24),BQ24),0)</f>
        <v/>
      </c>
      <c r="BV24" s="163">
        <f>IFERROR(BS24/BN24,0)</f>
        <v/>
      </c>
      <c r="BW24" s="163">
        <f>BU24</f>
        <v/>
      </c>
      <c r="BX24" s="163">
        <f>IF(BM24&gt;0,BM24,SUM(BU24:BW24))</f>
        <v/>
      </c>
      <c r="BY24" s="163" t="n">
        <v>1</v>
      </c>
      <c r="BZ24" s="163">
        <f>BX24*BY24</f>
        <v/>
      </c>
      <c r="CB24" s="160">
        <f>CB23+1</f>
        <v/>
      </c>
      <c r="CC24" s="161" t="n"/>
      <c r="CD24" s="162" t="n"/>
      <c r="CE24" s="163">
        <f>IFERROR(VLOOKUP(CC24,'Master List'!$A:$D,2,0),0)</f>
        <v/>
      </c>
      <c r="CF24" s="163">
        <f>IFERROR(VLOOKUP(CC24,'Master List'!$A:$D,3,0),0)</f>
        <v/>
      </c>
      <c r="CG24" s="163">
        <f>IFERROR(VLOOKUP(CC24,'Master List'!$A:$D,4,0),0)</f>
        <v/>
      </c>
      <c r="CH24" s="163" t="n"/>
      <c r="CI24" s="163">
        <f>IFERROR(CF24/CG24,0)</f>
        <v/>
      </c>
      <c r="CJ24" s="163">
        <f>IFERROR(IF(CH24&lt;((1/2*CG24*CI24^2)*2),1/2*CG24*SQRT((CH24/2)*2/CG24)^2,1/2*CG24*CI24^2),0)</f>
        <v/>
      </c>
      <c r="CK24" s="163">
        <f>IFERROR(IF(CH24-CJ24-CL24&lt;=0,0,CH24-CJ24-CL24),0)</f>
        <v/>
      </c>
      <c r="CL24" s="163">
        <f>CJ24</f>
        <v/>
      </c>
      <c r="CM24" s="163">
        <f>IFERROR(IF(CH24&lt;((1/2*CG24*CI24^2)*2),SQRT((CH24/2)*2/CG24),CI24),0)</f>
        <v/>
      </c>
      <c r="CN24" s="163">
        <f>IFERROR(CK24/CF24,0)</f>
        <v/>
      </c>
      <c r="CO24" s="163">
        <f>CM24</f>
        <v/>
      </c>
      <c r="CP24" s="163">
        <f>IF(CE24&gt;0,CE24,SUM(CM24:CO24))</f>
        <v/>
      </c>
      <c r="CQ24" s="163" t="n"/>
      <c r="CR24" s="163">
        <f>CP24*CQ24</f>
        <v/>
      </c>
    </row>
    <row r="25">
      <c r="E25" s="44">
        <f>SUM(E21:E24)</f>
        <v/>
      </c>
      <c r="H25" s="160">
        <f>H24+1</f>
        <v/>
      </c>
      <c r="I25" s="161" t="n"/>
      <c r="J25" s="162" t="n"/>
      <c r="K25" s="163">
        <f>IFERROR(VLOOKUP(I25,'Master List'!$A:$D,2,0),0)</f>
        <v/>
      </c>
      <c r="L25" s="163">
        <f>IFERROR(VLOOKUP(I25,'Master List'!$A:$D,3,0),0)</f>
        <v/>
      </c>
      <c r="M25" s="163">
        <f>IFERROR(VLOOKUP(I25,'Master List'!$A:$D,4,0),0)</f>
        <v/>
      </c>
      <c r="N25" s="163" t="n"/>
      <c r="O25" s="163">
        <f>IFERROR(L25/M25,0)</f>
        <v/>
      </c>
      <c r="P25" s="163">
        <f>IFERROR(IF(N25&lt;((1/2*M25*O25^2)*2),1/2*M25*SQRT((N25/2)*2/M25)^2,1/2*M25*O25^2),0)</f>
        <v/>
      </c>
      <c r="Q25" s="163">
        <f>IFERROR(IF(N25-P25-R25&lt;=0,0,N25-P25-R25),0)</f>
        <v/>
      </c>
      <c r="R25" s="163">
        <f>P25</f>
        <v/>
      </c>
      <c r="S25" s="163">
        <f>IFERROR(IF(N25&lt;((1/2*M25*O25^2)*2),SQRT((N25/2)*2/M25),O25),0)</f>
        <v/>
      </c>
      <c r="T25" s="163">
        <f>IFERROR(Q25/L25,0)</f>
        <v/>
      </c>
      <c r="U25" s="163">
        <f>S25</f>
        <v/>
      </c>
      <c r="V25" s="163">
        <f>IF(K25&gt;0,K25,SUM(S25:U25))</f>
        <v/>
      </c>
      <c r="W25" s="163" t="n"/>
      <c r="X25" s="163" t="n"/>
      <c r="Z25" s="160">
        <f>Z24+1</f>
        <v/>
      </c>
      <c r="AA25" s="161" t="n"/>
      <c r="AB25" s="162" t="n"/>
      <c r="AC25" s="163">
        <f>IFERROR(VLOOKUP(AA25,'Master List'!$A:$D,2,0),0)</f>
        <v/>
      </c>
      <c r="AD25" s="163">
        <f>IFERROR(VLOOKUP(AA25,'Master List'!$A:$D,3,0),0)</f>
        <v/>
      </c>
      <c r="AE25" s="163">
        <f>IFERROR(VLOOKUP(AA25,'Master List'!$A:$D,4,0),0)</f>
        <v/>
      </c>
      <c r="AF25" s="163" t="n"/>
      <c r="AG25" s="163">
        <f>IFERROR(AD25/AE25,0)</f>
        <v/>
      </c>
      <c r="AH25" s="163">
        <f>IFERROR(IF(AF25&lt;((1/2*AE25*AG25^2)*2),1/2*AE25*SQRT((AF25/2)*2/AE25)^2,1/2*AE25*AG25^2),0)</f>
        <v/>
      </c>
      <c r="AI25" s="163">
        <f>IFERROR(IF(AF25-AH25-AJ25&lt;=0,0,AF25-AH25-AJ25),0)</f>
        <v/>
      </c>
      <c r="AJ25" s="163">
        <f>AH25</f>
        <v/>
      </c>
      <c r="AK25" s="163">
        <f>IFERROR(IF(AF25&lt;((1/2*AE25*AG25^2)*2),SQRT((AF25/2)*2/AE25),AG25),0)</f>
        <v/>
      </c>
      <c r="AL25" s="163">
        <f>IFERROR(AI25/AD25,0)</f>
        <v/>
      </c>
      <c r="AM25" s="163">
        <f>AK25</f>
        <v/>
      </c>
      <c r="AN25" s="163">
        <f>IF(AC25&gt;0,AC25,SUM(AK25:AM25))</f>
        <v/>
      </c>
      <c r="AO25" s="163" t="n"/>
      <c r="AP25" s="163">
        <f>AN25*AO25</f>
        <v/>
      </c>
      <c r="AR25" s="160">
        <f>AR24+1</f>
        <v/>
      </c>
      <c r="AS25" s="161" t="n"/>
      <c r="AT25" s="162" t="n"/>
      <c r="AU25" s="163">
        <f>IFERROR(VLOOKUP(AS25,'Master List'!$A:$D,2,0),0)</f>
        <v/>
      </c>
      <c r="AV25" s="163">
        <f>IFERROR(VLOOKUP(AS25,'Master List'!$A:$D,3,0),0)</f>
        <v/>
      </c>
      <c r="AW25" s="163">
        <f>IFERROR(VLOOKUP(AS25,'Master List'!$A:$D,4,0),0)</f>
        <v/>
      </c>
      <c r="AX25" s="163" t="n"/>
      <c r="AY25" s="163">
        <f>IFERROR(AV25/AW25,0)</f>
        <v/>
      </c>
      <c r="AZ25" s="163">
        <f>IFERROR(IF(AX25&lt;((1/2*AW25*AY25^2)*2),1/2*AW25*SQRT((AX25/2)*2/AW25)^2,1/2*AW25*AY25^2),0)</f>
        <v/>
      </c>
      <c r="BA25" s="163">
        <f>IFERROR(IF(AX25-AZ25-BB25&lt;=0,0,AX25-AZ25-BB25),0)</f>
        <v/>
      </c>
      <c r="BB25" s="163">
        <f>AZ25</f>
        <v/>
      </c>
      <c r="BC25" s="163">
        <f>IFERROR(IF(AX25&lt;((1/2*AW25*AY25^2)*2),SQRT((AX25/2)*2/AW25),AY25),0)</f>
        <v/>
      </c>
      <c r="BD25" s="163">
        <f>IFERROR(BA25/AV25,0)</f>
        <v/>
      </c>
      <c r="BE25" s="163">
        <f>BC25</f>
        <v/>
      </c>
      <c r="BF25" s="163">
        <f>IF(AU25&gt;0,AU25,SUM(BC25:BE25))</f>
        <v/>
      </c>
      <c r="BG25" s="163" t="n"/>
      <c r="BH25" s="163">
        <f>BF25*BG25</f>
        <v/>
      </c>
      <c r="BJ25" s="160">
        <f>BJ24+1</f>
        <v/>
      </c>
      <c r="BK25" s="161" t="n"/>
      <c r="BL25" s="162" t="n"/>
      <c r="BM25" s="163">
        <f>IFERROR(VLOOKUP(BK25,'Master List'!$A:$D,2,0),0)</f>
        <v/>
      </c>
      <c r="BN25" s="163">
        <f>IFERROR(VLOOKUP(BK25,'Master List'!$A:$D,3,0),0)</f>
        <v/>
      </c>
      <c r="BO25" s="163">
        <f>IFERROR(VLOOKUP(BK25,'Master List'!$A:$D,4,0),0)</f>
        <v/>
      </c>
      <c r="BP25" s="163" t="n"/>
      <c r="BQ25" s="163">
        <f>IFERROR(BN25/BO25,0)</f>
        <v/>
      </c>
      <c r="BR25" s="163">
        <f>IFERROR(IF(BP25&lt;((1/2*BO25*BQ25^2)*2),1/2*BO25*SQRT((BP25/2)*2/BO25)^2,1/2*BO25*BQ25^2),0)</f>
        <v/>
      </c>
      <c r="BS25" s="163">
        <f>IFERROR(IF(BP25-BR25-BT25&lt;=0,0,BP25-BR25-BT25),0)</f>
        <v/>
      </c>
      <c r="BT25" s="163">
        <f>BR25</f>
        <v/>
      </c>
      <c r="BU25" s="163">
        <f>IFERROR(IF(BP25&lt;((1/2*BO25*BQ25^2)*2),SQRT((BP25/2)*2/BO25),BQ25),0)</f>
        <v/>
      </c>
      <c r="BV25" s="163">
        <f>IFERROR(BS25/BN25,0)</f>
        <v/>
      </c>
      <c r="BW25" s="163">
        <f>BU25</f>
        <v/>
      </c>
      <c r="BX25" s="163">
        <f>IF(BM25&gt;0,BM25,SUM(BU25:BW25))</f>
        <v/>
      </c>
      <c r="BY25" s="163" t="n">
        <v>1</v>
      </c>
      <c r="BZ25" s="163">
        <f>BX25*BY25</f>
        <v/>
      </c>
      <c r="CB25" s="160">
        <f>CB24+1</f>
        <v/>
      </c>
      <c r="CC25" s="161" t="n"/>
      <c r="CD25" s="162" t="n"/>
      <c r="CE25" s="163">
        <f>IFERROR(VLOOKUP(CC25,'Master List'!$A:$D,2,0),0)</f>
        <v/>
      </c>
      <c r="CF25" s="163">
        <f>IFERROR(VLOOKUP(CC25,'Master List'!$A:$D,3,0),0)</f>
        <v/>
      </c>
      <c r="CG25" s="163">
        <f>IFERROR(VLOOKUP(CC25,'Master List'!$A:$D,4,0),0)</f>
        <v/>
      </c>
      <c r="CH25" s="163" t="n"/>
      <c r="CI25" s="163">
        <f>IFERROR(CF25/CG25,0)</f>
        <v/>
      </c>
      <c r="CJ25" s="163">
        <f>IFERROR(IF(CH25&lt;((1/2*CG25*CI25^2)*2),1/2*CG25*SQRT((CH25/2)*2/CG25)^2,1/2*CG25*CI25^2),0)</f>
        <v/>
      </c>
      <c r="CK25" s="163">
        <f>IFERROR(IF(CH25-CJ25-CL25&lt;=0,0,CH25-CJ25-CL25),0)</f>
        <v/>
      </c>
      <c r="CL25" s="163">
        <f>CJ25</f>
        <v/>
      </c>
      <c r="CM25" s="163">
        <f>IFERROR(IF(CH25&lt;((1/2*CG25*CI25^2)*2),SQRT((CH25/2)*2/CG25),CI25),0)</f>
        <v/>
      </c>
      <c r="CN25" s="163">
        <f>IFERROR(CK25/CF25,0)</f>
        <v/>
      </c>
      <c r="CO25" s="163">
        <f>CM25</f>
        <v/>
      </c>
      <c r="CP25" s="163">
        <f>IF(CE25&gt;0,CE25,SUM(CM25:CO25))</f>
        <v/>
      </c>
      <c r="CQ25" s="163" t="n"/>
      <c r="CR25" s="163">
        <f>CP25*CQ25</f>
        <v/>
      </c>
    </row>
    <row r="26">
      <c r="A26" s="30" t="inlineStr">
        <is>
          <t>Combined cycle next location distance m</t>
        </is>
      </c>
      <c r="B26" s="533">
        <f>B16*15%</f>
        <v/>
      </c>
      <c r="H26" s="160">
        <f>H25+1</f>
        <v/>
      </c>
      <c r="I26" s="165" t="n"/>
      <c r="J26" s="162" t="n"/>
      <c r="K26" s="163">
        <f>IFERROR(VLOOKUP(I26,'Master List'!$A:$D,2,0),0)</f>
        <v/>
      </c>
      <c r="L26" s="163">
        <f>IFERROR(VLOOKUP(I26,'Master List'!$A:$D,3,0),0)</f>
        <v/>
      </c>
      <c r="M26" s="163">
        <f>IFERROR(VLOOKUP(I26,'Master List'!$A:$D,4,0),0)</f>
        <v/>
      </c>
      <c r="N26" s="163" t="n"/>
      <c r="O26" s="163">
        <f>IFERROR(L26/M26,0)</f>
        <v/>
      </c>
      <c r="P26" s="163">
        <f>IFERROR(IF(N26&lt;((1/2*M26*O26^2)*2),1/2*M26*SQRT((N26/2)*2/M26)^2,1/2*M26*O26^2),0)</f>
        <v/>
      </c>
      <c r="Q26" s="163">
        <f>IFERROR(IF(N26-P26-R26&lt;=0,0,N26-P26-R26),0)</f>
        <v/>
      </c>
      <c r="R26" s="163">
        <f>P26</f>
        <v/>
      </c>
      <c r="S26" s="163">
        <f>IFERROR(IF(N26&lt;((1/2*M26*O26^2)*2),SQRT((N26/2)*2/M26),O26),0)</f>
        <v/>
      </c>
      <c r="T26" s="163">
        <f>IFERROR(Q26/L26,0)</f>
        <v/>
      </c>
      <c r="U26" s="163">
        <f>S26</f>
        <v/>
      </c>
      <c r="V26" s="163">
        <f>IF(K26&gt;0,K26,SUM(S26:U26))</f>
        <v/>
      </c>
      <c r="W26" s="163" t="n"/>
      <c r="X26" s="163" t="n"/>
      <c r="Z26" s="160">
        <f>Z25+1</f>
        <v/>
      </c>
      <c r="AA26" s="165" t="n"/>
      <c r="AB26" s="162" t="n"/>
      <c r="AC26" s="163">
        <f>IFERROR(VLOOKUP(AA26,'Master List'!$A:$D,2,0),0)</f>
        <v/>
      </c>
      <c r="AD26" s="163">
        <f>IFERROR(VLOOKUP(AA26,'Master List'!$A:$D,3,0),0)</f>
        <v/>
      </c>
      <c r="AE26" s="163">
        <f>IFERROR(VLOOKUP(AA26,'Master List'!$A:$D,4,0),0)</f>
        <v/>
      </c>
      <c r="AF26" s="163" t="n"/>
      <c r="AG26" s="163">
        <f>IFERROR(AD26/AE26,0)</f>
        <v/>
      </c>
      <c r="AH26" s="163">
        <f>IFERROR(IF(AF26&lt;((1/2*AE26*AG26^2)*2),1/2*AE26*SQRT((AF26/2)*2/AE26)^2,1/2*AE26*AG26^2),0)</f>
        <v/>
      </c>
      <c r="AI26" s="163">
        <f>IFERROR(IF(AF26-AH26-AJ26&lt;=0,0,AF26-AH26-AJ26),0)</f>
        <v/>
      </c>
      <c r="AJ26" s="163">
        <f>AH26</f>
        <v/>
      </c>
      <c r="AK26" s="163">
        <f>IFERROR(IF(AF26&lt;((1/2*AE26*AG26^2)*2),SQRT((AF26/2)*2/AE26),AG26),0)</f>
        <v/>
      </c>
      <c r="AL26" s="163">
        <f>IFERROR(AI26/AD26,0)</f>
        <v/>
      </c>
      <c r="AM26" s="163">
        <f>AK26</f>
        <v/>
      </c>
      <c r="AN26" s="163">
        <f>IF(AC26&gt;0,AC26,SUM(AK26:AM26))</f>
        <v/>
      </c>
      <c r="AO26" s="163" t="n"/>
      <c r="AP26" s="163">
        <f>AN26*AO26</f>
        <v/>
      </c>
      <c r="AR26" s="160">
        <f>AR25+1</f>
        <v/>
      </c>
      <c r="AS26" s="165" t="n"/>
      <c r="AT26" s="162" t="n"/>
      <c r="AU26" s="163">
        <f>IFERROR(VLOOKUP(AS26,'Master List'!$A:$D,2,0),0)</f>
        <v/>
      </c>
      <c r="AV26" s="163">
        <f>IFERROR(VLOOKUP(AS26,'Master List'!$A:$D,3,0),0)</f>
        <v/>
      </c>
      <c r="AW26" s="163">
        <f>IFERROR(VLOOKUP(AS26,'Master List'!$A:$D,4,0),0)</f>
        <v/>
      </c>
      <c r="AX26" s="163" t="n"/>
      <c r="AY26" s="163">
        <f>IFERROR(AV26/AW26,0)</f>
        <v/>
      </c>
      <c r="AZ26" s="163">
        <f>IFERROR(IF(AX26&lt;((1/2*AW26*AY26^2)*2),1/2*AW26*SQRT((AX26/2)*2/AW26)^2,1/2*AW26*AY26^2),0)</f>
        <v/>
      </c>
      <c r="BA26" s="163">
        <f>IFERROR(IF(AX26-AZ26-BB26&lt;=0,0,AX26-AZ26-BB26),0)</f>
        <v/>
      </c>
      <c r="BB26" s="163">
        <f>AZ26</f>
        <v/>
      </c>
      <c r="BC26" s="163">
        <f>IFERROR(IF(AX26&lt;((1/2*AW26*AY26^2)*2),SQRT((AX26/2)*2/AW26),AY26),0)</f>
        <v/>
      </c>
      <c r="BD26" s="163">
        <f>IFERROR(BA26/AV26,0)</f>
        <v/>
      </c>
      <c r="BE26" s="163">
        <f>BC26</f>
        <v/>
      </c>
      <c r="BF26" s="163">
        <f>IF(AU26&gt;0,AU26,SUM(BC26:BE26))</f>
        <v/>
      </c>
      <c r="BG26" s="163" t="n"/>
      <c r="BH26" s="163">
        <f>BF26*BG26</f>
        <v/>
      </c>
      <c r="BJ26" s="160">
        <f>BJ25+1</f>
        <v/>
      </c>
      <c r="BK26" s="165" t="n"/>
      <c r="BL26" s="162" t="n"/>
      <c r="BM26" s="163">
        <f>IFERROR(VLOOKUP(BK26,'Master List'!$A:$D,2,0),0)</f>
        <v/>
      </c>
      <c r="BN26" s="163">
        <f>IFERROR(VLOOKUP(BK26,'Master List'!$A:$D,3,0),0)</f>
        <v/>
      </c>
      <c r="BO26" s="163">
        <f>IFERROR(VLOOKUP(BK26,'Master List'!$A:$D,4,0),0)</f>
        <v/>
      </c>
      <c r="BP26" s="163" t="n"/>
      <c r="BQ26" s="163">
        <f>IFERROR(BN26/BO26,0)</f>
        <v/>
      </c>
      <c r="BR26" s="163">
        <f>IFERROR(IF(BP26&lt;((1/2*BO26*BQ26^2)*2),1/2*BO26*SQRT((BP26/2)*2/BO26)^2,1/2*BO26*BQ26^2),0)</f>
        <v/>
      </c>
      <c r="BS26" s="163">
        <f>IFERROR(IF(BP26-BR26-BT26&lt;=0,0,BP26-BR26-BT26),0)</f>
        <v/>
      </c>
      <c r="BT26" s="163">
        <f>BR26</f>
        <v/>
      </c>
      <c r="BU26" s="163">
        <f>IFERROR(IF(BP26&lt;((1/2*BO26*BQ26^2)*2),SQRT((BP26/2)*2/BO26),BQ26),0)</f>
        <v/>
      </c>
      <c r="BV26" s="163">
        <f>IFERROR(BS26/BN26,0)</f>
        <v/>
      </c>
      <c r="BW26" s="163">
        <f>BU26</f>
        <v/>
      </c>
      <c r="BX26" s="163">
        <f>IF(BM26&gt;0,BM26,SUM(BU26:BW26))</f>
        <v/>
      </c>
      <c r="BY26" s="163" t="n">
        <v>1</v>
      </c>
      <c r="BZ26" s="163">
        <f>BX26*BY26</f>
        <v/>
      </c>
      <c r="CB26" s="160">
        <f>CB25+1</f>
        <v/>
      </c>
      <c r="CC26" s="165" t="n"/>
      <c r="CD26" s="162" t="n"/>
      <c r="CE26" s="163">
        <f>IFERROR(VLOOKUP(CC26,'Master List'!$A:$D,2,0),0)</f>
        <v/>
      </c>
      <c r="CF26" s="163">
        <f>IFERROR(VLOOKUP(CC26,'Master List'!$A:$D,3,0),0)</f>
        <v/>
      </c>
      <c r="CG26" s="163">
        <f>IFERROR(VLOOKUP(CC26,'Master List'!$A:$D,4,0),0)</f>
        <v/>
      </c>
      <c r="CH26" s="163" t="n"/>
      <c r="CI26" s="163">
        <f>IFERROR(CF26/CG26,0)</f>
        <v/>
      </c>
      <c r="CJ26" s="163">
        <f>IFERROR(IF(CH26&lt;((1/2*CG26*CI26^2)*2),1/2*CG26*SQRT((CH26/2)*2/CG26)^2,1/2*CG26*CI26^2),0)</f>
        <v/>
      </c>
      <c r="CK26" s="163">
        <f>IFERROR(IF(CH26-CJ26-CL26&lt;=0,0,CH26-CJ26-CL26),0)</f>
        <v/>
      </c>
      <c r="CL26" s="163">
        <f>CJ26</f>
        <v/>
      </c>
      <c r="CM26" s="163">
        <f>IFERROR(IF(CH26&lt;((1/2*CG26*CI26^2)*2),SQRT((CH26/2)*2/CG26),CI26),0)</f>
        <v/>
      </c>
      <c r="CN26" s="163">
        <f>IFERROR(CK26/CF26,0)</f>
        <v/>
      </c>
      <c r="CO26" s="163">
        <f>CM26</f>
        <v/>
      </c>
      <c r="CP26" s="163">
        <f>IF(CE26&gt;0,CE26,SUM(CM26:CO26))</f>
        <v/>
      </c>
      <c r="CQ26" s="163" t="n"/>
      <c r="CR26" s="163">
        <f>CP26*CQ26</f>
        <v/>
      </c>
    </row>
    <row r="27">
      <c r="A27" s="30" t="inlineStr">
        <is>
          <t>Cruiser travel length m (Avg travel length)</t>
        </is>
      </c>
      <c r="B27" s="533">
        <f>B17*50%</f>
        <v/>
      </c>
      <c r="H27" s="160">
        <f>H26+1</f>
        <v/>
      </c>
      <c r="I27" s="165" t="n"/>
      <c r="J27" s="162" t="n"/>
      <c r="K27" s="163">
        <f>IFERROR(VLOOKUP(I27,'Master List'!$A:$D,2,0),0)</f>
        <v/>
      </c>
      <c r="L27" s="163">
        <f>IFERROR(VLOOKUP(I27,'Master List'!$A:$D,3,0),0)</f>
        <v/>
      </c>
      <c r="M27" s="163">
        <f>IFERROR(VLOOKUP(I27,'Master List'!$A:$D,4,0),0)</f>
        <v/>
      </c>
      <c r="N27" s="163" t="n"/>
      <c r="O27" s="163">
        <f>IFERROR(L27/M27,0)</f>
        <v/>
      </c>
      <c r="P27" s="163">
        <f>IFERROR(IF(N27&lt;((1/2*M27*O27^2)*2),1/2*M27*SQRT((N27/2)*2/M27)^2,1/2*M27*O27^2),0)</f>
        <v/>
      </c>
      <c r="Q27" s="163">
        <f>IFERROR(IF(N27-P27-R27&lt;=0,0,N27-P27-R27),0)</f>
        <v/>
      </c>
      <c r="R27" s="163">
        <f>P27</f>
        <v/>
      </c>
      <c r="S27" s="163">
        <f>IFERROR(IF(N27&lt;((1/2*M27*O27^2)*2),SQRT((N27/2)*2/M27),O27),0)</f>
        <v/>
      </c>
      <c r="T27" s="163">
        <f>IFERROR(Q27/L27,0)</f>
        <v/>
      </c>
      <c r="U27" s="163">
        <f>S27</f>
        <v/>
      </c>
      <c r="V27" s="163">
        <f>IF(K27&gt;0,K27,SUM(S27:U27))</f>
        <v/>
      </c>
      <c r="W27" s="163" t="n"/>
      <c r="X27" s="163" t="n"/>
      <c r="Z27" s="160">
        <f>Z26+1</f>
        <v/>
      </c>
      <c r="AA27" s="165" t="n"/>
      <c r="AB27" s="162" t="n"/>
      <c r="AC27" s="163">
        <f>IFERROR(VLOOKUP(AA27,'Master List'!$A:$D,2,0),0)</f>
        <v/>
      </c>
      <c r="AD27" s="163">
        <f>IFERROR(VLOOKUP(AA27,'Master List'!$A:$D,3,0),0)</f>
        <v/>
      </c>
      <c r="AE27" s="163">
        <f>IFERROR(VLOOKUP(AA27,'Master List'!$A:$D,4,0),0)</f>
        <v/>
      </c>
      <c r="AF27" s="163" t="n"/>
      <c r="AG27" s="163">
        <f>IFERROR(AD27/AE27,0)</f>
        <v/>
      </c>
      <c r="AH27" s="163">
        <f>IFERROR(IF(AF27&lt;((1/2*AE27*AG27^2)*2),1/2*AE27*SQRT((AF27/2)*2/AE27)^2,1/2*AE27*AG27^2),0)</f>
        <v/>
      </c>
      <c r="AI27" s="163">
        <f>IFERROR(IF(AF27-AH27-AJ27&lt;=0,0,AF27-AH27-AJ27),0)</f>
        <v/>
      </c>
      <c r="AJ27" s="163">
        <f>AH27</f>
        <v/>
      </c>
      <c r="AK27" s="163">
        <f>IFERROR(IF(AF27&lt;((1/2*AE27*AG27^2)*2),SQRT((AF27/2)*2/AE27),AG27),0)</f>
        <v/>
      </c>
      <c r="AL27" s="163">
        <f>IFERROR(AI27/AD27,0)</f>
        <v/>
      </c>
      <c r="AM27" s="163">
        <f>AK27</f>
        <v/>
      </c>
      <c r="AN27" s="163">
        <f>IF(AC27&gt;0,AC27,SUM(AK27:AM27))</f>
        <v/>
      </c>
      <c r="AO27" s="163" t="n"/>
      <c r="AP27" s="163">
        <f>AN27*AO27</f>
        <v/>
      </c>
      <c r="AR27" s="160">
        <f>AR26+1</f>
        <v/>
      </c>
      <c r="AS27" s="165" t="n"/>
      <c r="AT27" s="162" t="n"/>
      <c r="AU27" s="163">
        <f>IFERROR(VLOOKUP(AS27,'Master List'!$A:$D,2,0),0)</f>
        <v/>
      </c>
      <c r="AV27" s="163">
        <f>IFERROR(VLOOKUP(AS27,'Master List'!$A:$D,3,0),0)</f>
        <v/>
      </c>
      <c r="AW27" s="163">
        <f>IFERROR(VLOOKUP(AS27,'Master List'!$A:$D,4,0),0)</f>
        <v/>
      </c>
      <c r="AX27" s="163" t="n"/>
      <c r="AY27" s="163">
        <f>IFERROR(AV27/AW27,0)</f>
        <v/>
      </c>
      <c r="AZ27" s="163">
        <f>IFERROR(IF(AX27&lt;((1/2*AW27*AY27^2)*2),1/2*AW27*SQRT((AX27/2)*2/AW27)^2,1/2*AW27*AY27^2),0)</f>
        <v/>
      </c>
      <c r="BA27" s="163">
        <f>IFERROR(IF(AX27-AZ27-BB27&lt;=0,0,AX27-AZ27-BB27),0)</f>
        <v/>
      </c>
      <c r="BB27" s="163">
        <f>AZ27</f>
        <v/>
      </c>
      <c r="BC27" s="163">
        <f>IFERROR(IF(AX27&lt;((1/2*AW27*AY27^2)*2),SQRT((AX27/2)*2/AW27),AY27),0)</f>
        <v/>
      </c>
      <c r="BD27" s="163">
        <f>IFERROR(BA27/AV27,0)</f>
        <v/>
      </c>
      <c r="BE27" s="163">
        <f>BC27</f>
        <v/>
      </c>
      <c r="BF27" s="163">
        <f>IF(AU27&gt;0,AU27,SUM(BC27:BE27))</f>
        <v/>
      </c>
      <c r="BG27" s="163" t="n"/>
      <c r="BH27" s="163">
        <f>BF27*BG27</f>
        <v/>
      </c>
      <c r="BJ27" s="160">
        <f>BJ26+1</f>
        <v/>
      </c>
      <c r="BK27" s="165" t="n"/>
      <c r="BL27" s="162" t="n"/>
      <c r="BM27" s="163">
        <f>IFERROR(VLOOKUP(BK27,'Master List'!$A:$D,2,0),0)</f>
        <v/>
      </c>
      <c r="BN27" s="163">
        <f>IFERROR(VLOOKUP(BK27,'Master List'!$A:$D,3,0),0)</f>
        <v/>
      </c>
      <c r="BO27" s="163">
        <f>IFERROR(VLOOKUP(BK27,'Master List'!$A:$D,4,0),0)</f>
        <v/>
      </c>
      <c r="BP27" s="163" t="n"/>
      <c r="BQ27" s="163">
        <f>IFERROR(BN27/BO27,0)</f>
        <v/>
      </c>
      <c r="BR27" s="163">
        <f>IFERROR(IF(BP27&lt;((1/2*BO27*BQ27^2)*2),1/2*BO27*SQRT((BP27/2)*2/BO27)^2,1/2*BO27*BQ27^2),0)</f>
        <v/>
      </c>
      <c r="BS27" s="163">
        <f>IFERROR(IF(BP27-BR27-BT27&lt;=0,0,BP27-BR27-BT27),0)</f>
        <v/>
      </c>
      <c r="BT27" s="163">
        <f>BR27</f>
        <v/>
      </c>
      <c r="BU27" s="163">
        <f>IFERROR(IF(BP27&lt;((1/2*BO27*BQ27^2)*2),SQRT((BP27/2)*2/BO27),BQ27),0)</f>
        <v/>
      </c>
      <c r="BV27" s="163">
        <f>IFERROR(BS27/BN27,0)</f>
        <v/>
      </c>
      <c r="BW27" s="163">
        <f>BU27</f>
        <v/>
      </c>
      <c r="BX27" s="163">
        <f>IF(BM27&gt;0,BM27,SUM(BU27:BW27))</f>
        <v/>
      </c>
      <c r="BY27" s="163" t="n">
        <v>1</v>
      </c>
      <c r="BZ27" s="163">
        <f>BX27*BY27</f>
        <v/>
      </c>
      <c r="CB27" s="160">
        <f>CB26+1</f>
        <v/>
      </c>
      <c r="CC27" s="165" t="n"/>
      <c r="CD27" s="162" t="n"/>
      <c r="CE27" s="163">
        <f>IFERROR(VLOOKUP(CC27,'Master List'!$A:$D,2,0),0)</f>
        <v/>
      </c>
      <c r="CF27" s="163">
        <f>IFERROR(VLOOKUP(CC27,'Master List'!$A:$D,3,0),0)</f>
        <v/>
      </c>
      <c r="CG27" s="163">
        <f>IFERROR(VLOOKUP(CC27,'Master List'!$A:$D,4,0),0)</f>
        <v/>
      </c>
      <c r="CH27" s="163" t="n"/>
      <c r="CI27" s="163">
        <f>IFERROR(CF27/CG27,0)</f>
        <v/>
      </c>
      <c r="CJ27" s="163">
        <f>IFERROR(IF(CH27&lt;((1/2*CG27*CI27^2)*2),1/2*CG27*SQRT((CH27/2)*2/CG27)^2,1/2*CG27*CI27^2),0)</f>
        <v/>
      </c>
      <c r="CK27" s="163">
        <f>IFERROR(IF(CH27-CJ27-CL27&lt;=0,0,CH27-CJ27-CL27),0)</f>
        <v/>
      </c>
      <c r="CL27" s="163">
        <f>CJ27</f>
        <v/>
      </c>
      <c r="CM27" s="163">
        <f>IFERROR(IF(CH27&lt;((1/2*CG27*CI27^2)*2),SQRT((CH27/2)*2/CG27),CI27),0)</f>
        <v/>
      </c>
      <c r="CN27" s="163">
        <f>IFERROR(CK27/CF27,0)</f>
        <v/>
      </c>
      <c r="CO27" s="163">
        <f>CM27</f>
        <v/>
      </c>
      <c r="CP27" s="163">
        <f>IF(CE27&gt;0,CE27,SUM(CM27:CO27))</f>
        <v/>
      </c>
      <c r="CQ27" s="163" t="n"/>
      <c r="CR27" s="163">
        <f>CP27*CQ27</f>
        <v/>
      </c>
    </row>
    <row r="28">
      <c r="A28" s="30" t="inlineStr">
        <is>
          <t>Reshuffling cycle travel distance m</t>
        </is>
      </c>
      <c r="B28" s="533">
        <f>B16*15%</f>
        <v/>
      </c>
      <c r="H28" s="160">
        <f>H27+1</f>
        <v/>
      </c>
      <c r="I28" s="165" t="n"/>
      <c r="J28" s="162" t="n"/>
      <c r="K28" s="163">
        <f>IFERROR(VLOOKUP(I28,'Master List'!$A:$D,2,0),0)</f>
        <v/>
      </c>
      <c r="L28" s="163">
        <f>IFERROR(VLOOKUP(I28,'Master List'!$A:$D,3,0),0)</f>
        <v/>
      </c>
      <c r="M28" s="163">
        <f>IFERROR(VLOOKUP(I28,'Master List'!$A:$D,4,0),0)</f>
        <v/>
      </c>
      <c r="N28" s="163" t="n"/>
      <c r="O28" s="163">
        <f>IFERROR(L28/M28,0)</f>
        <v/>
      </c>
      <c r="P28" s="163">
        <f>IFERROR(IF(N28&lt;((1/2*M28*O28^2)*2),1/2*M28*SQRT((N28/2)*2/M28)^2,1/2*M28*O28^2),0)</f>
        <v/>
      </c>
      <c r="Q28" s="163">
        <f>IFERROR(IF(N28-P28-R28&lt;=0,0,N28-P28-R28),0)</f>
        <v/>
      </c>
      <c r="R28" s="163">
        <f>P28</f>
        <v/>
      </c>
      <c r="S28" s="163">
        <f>IFERROR(IF(N28&lt;((1/2*M28*O28^2)*2),SQRT((N28/2)*2/M28),O28),0)</f>
        <v/>
      </c>
      <c r="T28" s="163">
        <f>IFERROR(Q28/L28,0)</f>
        <v/>
      </c>
      <c r="U28" s="163">
        <f>S28</f>
        <v/>
      </c>
      <c r="V28" s="163">
        <f>IF(K28&gt;0,K28,SUM(S28:U28))</f>
        <v/>
      </c>
      <c r="W28" s="163" t="n"/>
      <c r="X28" s="163" t="n"/>
      <c r="Z28" s="160">
        <f>Z27+1</f>
        <v/>
      </c>
      <c r="AA28" s="165" t="n"/>
      <c r="AB28" s="162" t="n"/>
      <c r="AC28" s="163">
        <f>IFERROR(VLOOKUP(AA28,'Master List'!$A:$D,2,0),0)</f>
        <v/>
      </c>
      <c r="AD28" s="163">
        <f>IFERROR(VLOOKUP(AA28,'Master List'!$A:$D,3,0),0)</f>
        <v/>
      </c>
      <c r="AE28" s="163">
        <f>IFERROR(VLOOKUP(AA28,'Master List'!$A:$D,4,0),0)</f>
        <v/>
      </c>
      <c r="AF28" s="163" t="n"/>
      <c r="AG28" s="163">
        <f>IFERROR(AD28/AE28,0)</f>
        <v/>
      </c>
      <c r="AH28" s="163">
        <f>IFERROR(IF(AF28&lt;((1/2*AE28*AG28^2)*2),1/2*AE28*SQRT((AF28/2)*2/AE28)^2,1/2*AE28*AG28^2),0)</f>
        <v/>
      </c>
      <c r="AI28" s="163">
        <f>IFERROR(IF(AF28-AH28-AJ28&lt;=0,0,AF28-AH28-AJ28),0)</f>
        <v/>
      </c>
      <c r="AJ28" s="163">
        <f>AH28</f>
        <v/>
      </c>
      <c r="AK28" s="163">
        <f>IFERROR(IF(AF28&lt;((1/2*AE28*AG28^2)*2),SQRT((AF28/2)*2/AE28),AG28),0)</f>
        <v/>
      </c>
      <c r="AL28" s="163">
        <f>IFERROR(AI28/AD28,0)</f>
        <v/>
      </c>
      <c r="AM28" s="163">
        <f>AK28</f>
        <v/>
      </c>
      <c r="AN28" s="163">
        <f>IF(AC28&gt;0,AC28,SUM(AK28:AM28))</f>
        <v/>
      </c>
      <c r="AO28" s="163" t="n"/>
      <c r="AP28" s="163">
        <f>AN28*AO28</f>
        <v/>
      </c>
      <c r="AR28" s="160">
        <f>AR27+1</f>
        <v/>
      </c>
      <c r="AS28" s="165" t="n"/>
      <c r="AT28" s="162" t="n"/>
      <c r="AU28" s="163">
        <f>IFERROR(VLOOKUP(AS28,'Master List'!$A:$D,2,0),0)</f>
        <v/>
      </c>
      <c r="AV28" s="163">
        <f>IFERROR(VLOOKUP(AS28,'Master List'!$A:$D,3,0),0)</f>
        <v/>
      </c>
      <c r="AW28" s="163">
        <f>IFERROR(VLOOKUP(AS28,'Master List'!$A:$D,4,0),0)</f>
        <v/>
      </c>
      <c r="AX28" s="163" t="n"/>
      <c r="AY28" s="163">
        <f>IFERROR(AV28/AW28,0)</f>
        <v/>
      </c>
      <c r="AZ28" s="163">
        <f>IFERROR(IF(AX28&lt;((1/2*AW28*AY28^2)*2),1/2*AW28*SQRT((AX28/2)*2/AW28)^2,1/2*AW28*AY28^2),0)</f>
        <v/>
      </c>
      <c r="BA28" s="163">
        <f>IFERROR(IF(AX28-AZ28-BB28&lt;=0,0,AX28-AZ28-BB28),0)</f>
        <v/>
      </c>
      <c r="BB28" s="163">
        <f>AZ28</f>
        <v/>
      </c>
      <c r="BC28" s="163">
        <f>IFERROR(IF(AX28&lt;((1/2*AW28*AY28^2)*2),SQRT((AX28/2)*2/AW28),AY28),0)</f>
        <v/>
      </c>
      <c r="BD28" s="163">
        <f>IFERROR(BA28/AV28,0)</f>
        <v/>
      </c>
      <c r="BE28" s="163">
        <f>BC28</f>
        <v/>
      </c>
      <c r="BF28" s="163">
        <f>IF(AU28&gt;0,AU28,SUM(BC28:BE28))</f>
        <v/>
      </c>
      <c r="BG28" s="163" t="n"/>
      <c r="BH28" s="163">
        <f>BF28*BG28</f>
        <v/>
      </c>
      <c r="BJ28" s="160">
        <f>BJ27+1</f>
        <v/>
      </c>
      <c r="BK28" s="165" t="n"/>
      <c r="BL28" s="162" t="n"/>
      <c r="BM28" s="163">
        <f>IFERROR(VLOOKUP(BK28,'Master List'!$A:$D,2,0),0)</f>
        <v/>
      </c>
      <c r="BN28" s="163">
        <f>IFERROR(VLOOKUP(BK28,'Master List'!$A:$D,3,0),0)</f>
        <v/>
      </c>
      <c r="BO28" s="163">
        <f>IFERROR(VLOOKUP(BK28,'Master List'!$A:$D,4,0),0)</f>
        <v/>
      </c>
      <c r="BP28" s="163" t="n"/>
      <c r="BQ28" s="163">
        <f>IFERROR(BN28/BO28,0)</f>
        <v/>
      </c>
      <c r="BR28" s="163">
        <f>IFERROR(IF(BP28&lt;((1/2*BO28*BQ28^2)*2),1/2*BO28*SQRT((BP28/2)*2/BO28)^2,1/2*BO28*BQ28^2),0)</f>
        <v/>
      </c>
      <c r="BS28" s="163">
        <f>IFERROR(IF(BP28-BR28-BT28&lt;=0,0,BP28-BR28-BT28),0)</f>
        <v/>
      </c>
      <c r="BT28" s="163">
        <f>BR28</f>
        <v/>
      </c>
      <c r="BU28" s="163">
        <f>IFERROR(IF(BP28&lt;((1/2*BO28*BQ28^2)*2),SQRT((BP28/2)*2/BO28),BQ28),0)</f>
        <v/>
      </c>
      <c r="BV28" s="163">
        <f>IFERROR(BS28/BN28,0)</f>
        <v/>
      </c>
      <c r="BW28" s="163">
        <f>BU28</f>
        <v/>
      </c>
      <c r="BX28" s="163">
        <f>IF(BM28&gt;0,BM28,SUM(BU28:BW28))</f>
        <v/>
      </c>
      <c r="BY28" s="163" t="n">
        <v>1</v>
      </c>
      <c r="BZ28" s="163">
        <f>BX28*BY28</f>
        <v/>
      </c>
      <c r="CB28" s="160">
        <f>CB27+1</f>
        <v/>
      </c>
      <c r="CC28" s="165" t="n"/>
      <c r="CD28" s="162" t="n"/>
      <c r="CE28" s="163">
        <f>IFERROR(VLOOKUP(CC28,'Master List'!$A:$D,2,0),0)</f>
        <v/>
      </c>
      <c r="CF28" s="163">
        <f>IFERROR(VLOOKUP(CC28,'Master List'!$A:$D,3,0),0)</f>
        <v/>
      </c>
      <c r="CG28" s="163">
        <f>IFERROR(VLOOKUP(CC28,'Master List'!$A:$D,4,0),0)</f>
        <v/>
      </c>
      <c r="CH28" s="163" t="n"/>
      <c r="CI28" s="163">
        <f>IFERROR(CF28/CG28,0)</f>
        <v/>
      </c>
      <c r="CJ28" s="163">
        <f>IFERROR(IF(CH28&lt;((1/2*CG28*CI28^2)*2),1/2*CG28*SQRT((CH28/2)*2/CG28)^2,1/2*CG28*CI28^2),0)</f>
        <v/>
      </c>
      <c r="CK28" s="163">
        <f>IFERROR(IF(CH28-CJ28-CL28&lt;=0,0,CH28-CJ28-CL28),0)</f>
        <v/>
      </c>
      <c r="CL28" s="163">
        <f>CJ28</f>
        <v/>
      </c>
      <c r="CM28" s="163">
        <f>IFERROR(IF(CH28&lt;((1/2*CG28*CI28^2)*2),SQRT((CH28/2)*2/CG28),CI28),0)</f>
        <v/>
      </c>
      <c r="CN28" s="163">
        <f>IFERROR(CK28/CF28,0)</f>
        <v/>
      </c>
      <c r="CO28" s="163">
        <f>CM28</f>
        <v/>
      </c>
      <c r="CP28" s="163">
        <f>IF(CE28&gt;0,CE28,SUM(CM28:CO28))</f>
        <v/>
      </c>
      <c r="CQ28" s="163" t="n"/>
      <c r="CR28" s="163">
        <f>CP28*CQ28</f>
        <v/>
      </c>
    </row>
    <row r="29">
      <c r="BP29" s="219" t="n"/>
      <c r="CH29" s="219" t="n"/>
    </row>
    <row r="34" ht="15" customHeight="1" s="516">
      <c r="I34" s="216" t="n"/>
      <c r="J34" s="216" t="n"/>
    </row>
    <row r="35" ht="15" customHeight="1" s="516">
      <c r="I35" s="216" t="n"/>
      <c r="J35" s="216" t="n"/>
    </row>
    <row r="39" ht="15" customHeight="1" s="516">
      <c r="I39" s="216" t="n"/>
    </row>
    <row r="40" ht="15" customHeight="1" s="516">
      <c r="I40" s="216" t="n"/>
    </row>
    <row r="44">
      <c r="H44" s="218" t="n"/>
    </row>
  </sheetData>
  <sheetProtection selectLockedCells="0" selectUnlockedCells="0" algorithmName="SHA-512" sheet="1" objects="1" insertRows="1" insertHyperlinks="1" autoFilter="1" scenarios="1" formatColumns="1" deleteColumns="1" insertColumns="1" pivotTables="1" deleteRows="1" formatCells="1" saltValue="WNVO85LU5Udg0zkQSyR/eA==" formatRows="1" sort="1" spinCount="100000" hashValue="46/Ym/qkr5io36tWCQZjp0P/amH6NLVj64frolb2AqyTQUn3J/MDsOf9TwxmQM6HIJ46GK0QYb4DJI8lIhGYrw=="/>
  <mergeCells count="30">
    <mergeCell ref="AR3:BH3"/>
    <mergeCell ref="AA6:AO6"/>
    <mergeCell ref="AR4:AR8"/>
    <mergeCell ref="I7:W7"/>
    <mergeCell ref="CC6:CQ6"/>
    <mergeCell ref="AA5:AO5"/>
    <mergeCell ref="AS6:BG6"/>
    <mergeCell ref="Z4:Z8"/>
    <mergeCell ref="AA4:AO4"/>
    <mergeCell ref="BK4:BY4"/>
    <mergeCell ref="CC4:CQ4"/>
    <mergeCell ref="AA7:AO7"/>
    <mergeCell ref="AS7:BG7"/>
    <mergeCell ref="CB4:CB8"/>
    <mergeCell ref="CC7:CQ7"/>
    <mergeCell ref="I5:W5"/>
    <mergeCell ref="CB3:CR3"/>
    <mergeCell ref="BK5:BY5"/>
    <mergeCell ref="I4:W4"/>
    <mergeCell ref="H4:H8"/>
    <mergeCell ref="Z3:AP3"/>
    <mergeCell ref="BJ4:BJ8"/>
    <mergeCell ref="BK7:BY7"/>
    <mergeCell ref="AS5:BG5"/>
    <mergeCell ref="CC5:CQ5"/>
    <mergeCell ref="I6:W6"/>
    <mergeCell ref="H3:X3"/>
    <mergeCell ref="BK6:BY6"/>
    <mergeCell ref="BJ3:BZ3"/>
    <mergeCell ref="AS4:BG4"/>
  </mergeCells>
  <conditionalFormatting sqref="B7:B9">
    <cfRule type="cellIs" priority="4" operator="lessThan" dxfId="1">
      <formula>$B$34</formula>
    </cfRule>
  </conditionalFormatting>
  <conditionalFormatting sqref="B9:C10">
    <cfRule type="cellIs" priority="1" operator="lessThan" dxfId="1">
      <formula>$B$34</formula>
    </cfRule>
  </conditionalFormatting>
  <conditionalFormatting sqref="C7:C8">
    <cfRule type="cellIs" priority="2" operator="lessThan" dxfId="1">
      <formula>$B$34</formula>
    </cfRule>
  </conditionalFormatting>
  <conditionalFormatting sqref="E25">
    <cfRule type="cellIs" priority="5" operator="notEqual" dxfId="0">
      <formula>1</formula>
    </cfRule>
  </conditionalFormatting>
  <pageMargins left="0.7" right="0.7" top="0.75" bottom="0.75" header="0.3" footer="0.3"/>
  <pageSetup orientation="portrait"/>
  <drawing r:id="rId1"/>
</worksheet>
</file>

<file path=xl/worksheets/sheet19.xml><?xml version="1.0" encoding="utf-8"?>
<worksheet xmlns:r="http://schemas.openxmlformats.org/officeDocument/2006/relationships" xmlns="http://schemas.openxmlformats.org/spreadsheetml/2006/main">
  <sheetPr codeName="Sheet19">
    <tabColor rgb="FF00B050"/>
    <outlinePr summaryBelow="1" summaryRight="1"/>
    <pageSetUpPr/>
  </sheetPr>
  <dimension ref="A1:T79"/>
  <sheetViews>
    <sheetView showGridLines="0" topLeftCell="A3" zoomScale="85" zoomScaleNormal="85" workbookViewId="0">
      <selection activeCell="G14" sqref="G14"/>
    </sheetView>
  </sheetViews>
  <sheetFormatPr baseColWidth="10" defaultColWidth="8.83203125" defaultRowHeight="15"/>
  <cols>
    <col width="67.1640625" bestFit="1" customWidth="1" style="258" min="1" max="1"/>
    <col width="17.33203125" bestFit="1" customWidth="1" style="258" min="2" max="2"/>
    <col width="8.83203125" customWidth="1" style="258" min="3" max="3"/>
    <col width="66.1640625" bestFit="1" customWidth="1" style="258" min="4" max="4"/>
    <col width="12" customWidth="1" style="258" min="5" max="5"/>
    <col width="8.83203125" customWidth="1" style="258" min="6" max="6"/>
    <col width="10" bestFit="1" customWidth="1" style="258" min="7" max="7"/>
    <col width="8.83203125" customWidth="1" style="258" min="8" max="8"/>
    <col width="5.5" customWidth="1" style="258" min="9" max="9"/>
    <col width="20.6640625" customWidth="1" style="258" min="10" max="10"/>
    <col width="8.83203125" customWidth="1" style="258" min="11" max="11"/>
    <col width="8.83203125" customWidth="1" style="258" min="12" max="16384"/>
  </cols>
  <sheetData>
    <row r="1" ht="58.25" customHeight="1" s="516">
      <c r="B1" s="1">
        <f>'Master List'!$F$2</f>
        <v/>
      </c>
    </row>
    <row r="2" ht="16" customHeight="1" s="516" thickBot="1"/>
    <row r="3" ht="25" customHeight="1" s="516" thickBot="1">
      <c r="A3" s="259" t="inlineStr">
        <is>
          <t>Max pallets that can be stored</t>
        </is>
      </c>
      <c r="B3" s="260">
        <f>('Multi pro Area'!B65+'Multi pro Area'!B66)*B31</f>
        <v/>
      </c>
      <c r="D3" s="261" t="inlineStr">
        <is>
          <t>Pallet inputs</t>
        </is>
      </c>
      <c r="E3" s="262" t="inlineStr">
        <is>
          <t>Value</t>
        </is>
      </c>
      <c r="F3" s="263" t="inlineStr">
        <is>
          <t>UOM</t>
        </is>
      </c>
      <c r="G3" s="264" t="inlineStr">
        <is>
          <t>Value</t>
        </is>
      </c>
      <c r="H3" s="265" t="inlineStr">
        <is>
          <t>UOM</t>
        </is>
      </c>
      <c r="M3" s="266" t="inlineStr">
        <is>
          <t>Value</t>
        </is>
      </c>
      <c r="N3" s="266" t="inlineStr">
        <is>
          <t>UOM</t>
        </is>
      </c>
      <c r="O3" s="266" t="inlineStr">
        <is>
          <t>Value</t>
        </is>
      </c>
      <c r="P3" s="266" t="inlineStr">
        <is>
          <t>UOM</t>
        </is>
      </c>
      <c r="T3" s="258" t="inlineStr">
        <is>
          <t>Yes</t>
        </is>
      </c>
    </row>
    <row r="4" ht="18" customHeight="1" s="516">
      <c r="A4" s="267" t="inlineStr">
        <is>
          <t>Remaining area m^2</t>
        </is>
      </c>
      <c r="B4" s="268">
        <f>B6*B5</f>
        <v/>
      </c>
      <c r="D4" s="269" t="inlineStr">
        <is>
          <t>Pallet depth (in child shuttle travel direction)</t>
        </is>
      </c>
      <c r="E4" s="410">
        <f>'Multi Pro Input OutPut'!B24</f>
        <v/>
      </c>
      <c r="F4" s="271" t="inlineStr">
        <is>
          <t>M</t>
        </is>
      </c>
      <c r="G4" s="410">
        <f>'Multi Pro Input OutPut'!D24</f>
        <v/>
      </c>
      <c r="H4" s="273" t="inlineStr">
        <is>
          <t>Ft</t>
        </is>
      </c>
      <c r="I4" s="258">
        <f>CONVERT(G4,"ft","m")</f>
        <v/>
      </c>
      <c r="J4" s="565" t="inlineStr">
        <is>
          <t>Input values in either Meters M/ Milimeters mm (Column E) or in Feet Ft in (Column G)</t>
        </is>
      </c>
      <c r="M4" s="274">
        <f>MAX(E4,I4)</f>
        <v/>
      </c>
      <c r="N4" s="271" t="inlineStr">
        <is>
          <t>M</t>
        </is>
      </c>
      <c r="O4" s="271">
        <f>M4*1000</f>
        <v/>
      </c>
      <c r="P4" s="271" t="inlineStr">
        <is>
          <t>mm</t>
        </is>
      </c>
      <c r="T4" s="258" t="inlineStr">
        <is>
          <t>No</t>
        </is>
      </c>
    </row>
    <row r="5" ht="14.5" customHeight="1" s="516">
      <c r="A5" s="271" t="inlineStr">
        <is>
          <t>Length of remaining area M</t>
        </is>
      </c>
      <c r="B5" s="275">
        <f>M12</f>
        <v/>
      </c>
      <c r="D5" s="269" t="inlineStr">
        <is>
          <t>Pallet width (in mother shuttle travel direction)</t>
        </is>
      </c>
      <c r="E5" s="410">
        <f>'Multi Pro Input OutPut'!B25</f>
        <v/>
      </c>
      <c r="F5" s="271" t="inlineStr">
        <is>
          <t>M</t>
        </is>
      </c>
      <c r="G5" s="410">
        <f>'Multi Pro Input OutPut'!D25</f>
        <v/>
      </c>
      <c r="H5" s="273" t="inlineStr">
        <is>
          <t>Ft</t>
        </is>
      </c>
      <c r="I5" s="258">
        <f>CONVERT(G5,"ft","m")</f>
        <v/>
      </c>
      <c r="J5" s="566" t="n"/>
      <c r="M5" s="274">
        <f>MAX(E5,I5)</f>
        <v/>
      </c>
      <c r="N5" s="271" t="inlineStr">
        <is>
          <t>M</t>
        </is>
      </c>
      <c r="O5" s="271">
        <f>M5*1000</f>
        <v/>
      </c>
      <c r="P5" s="271" t="inlineStr">
        <is>
          <t>mm</t>
        </is>
      </c>
    </row>
    <row r="6" ht="15" customHeight="1" s="516">
      <c r="A6" s="271" t="inlineStr">
        <is>
          <t>Width of remaining area M</t>
        </is>
      </c>
      <c r="B6" s="276">
        <f>(M13-((B30/1000)*B31))</f>
        <v/>
      </c>
      <c r="D6" s="269" t="inlineStr">
        <is>
          <t>Pallet height including the load</t>
        </is>
      </c>
      <c r="E6" s="410">
        <f>'Multi Pro Input OutPut'!B26</f>
        <v/>
      </c>
      <c r="F6" s="271" t="inlineStr">
        <is>
          <t>M</t>
        </is>
      </c>
      <c r="G6" s="410">
        <f>'Multi Pro Input OutPut'!D26</f>
        <v/>
      </c>
      <c r="H6" s="273" t="inlineStr">
        <is>
          <t>Ft</t>
        </is>
      </c>
      <c r="I6" s="258">
        <f>CONVERT(G6,"ft","m")</f>
        <v/>
      </c>
      <c r="J6" s="566" t="n"/>
      <c r="M6" s="274">
        <f>MAX(E6,I6)</f>
        <v/>
      </c>
      <c r="N6" s="271" t="inlineStr">
        <is>
          <t>M</t>
        </is>
      </c>
      <c r="O6" s="271">
        <f>M6*1000</f>
        <v/>
      </c>
      <c r="P6" s="271" t="inlineStr">
        <is>
          <t>mm</t>
        </is>
      </c>
    </row>
    <row r="7" ht="14.5" customHeight="1" s="516">
      <c r="D7" s="269" t="inlineStr">
        <is>
          <t>Overhang in length</t>
        </is>
      </c>
      <c r="E7" s="410">
        <f>'Multi Pro Input OutPut'!B27</f>
        <v/>
      </c>
      <c r="F7" s="271" t="inlineStr">
        <is>
          <t>mm</t>
        </is>
      </c>
      <c r="G7" s="410">
        <f>'Multi Pro Input OutPut'!D27</f>
        <v/>
      </c>
      <c r="H7" s="273" t="inlineStr">
        <is>
          <t>Ft</t>
        </is>
      </c>
      <c r="I7" s="258">
        <f>CONVERT(G7,"ft","mm")</f>
        <v/>
      </c>
      <c r="J7" s="566" t="n"/>
      <c r="M7" s="271">
        <f>MAX(E7,I7)</f>
        <v/>
      </c>
      <c r="N7" s="271" t="inlineStr">
        <is>
          <t>M</t>
        </is>
      </c>
      <c r="O7" s="271">
        <f>M7*1000</f>
        <v/>
      </c>
      <c r="P7" s="271" t="inlineStr">
        <is>
          <t>mm</t>
        </is>
      </c>
    </row>
    <row r="8" ht="15" customHeight="1" s="516" thickBot="1">
      <c r="A8" s="266" t="inlineStr">
        <is>
          <t>Pallet dimensions</t>
        </is>
      </c>
      <c r="B8" s="266" t="inlineStr">
        <is>
          <t>Dimension in mm</t>
        </is>
      </c>
      <c r="D8" s="278" t="inlineStr">
        <is>
          <t>Overhang in width</t>
        </is>
      </c>
      <c r="E8" s="410">
        <f>'Multi Pro Input OutPut'!B28</f>
        <v/>
      </c>
      <c r="F8" s="279" t="inlineStr">
        <is>
          <t>mm</t>
        </is>
      </c>
      <c r="G8" s="410">
        <f>'Multi Pro Input OutPut'!D28</f>
        <v/>
      </c>
      <c r="H8" s="281" t="inlineStr">
        <is>
          <t>Ft</t>
        </is>
      </c>
      <c r="I8" s="258">
        <f>CONVERT(G8,"ft","mm")</f>
        <v/>
      </c>
      <c r="J8" s="566" t="n"/>
      <c r="M8" s="271">
        <f>MAX(E8,I8)</f>
        <v/>
      </c>
      <c r="N8" s="271" t="inlineStr">
        <is>
          <t>M</t>
        </is>
      </c>
      <c r="O8" s="271">
        <f>M8*1000</f>
        <v/>
      </c>
      <c r="P8" s="271" t="inlineStr">
        <is>
          <t>mm</t>
        </is>
      </c>
    </row>
    <row r="9" ht="15" customHeight="1" s="516" thickBot="1">
      <c r="A9" s="271" t="inlineStr">
        <is>
          <t>Length (Lead side on Mother chain conveyor)</t>
        </is>
      </c>
      <c r="B9" s="275">
        <f>M5*1000</f>
        <v/>
      </c>
      <c r="J9" s="566" t="n"/>
    </row>
    <row r="10" ht="14.5" customHeight="1" s="516">
      <c r="A10" s="271" t="inlineStr">
        <is>
          <t>Width</t>
        </is>
      </c>
      <c r="B10" s="275">
        <f>M4*1000</f>
        <v/>
      </c>
      <c r="D10" s="261" t="inlineStr">
        <is>
          <t>Field Inputs</t>
        </is>
      </c>
      <c r="E10" s="262" t="inlineStr">
        <is>
          <t>Value</t>
        </is>
      </c>
      <c r="F10" s="263" t="inlineStr">
        <is>
          <t>UOM</t>
        </is>
      </c>
      <c r="G10" s="264" t="inlineStr">
        <is>
          <t>Value</t>
        </is>
      </c>
      <c r="H10" s="265" t="inlineStr">
        <is>
          <t>UOM</t>
        </is>
      </c>
      <c r="J10" s="566" t="n"/>
      <c r="M10" s="266" t="inlineStr">
        <is>
          <t>Value</t>
        </is>
      </c>
      <c r="N10" s="266" t="inlineStr">
        <is>
          <t>UOM</t>
        </is>
      </c>
      <c r="O10" s="266" t="inlineStr">
        <is>
          <t>Value</t>
        </is>
      </c>
      <c r="P10" s="266" t="inlineStr">
        <is>
          <t>UOM</t>
        </is>
      </c>
    </row>
    <row r="11" ht="14.5" customHeight="1" s="516">
      <c r="A11" s="271" t="inlineStr">
        <is>
          <t>Total pallet height</t>
        </is>
      </c>
      <c r="B11" s="275">
        <f>M6*1000</f>
        <v/>
      </c>
      <c r="D11" s="269" t="inlineStr">
        <is>
          <t>Clear height (After Lightings, sprinklers etc.)</t>
        </is>
      </c>
      <c r="E11" s="410">
        <f>'Multi Pro Input OutPut'!B31</f>
        <v/>
      </c>
      <c r="F11" s="271" t="inlineStr">
        <is>
          <t>M</t>
        </is>
      </c>
      <c r="G11" s="410">
        <f>'Multi Pro Input OutPut'!D31</f>
        <v/>
      </c>
      <c r="H11" s="273" t="inlineStr">
        <is>
          <t>Ft</t>
        </is>
      </c>
      <c r="I11" s="258">
        <f>CONVERT(G11,"ft","m")</f>
        <v/>
      </c>
      <c r="J11" s="566" t="n"/>
      <c r="M11" s="274">
        <f>MAX(E11,I11)</f>
        <v/>
      </c>
      <c r="N11" s="271" t="inlineStr">
        <is>
          <t>M</t>
        </is>
      </c>
      <c r="O11" s="271">
        <f>M11*1000</f>
        <v/>
      </c>
      <c r="P11" s="271" t="inlineStr">
        <is>
          <t>mm</t>
        </is>
      </c>
    </row>
    <row r="12" ht="14.5" customHeight="1" s="516">
      <c r="A12" s="271" t="inlineStr">
        <is>
          <t>Total pallet length (Lead side on Mother)</t>
        </is>
      </c>
      <c r="B12" s="271">
        <f>B9+(M7*2)</f>
        <v/>
      </c>
      <c r="D12" s="269" t="inlineStr">
        <is>
          <t>Length</t>
        </is>
      </c>
      <c r="E12" s="410">
        <f>'Multi Pro Input OutPut'!B32</f>
        <v/>
      </c>
      <c r="F12" s="271" t="inlineStr">
        <is>
          <t>M</t>
        </is>
      </c>
      <c r="G12" s="410">
        <f>'Multi Pro Input OutPut'!D32</f>
        <v/>
      </c>
      <c r="H12" s="273" t="inlineStr">
        <is>
          <t>Ft</t>
        </is>
      </c>
      <c r="I12" s="258">
        <f>CONVERT(G12,"ft","m")</f>
        <v/>
      </c>
      <c r="J12" s="566" t="n"/>
      <c r="M12" s="274">
        <f>MAX(E12,I12)</f>
        <v/>
      </c>
      <c r="N12" s="271" t="inlineStr">
        <is>
          <t>M</t>
        </is>
      </c>
      <c r="O12" s="271">
        <f>M12*1000</f>
        <v/>
      </c>
      <c r="P12" s="271" t="inlineStr">
        <is>
          <t>mm</t>
        </is>
      </c>
    </row>
    <row r="13" ht="15" customHeight="1" s="516" thickBot="1">
      <c r="A13" s="271" t="inlineStr">
        <is>
          <t>Total pallet width</t>
        </is>
      </c>
      <c r="B13" s="271">
        <f>B10+(M8*2)</f>
        <v/>
      </c>
      <c r="D13" s="278" t="inlineStr">
        <is>
          <t>Width</t>
        </is>
      </c>
      <c r="E13" s="410">
        <f>'Multi Pro Input OutPut'!B33</f>
        <v/>
      </c>
      <c r="F13" s="279" t="inlineStr">
        <is>
          <t>M</t>
        </is>
      </c>
      <c r="G13" s="410">
        <f>'Multi Pro Input OutPut'!D33</f>
        <v/>
      </c>
      <c r="H13" s="281" t="inlineStr">
        <is>
          <t>Ft</t>
        </is>
      </c>
      <c r="I13" s="258">
        <f>CONVERT(G13,"ft","m")</f>
        <v/>
      </c>
      <c r="J13" s="566" t="n"/>
      <c r="M13" s="274">
        <f>MAX(E13,I13)</f>
        <v/>
      </c>
      <c r="N13" s="271" t="inlineStr">
        <is>
          <t>M</t>
        </is>
      </c>
      <c r="O13" s="271">
        <f>M13*1000</f>
        <v/>
      </c>
      <c r="P13" s="271" t="inlineStr">
        <is>
          <t>mm</t>
        </is>
      </c>
    </row>
    <row r="14" ht="16" customHeight="1" s="516" thickBot="1">
      <c r="J14" s="566" t="n"/>
    </row>
    <row r="15">
      <c r="A15" s="266" t="inlineStr">
        <is>
          <t>Mother child area dimensions</t>
        </is>
      </c>
      <c r="B15" s="266" t="inlineStr">
        <is>
          <t>Dimension in mm</t>
        </is>
      </c>
      <c r="D15" s="283" t="inlineStr">
        <is>
          <t>Configuration requirement</t>
        </is>
      </c>
      <c r="E15" s="261" t="inlineStr">
        <is>
          <t>Value</t>
        </is>
      </c>
      <c r="F15" s="263" t="inlineStr">
        <is>
          <t>UOM</t>
        </is>
      </c>
      <c r="G15" s="263" t="inlineStr">
        <is>
          <t>Value</t>
        </is>
      </c>
      <c r="H15" s="265" t="inlineStr">
        <is>
          <t>UOM</t>
        </is>
      </c>
      <c r="J15" s="566" t="n"/>
    </row>
    <row r="16">
      <c r="A16" s="271" t="inlineStr">
        <is>
          <t>Clear height (After Lightings, sprinklers etc.)</t>
        </is>
      </c>
      <c r="B16" s="275">
        <f>M11*1000</f>
        <v/>
      </c>
      <c r="D16" s="284" t="inlineStr">
        <is>
          <t>Pallets per SKU batch on Left side of track</t>
        </is>
      </c>
      <c r="E16" s="410">
        <f>'Multi Pro Input OutPut'!B36</f>
        <v/>
      </c>
      <c r="F16" s="271" t="inlineStr">
        <is>
          <t>Nos</t>
        </is>
      </c>
      <c r="G16" s="306" t="n"/>
      <c r="H16" s="273" t="n"/>
      <c r="J16" s="566" t="n"/>
    </row>
    <row r="17">
      <c r="A17" s="271" t="inlineStr">
        <is>
          <t>Length</t>
        </is>
      </c>
      <c r="B17" s="275">
        <f>M12*1000</f>
        <v/>
      </c>
      <c r="D17" s="284" t="inlineStr">
        <is>
          <t>Pallets per SKU batch on Right side of track</t>
        </is>
      </c>
      <c r="E17" s="410" t="n">
        <v>4</v>
      </c>
      <c r="F17" s="271" t="inlineStr">
        <is>
          <t>Nos</t>
        </is>
      </c>
      <c r="G17" s="306" t="n"/>
      <c r="H17" s="273" t="inlineStr">
        <is>
          <t>Ft</t>
        </is>
      </c>
      <c r="I17" s="258">
        <f>CONVERT(G17,"ft","m")</f>
        <v/>
      </c>
      <c r="J17" s="566" t="n"/>
      <c r="M17" s="274">
        <f>MAX(E17,I17)</f>
        <v/>
      </c>
      <c r="N17" s="271" t="inlineStr">
        <is>
          <t>M</t>
        </is>
      </c>
    </row>
    <row r="18" ht="16" customHeight="1" s="516" thickBot="1">
      <c r="A18" s="271" t="inlineStr">
        <is>
          <t>Width</t>
        </is>
      </c>
      <c r="B18" s="275">
        <f>M13*1000</f>
        <v/>
      </c>
      <c r="D18" s="285" t="inlineStr">
        <is>
          <t>Bracing towers after every (change this based on discussion with rack vendor)</t>
        </is>
      </c>
      <c r="E18" s="410">
        <f>'Multi Pro Input OutPut'!B38</f>
        <v/>
      </c>
      <c r="F18" s="279" t="inlineStr">
        <is>
          <t>M</t>
        </is>
      </c>
      <c r="G18" s="411">
        <f>'Multi Pro Input OutPut'!D38</f>
        <v/>
      </c>
      <c r="H18" s="281" t="inlineStr">
        <is>
          <t>Ft</t>
        </is>
      </c>
      <c r="I18" s="258">
        <f>CONVERT(G18,"ft","m")</f>
        <v/>
      </c>
      <c r="J18" s="567" t="n"/>
      <c r="M18" s="274">
        <f>MAX(E18,I18)</f>
        <v/>
      </c>
      <c r="N18" s="271" t="inlineStr">
        <is>
          <t>M</t>
        </is>
      </c>
    </row>
    <row r="19" ht="16" customHeight="1" s="516" thickBot="1"/>
    <row r="20">
      <c r="A20" s="271" t="inlineStr">
        <is>
          <t>Total throughput/ Hr</t>
        </is>
      </c>
      <c r="B20" s="271">
        <f>SUM(E21:E22)</f>
        <v/>
      </c>
      <c r="D20" s="261" t="inlineStr">
        <is>
          <t>Throughput required</t>
        </is>
      </c>
      <c r="E20" s="265" t="inlineStr">
        <is>
          <t>Pallets/ Hr</t>
        </is>
      </c>
    </row>
    <row r="21">
      <c r="A21" s="271" t="inlineStr">
        <is>
          <t># lifts required for In (per track)</t>
        </is>
      </c>
      <c r="B21" s="271">
        <f>(ROUNDUP(E21/E23,0))/B31</f>
        <v/>
      </c>
      <c r="D21" s="269" t="inlineStr">
        <is>
          <t>Pallets/ Hr In</t>
        </is>
      </c>
      <c r="E21" s="273">
        <f>'Multi Pro Input OutPut'!B7</f>
        <v/>
      </c>
    </row>
    <row r="22">
      <c r="A22" s="271" t="inlineStr">
        <is>
          <t># lifts required for Out (per track)</t>
        </is>
      </c>
      <c r="B22" s="271">
        <f>(ROUNDUP(E22/E23,0))/B31</f>
        <v/>
      </c>
      <c r="D22" s="269" t="inlineStr">
        <is>
          <t>Pallets/ Hr Out</t>
        </is>
      </c>
      <c r="E22" s="273">
        <f>'Multi Pro Input OutPut'!B8</f>
        <v/>
      </c>
    </row>
    <row r="23" ht="16" customHeight="1" s="516" thickBot="1">
      <c r="A23" s="271" t="inlineStr">
        <is>
          <t>Effective width of a pallet - Child direction</t>
        </is>
      </c>
      <c r="B23" s="271">
        <f>B13+B37</f>
        <v/>
      </c>
      <c r="D23" s="278" t="inlineStr">
        <is>
          <t>Max lift throughput capacity (Pallets/ Hr)</t>
        </is>
      </c>
      <c r="E23" s="273">
        <f>'Multi Pro Input OutPut'!B40</f>
        <v/>
      </c>
      <c r="F23" s="287" t="n"/>
    </row>
    <row r="24" ht="16" customHeight="1" s="516" thickBot="1"/>
    <row r="25">
      <c r="A25" s="288" t="inlineStr">
        <is>
          <t>No of tracks calculation</t>
        </is>
      </c>
      <c r="B25" s="288" t="inlineStr">
        <is>
          <t>Nos.</t>
        </is>
      </c>
      <c r="D25" s="563" t="inlineStr">
        <is>
          <t>Other Key Outputs</t>
        </is>
      </c>
      <c r="E25" s="564" t="n"/>
    </row>
    <row r="26">
      <c r="A26" s="271" t="inlineStr">
        <is>
          <t>Left side of the track</t>
        </is>
      </c>
      <c r="B26" s="271">
        <f>B23*E16+(B27/2)+B35+B28</f>
        <v/>
      </c>
      <c r="D26" s="289" t="inlineStr">
        <is>
          <t>No of tracks</t>
        </is>
      </c>
      <c r="E26" s="290">
        <f>B31</f>
        <v/>
      </c>
      <c r="F26" s="291" t="inlineStr">
        <is>
          <t>If this number is less than 1 then reduce the number of pallets per SKU batch</t>
        </is>
      </c>
    </row>
    <row r="27">
      <c r="A27" s="271" t="inlineStr">
        <is>
          <t>Track width</t>
        </is>
      </c>
      <c r="B27" s="271" t="n">
        <v>1575</v>
      </c>
      <c r="D27" s="289" t="inlineStr">
        <is>
          <t>No of bays on one side of track</t>
        </is>
      </c>
      <c r="E27" s="290">
        <f>B47</f>
        <v/>
      </c>
    </row>
    <row r="28" ht="16" customHeight="1" s="516" thickBot="1">
      <c r="A28" s="271" t="inlineStr">
        <is>
          <t>First pallet from edge of the track</t>
        </is>
      </c>
      <c r="B28" s="271" t="n"/>
      <c r="D28" s="292" t="inlineStr">
        <is>
          <t>Levels in storage</t>
        </is>
      </c>
      <c r="E28" s="293">
        <f>B62</f>
        <v/>
      </c>
    </row>
    <row r="29" ht="16" customHeight="1" s="516" thickBot="1">
      <c r="A29" s="271" t="inlineStr">
        <is>
          <t>Right side of the track</t>
        </is>
      </c>
      <c r="B29" s="271">
        <f>B23*M17+(B27/2)+B35+B28</f>
        <v/>
      </c>
    </row>
    <row r="30" ht="16" customHeight="1" s="516" thickBot="1">
      <c r="A30" s="271" t="inlineStr">
        <is>
          <t>Total width</t>
        </is>
      </c>
      <c r="B30" s="271">
        <f>B29+B26</f>
        <v/>
      </c>
      <c r="D30" s="367" t="inlineStr">
        <is>
          <t>Fencing required?</t>
        </is>
      </c>
      <c r="E30" s="412">
        <f>'Multi Pro Input OutPut'!B42</f>
        <v/>
      </c>
    </row>
    <row r="31">
      <c r="A31" s="296" t="inlineStr">
        <is>
          <t># of tracks</t>
        </is>
      </c>
      <c r="B31" s="297">
        <f>ROUNDDOWN(B18/B30,0)</f>
        <v/>
      </c>
    </row>
    <row r="33">
      <c r="A33" s="288" t="inlineStr">
        <is>
          <t>No of bays calculation</t>
        </is>
      </c>
      <c r="B33" s="288" t="inlineStr">
        <is>
          <t>Dimension in mm</t>
        </is>
      </c>
    </row>
    <row r="34">
      <c r="A34" s="271" t="inlineStr">
        <is>
          <t>Upright</t>
        </is>
      </c>
      <c r="B34" s="271" t="n">
        <v>120</v>
      </c>
    </row>
    <row r="35">
      <c r="A35" s="271" t="inlineStr">
        <is>
          <t>Fencing outside storage</t>
        </is>
      </c>
      <c r="B35" s="271">
        <f>IF(E30="Yes",350,150)</f>
        <v/>
      </c>
    </row>
    <row r="36">
      <c r="A36" s="271" t="inlineStr">
        <is>
          <t>Pallet to pallet distance - in direction of Mother</t>
        </is>
      </c>
      <c r="B36" s="271" t="n">
        <v>75</v>
      </c>
    </row>
    <row r="37">
      <c r="A37" s="271" t="inlineStr">
        <is>
          <t>Pallet to pallet distance - in direction of Child</t>
        </is>
      </c>
      <c r="B37" s="271" t="n">
        <v>100</v>
      </c>
    </row>
    <row r="38">
      <c r="A38" s="266" t="inlineStr">
        <is>
          <t>Dimension of a bay in Left side of the track</t>
        </is>
      </c>
      <c r="B38" s="271" t="n"/>
    </row>
    <row r="39">
      <c r="A39" s="271" t="inlineStr">
        <is>
          <t>Width of a bay - In direction of Mother</t>
        </is>
      </c>
      <c r="B39" s="275">
        <f>B34+B36+B12+B36</f>
        <v/>
      </c>
    </row>
    <row r="40">
      <c r="A40" s="271" t="inlineStr">
        <is>
          <t>Length of a bay - In direction of Child</t>
        </is>
      </c>
      <c r="B40" s="275">
        <f>B28+(B13*E16)+(B37*E16)+(B27/2)+B35</f>
        <v/>
      </c>
    </row>
    <row r="41">
      <c r="A41" s="298" t="inlineStr">
        <is>
          <t>Bay dimension in m^2</t>
        </is>
      </c>
      <c r="B41" s="298">
        <f>CONVERT((B39*B40),"mm^2","m^2")</f>
        <v/>
      </c>
    </row>
    <row r="42">
      <c r="A42" s="266" t="inlineStr">
        <is>
          <t>Dimension of a bay in Right side of the track</t>
        </is>
      </c>
      <c r="B42" s="271" t="n"/>
    </row>
    <row r="43">
      <c r="A43" s="271" t="inlineStr">
        <is>
          <t>Width of a bay - In direction of Mother</t>
        </is>
      </c>
      <c r="B43" s="275">
        <f>B34+B36+B12+B36</f>
        <v/>
      </c>
    </row>
    <row r="44">
      <c r="A44" s="271" t="inlineStr">
        <is>
          <t>Length of a bay - In direction of Child</t>
        </is>
      </c>
      <c r="B44" s="275">
        <f>B28+(B13*M17)+(B37*M17)+(B27/2)+B35</f>
        <v/>
      </c>
    </row>
    <row r="45">
      <c r="A45" s="298" t="inlineStr">
        <is>
          <t>Bay dimension in m^2</t>
        </is>
      </c>
      <c r="B45" s="298">
        <f>CONVERT((B43*B44),"mm^2","m^2")</f>
        <v/>
      </c>
    </row>
    <row r="46">
      <c r="A46" s="271" t="inlineStr">
        <is>
          <t>Max aisle length from first to last pallet</t>
        </is>
      </c>
      <c r="B46" s="271">
        <f>B17-(B69*B21)-B72-B70-B74-B94-B75</f>
        <v/>
      </c>
    </row>
    <row r="47">
      <c r="A47" s="296" t="inlineStr">
        <is>
          <t># bays in storage Left side of the track</t>
        </is>
      </c>
      <c r="B47" s="297">
        <f>ROUNDDOWN(B46/B39,0)</f>
        <v/>
      </c>
    </row>
    <row r="48">
      <c r="A48" s="296" t="inlineStr">
        <is>
          <t># bays in storage Right side of the track</t>
        </is>
      </c>
      <c r="B48" s="297">
        <f>ROUNDDOWN(B46/B43,0)</f>
        <v/>
      </c>
    </row>
    <row r="50">
      <c r="A50" s="288" t="inlineStr">
        <is>
          <t>No of levels calculation</t>
        </is>
      </c>
      <c r="B50" s="288" t="inlineStr">
        <is>
          <t>Dimension in mm</t>
        </is>
      </c>
    </row>
    <row r="51">
      <c r="A51" s="299" t="inlineStr">
        <is>
          <t>Plinth level to bottom of first pallet</t>
        </is>
      </c>
      <c r="B51" s="271" t="n">
        <v>800</v>
      </c>
    </row>
    <row r="52">
      <c r="A52" s="271" t="inlineStr">
        <is>
          <t>Pallet lift top (Top pallet)</t>
        </is>
      </c>
      <c r="B52" s="271" t="n">
        <v>150</v>
      </c>
    </row>
    <row r="53">
      <c r="A53" s="271" t="inlineStr">
        <is>
          <t>Distance between top of pallet to bottom of above pallet</t>
        </is>
      </c>
      <c r="B53" s="271" t="n">
        <v>450</v>
      </c>
    </row>
    <row r="54">
      <c r="A54" s="271" t="inlineStr">
        <is>
          <t>Effective height available</t>
        </is>
      </c>
      <c r="B54" s="271">
        <f>B16-B51-B58</f>
        <v/>
      </c>
    </row>
    <row r="55">
      <c r="A55" s="271" t="inlineStr">
        <is>
          <t>Extra height for ESFR</t>
        </is>
      </c>
      <c r="B55" s="271" t="n">
        <v>300</v>
      </c>
    </row>
    <row r="56">
      <c r="A56" s="271" t="inlineStr">
        <is>
          <t>ESFR after every</t>
        </is>
      </c>
      <c r="B56" s="271" t="n">
        <v>7000</v>
      </c>
    </row>
    <row r="57">
      <c r="A57" s="271" t="inlineStr">
        <is>
          <t># of ESFR levels</t>
        </is>
      </c>
      <c r="B57" s="271">
        <f>ROUNDDOWN(B16/B56,0)-1</f>
        <v/>
      </c>
    </row>
    <row r="58">
      <c r="A58" s="271" t="inlineStr">
        <is>
          <t>Height occupied by ESFR</t>
        </is>
      </c>
      <c r="B58" s="271">
        <f>B55*B57</f>
        <v/>
      </c>
    </row>
    <row r="59">
      <c r="A59" s="271" t="inlineStr">
        <is>
          <t>Pallet height plus clear height</t>
        </is>
      </c>
      <c r="B59" s="271">
        <f>(B11+B53)</f>
        <v/>
      </c>
    </row>
    <row r="60">
      <c r="A60" s="271" t="inlineStr">
        <is>
          <t>Effective clear height between pallet (Theortical)</t>
        </is>
      </c>
      <c r="B60" s="271">
        <f>(((ROUNDDOWN(B54/B59,0)*B53)-B53)+B52)/ROUNDDOWN(B54/B59,0)</f>
        <v/>
      </c>
    </row>
    <row r="61">
      <c r="A61" s="271" t="inlineStr">
        <is>
          <t>Effective height of a level</t>
        </is>
      </c>
      <c r="B61" s="271">
        <f>B11+B60</f>
        <v/>
      </c>
    </row>
    <row r="62">
      <c r="A62" s="296" t="inlineStr">
        <is>
          <t>Levels</t>
        </is>
      </c>
      <c r="B62" s="297">
        <f>ROUNDDOWN(B54/B61,0)</f>
        <v/>
      </c>
    </row>
    <row r="64">
      <c r="A64" s="266" t="inlineStr">
        <is>
          <t>Pallets stored</t>
        </is>
      </c>
      <c r="B64" s="266" t="inlineStr">
        <is>
          <t>Nos.</t>
        </is>
      </c>
    </row>
    <row r="65">
      <c r="A65" s="271" t="inlineStr">
        <is>
          <t>Left side of the track</t>
        </is>
      </c>
      <c r="B65" s="271">
        <f>$B$62*B47*E16</f>
        <v/>
      </c>
    </row>
    <row r="66">
      <c r="A66" s="271" t="inlineStr">
        <is>
          <t>Right side of the track</t>
        </is>
      </c>
      <c r="B66" s="271">
        <f>$B$62*B48*M17</f>
        <v/>
      </c>
    </row>
    <row r="68">
      <c r="A68" s="288" t="inlineStr">
        <is>
          <t xml:space="preserve">Other dimensions outside storage area </t>
        </is>
      </c>
      <c r="B68" s="288" t="inlineStr">
        <is>
          <t>Dimension in mm</t>
        </is>
      </c>
    </row>
    <row r="69">
      <c r="A69" s="271" t="inlineStr">
        <is>
          <t>Lift length</t>
        </is>
      </c>
      <c r="B69" s="271" t="n">
        <v>2450</v>
      </c>
    </row>
    <row r="70">
      <c r="A70" s="271" t="inlineStr">
        <is>
          <t>Lift to first upright distance</t>
        </is>
      </c>
      <c r="B70" s="271" t="n">
        <v>350</v>
      </c>
    </row>
    <row r="71">
      <c r="A71" s="271" t="inlineStr">
        <is>
          <t>Distance between two lifts</t>
        </is>
      </c>
      <c r="B71" s="271" t="n">
        <v>350</v>
      </c>
    </row>
    <row r="72">
      <c r="A72" s="271" t="inlineStr">
        <is>
          <t>Clear length for track at the end (Includes length for stairs for maintenance)</t>
        </is>
      </c>
      <c r="B72" s="271">
        <f>3750+350</f>
        <v/>
      </c>
    </row>
    <row r="73">
      <c r="A73" s="271" t="inlineStr">
        <is>
          <t>Bracing tower</t>
        </is>
      </c>
      <c r="B73" s="271" t="n">
        <v>3000</v>
      </c>
    </row>
    <row r="74">
      <c r="A74" s="271" t="inlineStr">
        <is>
          <t>Total effective length of bracing tower</t>
        </is>
      </c>
      <c r="B74" s="271">
        <f>(B73*B76)</f>
        <v/>
      </c>
    </row>
    <row r="75">
      <c r="A75" s="271" t="inlineStr">
        <is>
          <t>Back - Overhang of track outside last pallet position</t>
        </is>
      </c>
      <c r="B75" s="271">
        <f>1700+350</f>
        <v/>
      </c>
    </row>
    <row r="76">
      <c r="A76" s="271" t="inlineStr">
        <is>
          <t># bracing towers</t>
        </is>
      </c>
      <c r="B76" s="271">
        <f>ROUNDDOWN(O12/(1000*M18),0)</f>
        <v/>
      </c>
    </row>
    <row r="79">
      <c r="C79" s="300" t="n"/>
    </row>
    <row r="93" hidden="1" s="516"/>
  </sheetData>
  <sheetProtection selectLockedCells="0" selectUnlockedCells="0" algorithmName="SHA-512" sheet="1" objects="1" insertRows="1" insertHyperlinks="1" autoFilter="1" scenarios="1" formatColumns="1" deleteColumns="1" insertColumns="1" pivotTables="1" deleteRows="1" formatCells="1" saltValue="aVIlxafCJGJtwEcg6r21ig==" formatRows="1" sort="1" spinCount="100000" hashValue="33nkUumXoTRfRIEKzhi1NZS0MNqVVk4GemJOMeSJkBGI8NgMAwqzBPi+oq4fu0NLEt54F0ifQyKZyo830a5nsQ=="/>
  <mergeCells count="2">
    <mergeCell ref="D25:E25"/>
    <mergeCell ref="J4:J18"/>
  </mergeCells>
  <conditionalFormatting sqref="B16 B55:B56">
    <cfRule type="cellIs" priority="6" operator="greaterThan" dxfId="0">
      <formula>22000</formula>
    </cfRule>
  </conditionalFormatting>
  <conditionalFormatting sqref="B31">
    <cfRule type="cellIs" priority="5" operator="lessThan" dxfId="0">
      <formula>1</formula>
    </cfRule>
  </conditionalFormatting>
  <conditionalFormatting sqref="B47:B48">
    <cfRule type="cellIs" priority="3" operator="lessThan" dxfId="0">
      <formula>1</formula>
    </cfRule>
  </conditionalFormatting>
  <conditionalFormatting sqref="B62">
    <cfRule type="cellIs" priority="2" operator="lessThan" dxfId="0">
      <formula>1</formula>
    </cfRule>
  </conditionalFormatting>
  <conditionalFormatting sqref="E26">
    <cfRule type="cellIs" priority="1" operator="lessThan" dxfId="0">
      <formula>0</formula>
    </cfRule>
  </conditionalFormatting>
  <pageMargins left="0.7" right="0.7" top="0.75" bottom="0.75" header="0.3" footer="0.3"/>
  <pageSetup orientation="portrait"/>
  <drawing r:id="rId1"/>
</worksheet>
</file>

<file path=xl/worksheets/sheet20.xml><?xml version="1.0" encoding="utf-8"?>
<worksheet xmlns:r="http://schemas.openxmlformats.org/officeDocument/2006/relationships" xmlns="http://schemas.openxmlformats.org/spreadsheetml/2006/main">
  <sheetPr codeName="Sheet20">
    <tabColor rgb="FF00B050"/>
    <outlinePr summaryBelow="1" summaryRight="1"/>
    <pageSetUpPr fitToPage="1"/>
  </sheetPr>
  <dimension ref="A1:O77"/>
  <sheetViews>
    <sheetView showGridLines="0" topLeftCell="B1" zoomScale="85" zoomScaleNormal="85" workbookViewId="0">
      <selection activeCell="I8" sqref="I8"/>
    </sheetView>
  </sheetViews>
  <sheetFormatPr baseColWidth="10" defaultColWidth="8.6640625" defaultRowHeight="15"/>
  <cols>
    <col width="49.33203125" customWidth="1" style="99" min="1" max="1"/>
    <col width="30.1640625" customWidth="1" style="99" min="2" max="2"/>
    <col width="22.5" bestFit="1" customWidth="1" style="99" min="3" max="3"/>
    <col width="17.6640625" customWidth="1" style="99" min="4" max="4"/>
    <col width="18.33203125" customWidth="1" style="99" min="5" max="5"/>
    <col width="13.33203125" customWidth="1" style="99" min="6" max="6"/>
    <col width="64.33203125" bestFit="1" customWidth="1" style="99" min="7" max="7"/>
    <col width="16.5" bestFit="1" customWidth="1" style="99" min="8" max="8"/>
    <col width="16.5" customWidth="1" style="99" min="9" max="9"/>
    <col width="8.6640625" customWidth="1" style="99" min="10" max="10"/>
    <col width="15.33203125" bestFit="1" customWidth="1" style="99" min="11" max="11"/>
    <col width="60.5" bestFit="1" customWidth="1" style="99" min="12" max="12"/>
    <col width="14.1640625" bestFit="1" customWidth="1" style="99" min="13" max="13"/>
    <col width="15.33203125" bestFit="1" customWidth="1" style="99" min="14" max="14"/>
    <col width="13.6640625" customWidth="1" style="99" min="15" max="15"/>
    <col width="8.6640625" customWidth="1" style="99" min="16" max="16"/>
    <col width="8.6640625" customWidth="1" style="99" min="17" max="16384"/>
  </cols>
  <sheetData>
    <row r="1" ht="45" customHeight="1" s="516">
      <c r="A1" s="404" t="inlineStr">
        <is>
          <t>Multi-Pro</t>
        </is>
      </c>
      <c r="B1" s="1">
        <f>'Master List'!$F$2</f>
        <v/>
      </c>
      <c r="C1" s="405" t="inlineStr">
        <is>
          <t>Utilization</t>
        </is>
      </c>
      <c r="D1" s="77">
        <f>'Multi pro TP'!X6</f>
        <v/>
      </c>
    </row>
    <row r="2">
      <c r="A2" s="180" t="inlineStr">
        <is>
          <t>Project name</t>
        </is>
      </c>
      <c r="B2" s="181" t="n"/>
    </row>
    <row r="3" ht="16" customHeight="1" s="516">
      <c r="A3" s="180" t="inlineStr">
        <is>
          <t>Revision</t>
        </is>
      </c>
      <c r="B3" s="181" t="n"/>
      <c r="G3" s="356" t="inlineStr">
        <is>
          <t>Output</t>
        </is>
      </c>
      <c r="H3" s="343" t="n"/>
      <c r="I3" s="343" t="n"/>
      <c r="J3" s="343" t="n"/>
      <c r="K3" s="356" t="n"/>
      <c r="L3" s="343" t="n"/>
      <c r="M3" s="343" t="n"/>
      <c r="N3" s="343" t="n"/>
      <c r="O3" s="343" t="n"/>
    </row>
    <row r="4" ht="16" customHeight="1" s="516">
      <c r="A4" s="356" t="inlineStr">
        <is>
          <t>Input</t>
        </is>
      </c>
    </row>
    <row r="5" ht="17" customHeight="1" s="516" thickBot="1">
      <c r="A5" s="342" t="inlineStr">
        <is>
          <t>Throughput requirement</t>
        </is>
      </c>
      <c r="G5" s="342" t="inlineStr">
        <is>
          <t>Output  based on throughput requirement</t>
        </is>
      </c>
      <c r="H5" s="341" t="inlineStr">
        <is>
          <t>Std Cycle</t>
        </is>
      </c>
      <c r="I5" s="341" t="inlineStr">
        <is>
          <t>Reshuffling cycle</t>
        </is>
      </c>
      <c r="K5" s="342" t="inlineStr">
        <is>
          <t>Tentative BOM (Excluding controls)</t>
        </is>
      </c>
      <c r="L5" s="342" t="n"/>
      <c r="M5" s="342" t="n"/>
      <c r="N5" s="342" t="n"/>
      <c r="O5" s="342" t="n"/>
    </row>
    <row r="6">
      <c r="A6" s="346" t="inlineStr">
        <is>
          <t>Input</t>
        </is>
      </c>
      <c r="B6" s="347" t="inlineStr">
        <is>
          <t>Qty</t>
        </is>
      </c>
      <c r="C6" s="346" t="inlineStr">
        <is>
          <t>Cycles</t>
        </is>
      </c>
      <c r="D6" s="352" t="inlineStr">
        <is>
          <t>PPH</t>
        </is>
      </c>
      <c r="E6" s="347" t="inlineStr">
        <is>
          <t>%</t>
        </is>
      </c>
      <c r="G6" s="361" t="inlineStr">
        <is>
          <t>Cycles/ Hr</t>
        </is>
      </c>
      <c r="H6" s="362">
        <f>'Multi pro TP'!B7</f>
        <v/>
      </c>
      <c r="I6" s="362">
        <f>'Multi pro TP'!C7</f>
        <v/>
      </c>
      <c r="K6" s="372" t="inlineStr">
        <is>
          <t>Main Product</t>
        </is>
      </c>
      <c r="L6" s="372" t="inlineStr">
        <is>
          <t>Sub Product</t>
        </is>
      </c>
      <c r="M6" s="372" t="inlineStr">
        <is>
          <t>Mfg/ Boughtout</t>
        </is>
      </c>
      <c r="N6" s="372" t="inlineStr">
        <is>
          <t>UOM</t>
        </is>
      </c>
      <c r="O6" s="372" t="inlineStr">
        <is>
          <t>QTY</t>
        </is>
      </c>
    </row>
    <row r="7">
      <c r="A7" s="348" t="inlineStr">
        <is>
          <t>Inbound PPH</t>
        </is>
      </c>
      <c r="B7" s="349" t="n">
        <v>500</v>
      </c>
      <c r="C7" s="348" t="inlineStr">
        <is>
          <t>Pallets in combined cycle</t>
        </is>
      </c>
      <c r="D7" s="39">
        <f>MIN(B7:B8)*2</f>
        <v/>
      </c>
      <c r="E7" s="353">
        <f>D7/SUM($D$7:$D$8)</f>
        <v/>
      </c>
      <c r="G7" s="348" t="inlineStr">
        <is>
          <t>Pallets/ Hr</t>
        </is>
      </c>
      <c r="H7" s="357">
        <f>'Multi pro TP'!B8</f>
        <v/>
      </c>
      <c r="I7" s="357">
        <f>'Multi pro TP'!C8</f>
        <v/>
      </c>
      <c r="K7" s="568" t="inlineStr">
        <is>
          <t>Multipro</t>
        </is>
      </c>
      <c r="L7" s="568" t="inlineStr">
        <is>
          <t>Shuttle - Multipro</t>
        </is>
      </c>
      <c r="M7" s="568">
        <f>'BOM Master List '!D53</f>
        <v/>
      </c>
      <c r="N7" s="568">
        <f>'BOM Master List '!E53</f>
        <v/>
      </c>
      <c r="O7" s="568">
        <f>MAX(H9,H20)</f>
        <v/>
      </c>
    </row>
    <row r="8" ht="16" customHeight="1" s="516" thickBot="1">
      <c r="A8" s="348" t="inlineStr">
        <is>
          <t>Outbound PPH</t>
        </is>
      </c>
      <c r="B8" s="349" t="n">
        <v>150</v>
      </c>
      <c r="C8" s="350" t="inlineStr">
        <is>
          <t>Pallets in single cycle</t>
        </is>
      </c>
      <c r="D8" s="354">
        <f>MAX(B7:B8)-MIN(B7:B8)</f>
        <v/>
      </c>
      <c r="E8" s="355">
        <f>D8/SUM($D$7:$D$8)</f>
        <v/>
      </c>
      <c r="G8" s="473" t="inlineStr">
        <is>
          <t>Multi Pro required</t>
        </is>
      </c>
      <c r="H8" s="472">
        <f>'Multi pro TP'!B9</f>
        <v/>
      </c>
      <c r="I8" s="472">
        <f>'Multi pro TP'!C9</f>
        <v/>
      </c>
      <c r="K8" s="568" t="inlineStr">
        <is>
          <t>Multipro</t>
        </is>
      </c>
      <c r="L8" s="568" t="inlineStr">
        <is>
          <t>Aisle Equipment - Multipro</t>
        </is>
      </c>
      <c r="M8" s="568">
        <f>'BOM Master List '!D54</f>
        <v/>
      </c>
      <c r="N8" s="568">
        <f>'BOM Master List '!E54</f>
        <v/>
      </c>
      <c r="O8" s="568">
        <f>(O7*B9)+(1.2*2*O7)</f>
        <v/>
      </c>
    </row>
    <row r="9">
      <c r="A9" s="348" t="inlineStr">
        <is>
          <t>Aisle length max M (Mother)</t>
        </is>
      </c>
      <c r="B9" s="349" t="n">
        <v>100</v>
      </c>
      <c r="C9" s="99" t="inlineStr">
        <is>
          <t>Max length travelled by multi pro in a level in meters</t>
        </is>
      </c>
      <c r="G9" s="361" t="inlineStr">
        <is>
          <t>Total Multi Pro required (Roundup)</t>
        </is>
      </c>
      <c r="H9" s="573">
        <f>ROUNDUP(SUM(H8:I8),0)</f>
        <v/>
      </c>
      <c r="I9" s="572" t="n"/>
      <c r="K9" s="568" t="inlineStr">
        <is>
          <t>Multipro</t>
        </is>
      </c>
      <c r="L9" s="568" t="inlineStr">
        <is>
          <t>Pallet Lift upto 5 high - -Multipro</t>
        </is>
      </c>
      <c r="M9" s="568">
        <f>'BOM Master List '!D55</f>
        <v/>
      </c>
      <c r="N9" s="568">
        <f>'BOM Master List '!E55</f>
        <v/>
      </c>
      <c r="O9" s="568">
        <f>IF(B33&lt;=5,SUM(H21:H22),0)</f>
        <v/>
      </c>
    </row>
    <row r="10" ht="16" customHeight="1" s="516" thickBot="1">
      <c r="A10" s="348" t="inlineStr">
        <is>
          <t>Travel depth max M (Child)</t>
        </is>
      </c>
      <c r="B10" s="349" t="n">
        <v>20</v>
      </c>
      <c r="C10" s="99" t="inlineStr">
        <is>
          <t>Max length travelled by cruiser in rack depth</t>
        </is>
      </c>
      <c r="G10" s="350" t="inlineStr">
        <is>
          <t>Effective pallets per Hr per Multi Pro</t>
        </is>
      </c>
      <c r="H10" s="569">
        <f>SUM(B7:B8)/H9</f>
        <v/>
      </c>
      <c r="I10" s="570" t="n"/>
      <c r="K10" s="568" t="inlineStr">
        <is>
          <t>Multipro</t>
        </is>
      </c>
      <c r="L10" s="568" t="inlineStr">
        <is>
          <t>Pallet Lift upto 10 high -Multipro</t>
        </is>
      </c>
      <c r="M10" s="568">
        <f>'BOM Master List '!D56</f>
        <v/>
      </c>
      <c r="N10" s="568">
        <f>'BOM Master List '!E56</f>
        <v/>
      </c>
      <c r="O10" s="568">
        <f>IF(B33&gt;5,SUM(H21:H22),0)</f>
        <v/>
      </c>
    </row>
    <row r="11" ht="16" customHeight="1" s="516" thickBot="1">
      <c r="A11" s="350" t="inlineStr">
        <is>
          <t>Pallet depth M</t>
        </is>
      </c>
      <c r="B11" s="351" t="n">
        <v>1.2</v>
      </c>
      <c r="C11" s="99" t="inlineStr">
        <is>
          <t>Lead side on multi pro travel direction</t>
        </is>
      </c>
      <c r="K11" s="568" t="inlineStr">
        <is>
          <t>Multipro</t>
        </is>
      </c>
      <c r="L11" s="568" t="inlineStr">
        <is>
          <t>Rack per bin Position -Multipro</t>
        </is>
      </c>
      <c r="M11" s="568">
        <f>'BOM Master List '!D57</f>
        <v/>
      </c>
      <c r="N11" s="568">
        <f>'BOM Master List '!E57</f>
        <v/>
      </c>
      <c r="O11" s="568">
        <f>H13</f>
        <v/>
      </c>
    </row>
    <row r="12" ht="17" customHeight="1" s="516" thickBot="1">
      <c r="G12" s="342" t="inlineStr">
        <is>
          <t>Output  based on Storage requirement</t>
        </is>
      </c>
      <c r="K12" s="568" t="inlineStr">
        <is>
          <t>Pallet_Conveyor</t>
        </is>
      </c>
      <c r="L12" s="568" t="inlineStr">
        <is>
          <t>Chain Conveyor -2 Strands Zone Length 1.5 M</t>
        </is>
      </c>
      <c r="M12" s="568">
        <f>'BOM Master List '!D60</f>
        <v/>
      </c>
      <c r="N12" s="568">
        <f>'BOM Master List '!E60</f>
        <v/>
      </c>
      <c r="O12" s="568">
        <f>(H27*O7*(SUM(O9:O10)))+(H28*H17*(SUM(O9:O10)))+(H30*SUM(O9:O10))+(H31*SUM(O9:O10))</f>
        <v/>
      </c>
    </row>
    <row r="13" ht="19" customHeight="1" s="516">
      <c r="A13" s="571" t="inlineStr">
        <is>
          <t>Reshuffling parameters</t>
        </is>
      </c>
      <c r="B13" s="572" t="n"/>
      <c r="G13" s="361" t="inlineStr">
        <is>
          <t>Max pallets that can be stored</t>
        </is>
      </c>
      <c r="H13" s="363">
        <f>'Multi pro Area'!B3</f>
        <v/>
      </c>
      <c r="K13" s="568" t="inlineStr">
        <is>
          <t>Pallet_Conveyor</t>
        </is>
      </c>
      <c r="L13" s="568" t="inlineStr">
        <is>
          <t>Pallet 90 degree Pop-Up - Excl Converyor</t>
        </is>
      </c>
      <c r="M13" s="568">
        <f>'BOM Master List '!D68</f>
        <v/>
      </c>
      <c r="N13" s="568">
        <f>'BOM Master List '!E68</f>
        <v/>
      </c>
      <c r="O13" s="568">
        <f>O10*H29</f>
        <v/>
      </c>
    </row>
    <row r="14">
      <c r="A14" s="475" t="inlineStr">
        <is>
          <t>Reshuffling required?</t>
        </is>
      </c>
      <c r="B14" s="476" t="inlineStr">
        <is>
          <t>Yes</t>
        </is>
      </c>
      <c r="G14" s="348" t="inlineStr">
        <is>
          <t>Remaining area m^2</t>
        </is>
      </c>
      <c r="H14" s="359">
        <f>'Multi pro Area'!B4</f>
        <v/>
      </c>
      <c r="K14" s="568" t="inlineStr">
        <is>
          <t>Fence</t>
        </is>
      </c>
      <c r="L14" s="568" t="inlineStr">
        <is>
          <t>Fence for Multi pro</t>
        </is>
      </c>
      <c r="M14" s="568" t="inlineStr">
        <is>
          <t>Bought Out</t>
        </is>
      </c>
      <c r="N14" s="568" t="inlineStr">
        <is>
          <t>Mtr</t>
        </is>
      </c>
      <c r="O14" s="568">
        <f>('Multi pro Area'!E12*2)+(('Multi pro Area'!E13-'Multi pro Area'!B6)*2)*1.2</f>
        <v/>
      </c>
    </row>
    <row r="15">
      <c r="A15" s="269" t="inlineStr">
        <is>
          <t>Pallet posns in depth</t>
        </is>
      </c>
      <c r="B15" s="286" t="n">
        <v>12</v>
      </c>
      <c r="C15" s="99" t="inlineStr">
        <is>
          <t>To be less tha 30</t>
        </is>
      </c>
      <c r="G15" s="348" t="inlineStr">
        <is>
          <t>Length of remaining area M</t>
        </is>
      </c>
      <c r="H15" s="360">
        <f>'Multi pro Area'!B5</f>
        <v/>
      </c>
      <c r="I15" s="470" t="n"/>
      <c r="K15" s="568" t="inlineStr">
        <is>
          <t>Fence</t>
        </is>
      </c>
      <c r="L15" s="568" t="inlineStr">
        <is>
          <t>Fence for Lifts</t>
        </is>
      </c>
      <c r="M15" s="568" t="inlineStr">
        <is>
          <t>Bought Out</t>
        </is>
      </c>
      <c r="N15" s="568" t="inlineStr">
        <is>
          <t>Mtr</t>
        </is>
      </c>
      <c r="O15" s="568">
        <f>H32*O10</f>
        <v/>
      </c>
    </row>
    <row r="16">
      <c r="A16" s="460" t="inlineStr">
        <is>
          <t>SKUs per lane</t>
        </is>
      </c>
      <c r="B16" s="461" t="n">
        <v>12</v>
      </c>
      <c r="C16" s="99">
        <f>IF(B16&gt;B15,"SKUs per lane should be less than pallet posns in deep",)</f>
        <v/>
      </c>
      <c r="G16" s="348" t="inlineStr">
        <is>
          <t>Width of remaining area M</t>
        </is>
      </c>
      <c r="H16" s="360">
        <f>'Multi pro Area'!B6</f>
        <v/>
      </c>
      <c r="I16" s="470" t="n"/>
      <c r="K16" s="568" t="inlineStr">
        <is>
          <t>Safety doors</t>
        </is>
      </c>
      <c r="L16" s="568" t="inlineStr">
        <is>
          <t>Safety doors for Multi Pro Per level</t>
        </is>
      </c>
      <c r="M16" s="568" t="inlineStr">
        <is>
          <t>Bought Out</t>
        </is>
      </c>
      <c r="N16" s="568" t="inlineStr">
        <is>
          <t>Number</t>
        </is>
      </c>
      <c r="O16" s="568">
        <f>O7</f>
        <v/>
      </c>
    </row>
    <row r="17">
      <c r="A17" s="348" t="inlineStr">
        <is>
          <t>% Outbound throughput that requires reshuffling</t>
        </is>
      </c>
      <c r="B17" s="474" t="n">
        <v>0.1</v>
      </c>
      <c r="G17" s="348" t="inlineStr">
        <is>
          <t>No of tracks</t>
        </is>
      </c>
      <c r="H17" s="357">
        <f>'Multi pro Area'!E26</f>
        <v/>
      </c>
      <c r="K17" s="568" t="inlineStr">
        <is>
          <t>Safety doors</t>
        </is>
      </c>
      <c r="L17" s="568" t="inlineStr">
        <is>
          <t>Safety doors for Lift fence</t>
        </is>
      </c>
      <c r="M17" s="568" t="inlineStr">
        <is>
          <t>Bought Out</t>
        </is>
      </c>
      <c r="N17" s="568" t="inlineStr">
        <is>
          <t>Number</t>
        </is>
      </c>
      <c r="O17" s="568">
        <f>O10</f>
        <v/>
      </c>
    </row>
    <row r="18">
      <c r="A18" s="348" t="inlineStr">
        <is>
          <t>Pallets per SKU per lane</t>
        </is>
      </c>
      <c r="B18" s="357">
        <f>ROUNDUP(B15/B16,0)</f>
        <v/>
      </c>
      <c r="G18" s="348" t="inlineStr">
        <is>
          <t>No of bays on one side of track</t>
        </is>
      </c>
      <c r="H18" s="357">
        <f>'Multi pro Area'!E27</f>
        <v/>
      </c>
    </row>
    <row r="19">
      <c r="A19" s="348" t="inlineStr">
        <is>
          <t>Throughput % per SKU</t>
        </is>
      </c>
      <c r="B19" s="353">
        <f>B18/B15</f>
        <v/>
      </c>
      <c r="G19" s="348" t="inlineStr">
        <is>
          <t>Levels in storage</t>
        </is>
      </c>
      <c r="H19" s="357">
        <f>'Multi pro Area'!E28</f>
        <v/>
      </c>
      <c r="K19" s="82" t="inlineStr">
        <is>
          <t>Calculations and outcomes of this sheet are valid for following conditions</t>
        </is>
      </c>
    </row>
    <row r="20" ht="16" customHeight="1" s="516" thickBot="1">
      <c r="A20" s="462" t="inlineStr">
        <is>
          <t>Total pallets to reshuffle</t>
        </is>
      </c>
      <c r="B20" s="463">
        <f>SUM(F48:F72)</f>
        <v/>
      </c>
      <c r="G20" s="348" t="inlineStr">
        <is>
          <t>Multi Pro required</t>
        </is>
      </c>
      <c r="H20" s="357">
        <f>H19*H17</f>
        <v/>
      </c>
      <c r="K20" s="568" t="n">
        <v>1</v>
      </c>
      <c r="L20" s="568" t="inlineStr">
        <is>
          <t>Pallet weight dosent exceeds 1 tonn</t>
        </is>
      </c>
      <c r="M20" s="552" t="n"/>
      <c r="N20" s="552" t="n"/>
      <c r="O20" s="553" t="n"/>
    </row>
    <row r="21">
      <c r="G21" s="348" t="inlineStr">
        <is>
          <t>Inbound lifts</t>
        </is>
      </c>
      <c r="H21" s="357">
        <f>'Multi pro Area'!B21</f>
        <v/>
      </c>
      <c r="K21" s="568" t="n">
        <v>2</v>
      </c>
      <c r="L21" s="568" t="inlineStr">
        <is>
          <t>Storage system dimensions are for symmetrical rectangular layouts without pick tunnel</t>
        </is>
      </c>
      <c r="M21" s="552" t="n"/>
      <c r="N21" s="552" t="n"/>
      <c r="O21" s="553" t="n"/>
    </row>
    <row r="22" ht="17" customHeight="1" s="516" thickBot="1">
      <c r="A22" s="342" t="inlineStr">
        <is>
          <t>Storage requirement</t>
        </is>
      </c>
      <c r="C22" s="99" t="inlineStr">
        <is>
          <t>Input values either in metrics or imperial only</t>
        </is>
      </c>
      <c r="G22" s="350" t="inlineStr">
        <is>
          <t>Outbound lifts</t>
        </is>
      </c>
      <c r="H22" s="358">
        <f>'Multi pro Area'!B22</f>
        <v/>
      </c>
      <c r="K22" s="568" t="n">
        <v>3</v>
      </c>
      <c r="L22" s="568" t="inlineStr">
        <is>
          <t>Picking through GTP stations are not required</t>
        </is>
      </c>
      <c r="M22" s="552" t="n"/>
      <c r="N22" s="552" t="n"/>
      <c r="O22" s="553" t="n"/>
    </row>
    <row r="23">
      <c r="A23" s="261" t="inlineStr">
        <is>
          <t>Pallet inputs</t>
        </is>
      </c>
      <c r="B23" s="262" t="inlineStr">
        <is>
          <t>Value</t>
        </is>
      </c>
      <c r="C23" s="263" t="inlineStr">
        <is>
          <t>UOM</t>
        </is>
      </c>
      <c r="D23" s="264" t="inlineStr">
        <is>
          <t>Value</t>
        </is>
      </c>
      <c r="E23" s="265" t="inlineStr">
        <is>
          <t>UOM</t>
        </is>
      </c>
      <c r="K23" s="568" t="n">
        <v>4</v>
      </c>
      <c r="L23" s="568" t="inlineStr">
        <is>
          <t>Only storage and retrival of full pallets is required</t>
        </is>
      </c>
      <c r="M23" s="552" t="n"/>
      <c r="N23" s="552" t="n"/>
      <c r="O23" s="553" t="n"/>
    </row>
    <row r="24">
      <c r="A24" s="269" t="inlineStr">
        <is>
          <t>Pallet depth (in child shuttle travel direction)</t>
        </is>
      </c>
      <c r="B24" s="270" t="n">
        <v>1</v>
      </c>
      <c r="C24" s="271" t="inlineStr">
        <is>
          <t>M</t>
        </is>
      </c>
      <c r="D24" s="272" t="n"/>
      <c r="E24" s="273" t="inlineStr">
        <is>
          <t>Ft</t>
        </is>
      </c>
      <c r="K24" s="568" t="n">
        <v>5</v>
      </c>
      <c r="L24" s="568" t="inlineStr">
        <is>
          <t>Only one size of pallet is handled</t>
        </is>
      </c>
      <c r="M24" s="552" t="n"/>
      <c r="N24" s="552" t="n"/>
      <c r="O24" s="553" t="n"/>
    </row>
    <row r="25">
      <c r="A25" s="269" t="inlineStr">
        <is>
          <t>Pallet width (in mother shuttle travel direction)</t>
        </is>
      </c>
      <c r="B25" s="270" t="n">
        <v>1.2</v>
      </c>
      <c r="C25" s="271" t="inlineStr">
        <is>
          <t>M</t>
        </is>
      </c>
      <c r="D25" s="272" t="n"/>
      <c r="E25" s="273" t="inlineStr">
        <is>
          <t>Ft</t>
        </is>
      </c>
      <c r="G25" s="341" t="inlineStr">
        <is>
          <t>Additional considerations in BOM</t>
        </is>
      </c>
      <c r="K25" s="568" t="n">
        <v>6</v>
      </c>
      <c r="L25" s="568" t="inlineStr">
        <is>
          <t>Number of aisles in MultiPro storage are defined by storage, but number of multi Pros and aisle equipment are defined by throughput</t>
        </is>
      </c>
      <c r="M25" s="552" t="n"/>
      <c r="N25" s="552" t="n"/>
      <c r="O25" s="553" t="n"/>
    </row>
    <row r="26">
      <c r="A26" s="269" t="inlineStr">
        <is>
          <t>Pallet height including the load</t>
        </is>
      </c>
      <c r="B26" s="270" t="n">
        <v>1.6</v>
      </c>
      <c r="C26" s="271" t="inlineStr">
        <is>
          <t>M</t>
        </is>
      </c>
      <c r="D26" s="272" t="n"/>
      <c r="E26" s="273" t="inlineStr">
        <is>
          <t>Ft</t>
        </is>
      </c>
      <c r="G26" s="568" t="inlineStr">
        <is>
          <t>Additional track on front and back per level M</t>
        </is>
      </c>
      <c r="H26" s="364" t="n">
        <v>2.5</v>
      </c>
      <c r="I26" s="471" t="n"/>
    </row>
    <row r="27">
      <c r="A27" s="269" t="inlineStr">
        <is>
          <t>Overhang in length</t>
        </is>
      </c>
      <c r="B27" s="277" t="n">
        <v>100</v>
      </c>
      <c r="C27" s="271" t="inlineStr">
        <is>
          <t>mm</t>
        </is>
      </c>
      <c r="D27" s="272" t="n"/>
      <c r="E27" s="273" t="inlineStr">
        <is>
          <t>Ft</t>
        </is>
      </c>
      <c r="G27" s="568" t="inlineStr">
        <is>
          <t>Conveyors between multipro and lift per level for each lift M</t>
        </is>
      </c>
      <c r="H27" s="364" t="n">
        <v>1.5</v>
      </c>
      <c r="I27" s="471" t="n"/>
    </row>
    <row r="28" ht="16" customHeight="1" s="516" thickBot="1">
      <c r="A28" s="278" t="inlineStr">
        <is>
          <t>Overhang in width</t>
        </is>
      </c>
      <c r="B28" s="344" t="n">
        <v>100</v>
      </c>
      <c r="C28" s="279" t="inlineStr">
        <is>
          <t>mm</t>
        </is>
      </c>
      <c r="D28" s="280" t="n"/>
      <c r="E28" s="281" t="inlineStr">
        <is>
          <t>Ft</t>
        </is>
      </c>
      <c r="G28" s="568" t="inlineStr">
        <is>
          <t>On ground conveyor between lift and popup for each lift M</t>
        </is>
      </c>
      <c r="H28" s="364" t="n">
        <v>1.5</v>
      </c>
      <c r="I28" s="471" t="n"/>
    </row>
    <row r="29" ht="16" customHeight="1" s="516" thickBot="1">
      <c r="A29" s="258" t="n"/>
      <c r="B29" s="258" t="n"/>
      <c r="C29" s="258" t="n"/>
      <c r="D29" s="258" t="n"/>
      <c r="E29" s="258" t="n"/>
      <c r="G29" s="568" t="inlineStr">
        <is>
          <t>On ground conveyor popups (per lift)</t>
        </is>
      </c>
      <c r="H29" s="364" t="n">
        <v>1</v>
      </c>
      <c r="I29" s="471" t="n"/>
    </row>
    <row r="30">
      <c r="A30" s="261" t="inlineStr">
        <is>
          <t>Field Inputs</t>
        </is>
      </c>
      <c r="B30" s="262" t="inlineStr">
        <is>
          <t>Value</t>
        </is>
      </c>
      <c r="C30" s="263" t="inlineStr">
        <is>
          <t>UOM</t>
        </is>
      </c>
      <c r="D30" s="264" t="inlineStr">
        <is>
          <t>Value</t>
        </is>
      </c>
      <c r="E30" s="265" t="inlineStr">
        <is>
          <t>UOM</t>
        </is>
      </c>
      <c r="G30" s="568" t="inlineStr">
        <is>
          <t>On ground conveyor popups M (Chain conveyor) for each lift M</t>
        </is>
      </c>
      <c r="H30" s="364" t="n">
        <v>1.5</v>
      </c>
      <c r="I30" s="471" t="n"/>
    </row>
    <row r="31">
      <c r="A31" s="269" t="inlineStr">
        <is>
          <t>Clear height (After Lightings, sprinklers etc.)</t>
        </is>
      </c>
      <c r="B31" s="270" t="n">
        <v>30</v>
      </c>
      <c r="C31" s="271" t="inlineStr">
        <is>
          <t>M</t>
        </is>
      </c>
      <c r="D31" s="272" t="n"/>
      <c r="E31" s="273" t="inlineStr">
        <is>
          <t>Ft</t>
        </is>
      </c>
      <c r="G31" s="568" t="inlineStr">
        <is>
          <t>On ground conveyor between popups and IB and OB points for each lift M</t>
        </is>
      </c>
      <c r="H31" s="364" t="n">
        <v>3</v>
      </c>
      <c r="I31" s="471" t="n"/>
    </row>
    <row r="32">
      <c r="A32" s="269" t="inlineStr">
        <is>
          <t>Length</t>
        </is>
      </c>
      <c r="B32" s="270" t="n">
        <v>100</v>
      </c>
      <c r="C32" s="271" t="inlineStr">
        <is>
          <t>M</t>
        </is>
      </c>
      <c r="D32" s="272" t="n"/>
      <c r="E32" s="273" t="inlineStr">
        <is>
          <t>Ft</t>
        </is>
      </c>
      <c r="G32" s="568" t="inlineStr">
        <is>
          <t>Lift fence perimeter M</t>
        </is>
      </c>
      <c r="H32" s="364">
        <f>3.6*4</f>
        <v/>
      </c>
      <c r="I32" s="471" t="n"/>
    </row>
    <row r="33" ht="16" customHeight="1" s="516" thickBot="1">
      <c r="A33" s="278" t="inlineStr">
        <is>
          <t>Width</t>
        </is>
      </c>
      <c r="B33" s="282" t="n">
        <v>30</v>
      </c>
      <c r="C33" s="279" t="inlineStr">
        <is>
          <t>M</t>
        </is>
      </c>
      <c r="D33" s="280" t="n"/>
      <c r="E33" s="281" t="inlineStr">
        <is>
          <t>Ft</t>
        </is>
      </c>
    </row>
    <row r="34" ht="16" customHeight="1" s="516" thickBot="1"/>
    <row r="35">
      <c r="A35" s="283" t="inlineStr">
        <is>
          <t>Configuration requirement</t>
        </is>
      </c>
      <c r="B35" s="261" t="inlineStr">
        <is>
          <t>Value</t>
        </is>
      </c>
      <c r="C35" s="263" t="inlineStr">
        <is>
          <t>UOM</t>
        </is>
      </c>
      <c r="D35" s="264" t="inlineStr">
        <is>
          <t>Value</t>
        </is>
      </c>
      <c r="E35" s="265" t="inlineStr">
        <is>
          <t>UOM</t>
        </is>
      </c>
    </row>
    <row r="36">
      <c r="A36" s="284" t="inlineStr">
        <is>
          <t>Pallets per SKU batch on Left side of track</t>
        </is>
      </c>
      <c r="B36" s="277" t="n">
        <v>5</v>
      </c>
      <c r="C36" s="271" t="inlineStr">
        <is>
          <t>Nos</t>
        </is>
      </c>
      <c r="D36" s="306" t="n"/>
      <c r="E36" s="273" t="n"/>
    </row>
    <row r="37">
      <c r="A37" s="284" t="inlineStr">
        <is>
          <t>Pallets per SKU batch on Right side of track</t>
        </is>
      </c>
      <c r="B37" s="270" t="n">
        <v>2</v>
      </c>
      <c r="C37" s="271" t="inlineStr">
        <is>
          <t>Nos</t>
        </is>
      </c>
      <c r="D37" s="306" t="n"/>
      <c r="E37" s="273" t="n"/>
    </row>
    <row r="38" ht="33" customHeight="1" s="516" thickBot="1">
      <c r="A38" s="407" t="inlineStr">
        <is>
          <t>Bracing towers after every (change this based on discussion with rack vendor)</t>
        </is>
      </c>
      <c r="B38" s="282">
        <f>B32</f>
        <v/>
      </c>
      <c r="C38" s="279" t="inlineStr">
        <is>
          <t>M</t>
        </is>
      </c>
      <c r="D38" s="280" t="n"/>
      <c r="E38" s="281" t="inlineStr">
        <is>
          <t>Ft</t>
        </is>
      </c>
    </row>
    <row r="39" ht="16" customHeight="1" s="516" thickBot="1">
      <c r="A39" s="258" t="n"/>
      <c r="B39" s="258" t="n"/>
    </row>
    <row r="40" ht="16" customHeight="1" s="516" thickBot="1">
      <c r="A40" s="294" t="inlineStr">
        <is>
          <t>Max lift throughput capacity (Pallets/ Hr)</t>
        </is>
      </c>
      <c r="B40" s="295" t="n">
        <v>50</v>
      </c>
      <c r="C40" s="258" t="n"/>
      <c r="D40" s="258" t="n"/>
      <c r="E40" s="258" t="n"/>
    </row>
    <row r="41" ht="16" customHeight="1" s="516" thickBot="1">
      <c r="C41" s="258" t="n"/>
      <c r="D41" s="258" t="n"/>
      <c r="E41" s="258" t="n"/>
    </row>
    <row r="42" ht="16" customHeight="1" s="516" thickBot="1">
      <c r="A42" s="294" t="inlineStr">
        <is>
          <t>Fencing required?</t>
        </is>
      </c>
      <c r="B42" s="345" t="inlineStr">
        <is>
          <t>Yes</t>
        </is>
      </c>
      <c r="C42" s="258" t="n"/>
      <c r="D42" s="258" t="n"/>
      <c r="E42" s="258" t="n"/>
    </row>
    <row r="43">
      <c r="C43" s="287" t="n"/>
      <c r="D43" s="258" t="n"/>
      <c r="E43" s="258" t="n"/>
    </row>
    <row r="46">
      <c r="A46" s="477" t="inlineStr">
        <is>
          <t>Calculations for reshuffling throughput</t>
        </is>
      </c>
      <c r="F46" s="341" t="n"/>
    </row>
    <row r="47" ht="32" customHeight="1" s="516">
      <c r="A47" s="464" t="inlineStr">
        <is>
          <t>Depth</t>
        </is>
      </c>
      <c r="B47" s="464" t="inlineStr">
        <is>
          <t>Factor</t>
        </is>
      </c>
      <c r="C47" s="464" t="inlineStr">
        <is>
          <t>% Picks</t>
        </is>
      </c>
      <c r="D47" s="464" t="inlineStr">
        <is>
          <t>Throughput split</t>
        </is>
      </c>
      <c r="E47" s="464" t="inlineStr">
        <is>
          <t>Pallets reshuffled to pick req pallet</t>
        </is>
      </c>
      <c r="F47" s="464" t="inlineStr">
        <is>
          <t>Total pallets to reshuffle</t>
        </is>
      </c>
    </row>
    <row r="48">
      <c r="A48" s="39" t="n">
        <v>1</v>
      </c>
      <c r="B48" s="39">
        <f>IF(IF(A48&lt;=$B$16,A48,0)-1&lt;0,0,IF(A48&lt;=$B$16,A48,0)-1)</f>
        <v/>
      </c>
      <c r="C48" s="77">
        <f>1/(COUNTIF($B$48:$B$77,"&gt;="&amp;1)+1)</f>
        <v/>
      </c>
      <c r="D48" s="39">
        <f>C48*$B$17*$B$8</f>
        <v/>
      </c>
      <c r="E48" s="39">
        <f>B48*$B$18</f>
        <v/>
      </c>
      <c r="F48" s="39">
        <f>E48*D48</f>
        <v/>
      </c>
    </row>
    <row r="49">
      <c r="A49" s="39" t="n">
        <v>2</v>
      </c>
      <c r="B49" s="39">
        <f>IF(IF(A49&lt;=$B$16,A49,0)-1&lt;0,0,IF(A49&lt;=$B$16,A49,0)-1)</f>
        <v/>
      </c>
      <c r="C49" s="77">
        <f>1/(COUNTIF($B$48:$B$77,"&gt;="&amp;1)+1)</f>
        <v/>
      </c>
      <c r="D49" s="39">
        <f>IF(B49=0,0,C49*$B$17*$B$8)</f>
        <v/>
      </c>
      <c r="E49" s="39">
        <f>B49*$B$18</f>
        <v/>
      </c>
      <c r="F49" s="39">
        <f>E49*D49</f>
        <v/>
      </c>
    </row>
    <row r="50">
      <c r="A50" s="39" t="n">
        <v>3</v>
      </c>
      <c r="B50" s="39">
        <f>IF(IF(A50&lt;=$B$16,A50,0)-1&lt;0,0,IF(A50&lt;=$B$16,A50,0)-1)</f>
        <v/>
      </c>
      <c r="C50" s="77">
        <f>1/(COUNTIF($B$48:$B$77,"&gt;="&amp;1)+1)</f>
        <v/>
      </c>
      <c r="D50" s="39">
        <f>IF(B50=0,0,C50*$B$17*$B$8)</f>
        <v/>
      </c>
      <c r="E50" s="39">
        <f>B50*$B$18</f>
        <v/>
      </c>
      <c r="F50" s="39">
        <f>E50*D50</f>
        <v/>
      </c>
    </row>
    <row r="51">
      <c r="A51" s="39" t="n">
        <v>4</v>
      </c>
      <c r="B51" s="39">
        <f>IF(IF(A51&lt;=$B$16,A51,0)-1&lt;0,0,IF(A51&lt;=$B$16,A51,0)-1)</f>
        <v/>
      </c>
      <c r="C51" s="77">
        <f>1/(COUNTIF($B$48:$B$77,"&gt;="&amp;1)+1)</f>
        <v/>
      </c>
      <c r="D51" s="39">
        <f>IF(B51=0,0,C51*$B$17*$B$8)</f>
        <v/>
      </c>
      <c r="E51" s="39">
        <f>B51*$B$18</f>
        <v/>
      </c>
      <c r="F51" s="39">
        <f>E51*D51</f>
        <v/>
      </c>
    </row>
    <row r="52">
      <c r="A52" s="39" t="n">
        <v>5</v>
      </c>
      <c r="B52" s="39">
        <f>IF(IF(A52&lt;=$B$16,A52,0)-1&lt;0,0,IF(A52&lt;=$B$16,A52,0)-1)</f>
        <v/>
      </c>
      <c r="C52" s="77">
        <f>1/(COUNTIF($B$48:$B$77,"&gt;="&amp;1)+1)</f>
        <v/>
      </c>
      <c r="D52" s="39">
        <f>IF(B52=0,0,C52*$B$17*$B$8)</f>
        <v/>
      </c>
      <c r="E52" s="39">
        <f>B52*$B$18</f>
        <v/>
      </c>
      <c r="F52" s="39">
        <f>E52*D52</f>
        <v/>
      </c>
    </row>
    <row r="53">
      <c r="A53" s="39" t="n">
        <v>6</v>
      </c>
      <c r="B53" s="39">
        <f>IF(IF(A53&lt;=$B$16,A53,0)-1&lt;0,0,IF(A53&lt;=$B$16,A53,0)-1)</f>
        <v/>
      </c>
      <c r="C53" s="77">
        <f>1/(COUNTIF($B$48:$B$77,"&gt;="&amp;1)+1)</f>
        <v/>
      </c>
      <c r="D53" s="39">
        <f>IF(B53=0,0,C53*$B$17*$B$8)</f>
        <v/>
      </c>
      <c r="E53" s="39">
        <f>B53*$B$18</f>
        <v/>
      </c>
      <c r="F53" s="39">
        <f>E53*D53</f>
        <v/>
      </c>
    </row>
    <row r="54">
      <c r="A54" s="39" t="n">
        <v>7</v>
      </c>
      <c r="B54" s="39">
        <f>IF(IF(A54&lt;=$B$16,A54,0)-1&lt;0,0,IF(A54&lt;=$B$16,A54,0)-1)</f>
        <v/>
      </c>
      <c r="C54" s="77">
        <f>1/(COUNTIF($B$48:$B$77,"&gt;="&amp;1)+1)</f>
        <v/>
      </c>
      <c r="D54" s="39">
        <f>IF(B54=0,0,C54*$B$17*$B$8)</f>
        <v/>
      </c>
      <c r="E54" s="39">
        <f>B54*$B$18</f>
        <v/>
      </c>
      <c r="F54" s="39">
        <f>E54*D54</f>
        <v/>
      </c>
    </row>
    <row r="55">
      <c r="A55" s="39" t="n">
        <v>8</v>
      </c>
      <c r="B55" s="39">
        <f>IF(IF(A55&lt;=$B$16,A55,0)-1&lt;0,0,IF(A55&lt;=$B$16,A55,0)-1)</f>
        <v/>
      </c>
      <c r="C55" s="77">
        <f>1/(COUNTIF($B$48:$B$77,"&gt;="&amp;1)+1)</f>
        <v/>
      </c>
      <c r="D55" s="39">
        <f>IF(B55=0,0,C55*$B$17*$B$8)</f>
        <v/>
      </c>
      <c r="E55" s="39">
        <f>B55*$B$18</f>
        <v/>
      </c>
      <c r="F55" s="39">
        <f>E55*D55</f>
        <v/>
      </c>
    </row>
    <row r="56">
      <c r="A56" s="39" t="n">
        <v>9</v>
      </c>
      <c r="B56" s="39">
        <f>IF(IF(A56&lt;=$B$16,A56,0)-1&lt;0,0,IF(A56&lt;=$B$16,A56,0)-1)</f>
        <v/>
      </c>
      <c r="C56" s="77">
        <f>1/(COUNTIF($B$48:$B$77,"&gt;="&amp;1)+1)</f>
        <v/>
      </c>
      <c r="D56" s="39">
        <f>IF(B56=0,0,C56*$B$17*$B$8)</f>
        <v/>
      </c>
      <c r="E56" s="39">
        <f>B56*$B$18</f>
        <v/>
      </c>
      <c r="F56" s="39">
        <f>E56*D56</f>
        <v/>
      </c>
    </row>
    <row r="57">
      <c r="A57" s="39" t="n">
        <v>10</v>
      </c>
      <c r="B57" s="39">
        <f>IF(IF(A57&lt;=$B$16,A57,0)-1&lt;0,0,IF(A57&lt;=$B$16,A57,0)-1)</f>
        <v/>
      </c>
      <c r="C57" s="77">
        <f>1/(COUNTIF($B$48:$B$77,"&gt;="&amp;1)+1)</f>
        <v/>
      </c>
      <c r="D57" s="39">
        <f>IF(B57=0,0,C57*$B$17*$B$8)</f>
        <v/>
      </c>
      <c r="E57" s="39">
        <f>B57*$B$18</f>
        <v/>
      </c>
      <c r="F57" s="39">
        <f>E57*D57</f>
        <v/>
      </c>
    </row>
    <row r="58">
      <c r="A58" s="39" t="n">
        <v>11</v>
      </c>
      <c r="B58" s="39">
        <f>IF(IF(A58&lt;=$B$16,A58,0)-1&lt;0,0,IF(A58&lt;=$B$16,A58,0)-1)</f>
        <v/>
      </c>
      <c r="C58" s="77">
        <f>1/(COUNTIF($B$48:$B$77,"&gt;="&amp;1)+1)</f>
        <v/>
      </c>
      <c r="D58" s="39">
        <f>IF(B58=0,0,C58*$B$17*$B$8)</f>
        <v/>
      </c>
      <c r="E58" s="39">
        <f>B58*$B$18</f>
        <v/>
      </c>
      <c r="F58" s="39">
        <f>E58*D58</f>
        <v/>
      </c>
    </row>
    <row r="59">
      <c r="A59" s="39" t="n">
        <v>12</v>
      </c>
      <c r="B59" s="39">
        <f>IF(IF(A59&lt;=$B$16,A59,0)-1&lt;0,0,IF(A59&lt;=$B$16,A59,0)-1)</f>
        <v/>
      </c>
      <c r="C59" s="77">
        <f>1/(COUNTIF($B$48:$B$77,"&gt;="&amp;1)+1)</f>
        <v/>
      </c>
      <c r="D59" s="39">
        <f>IF(B59=0,0,C59*$B$17*$B$8)</f>
        <v/>
      </c>
      <c r="E59" s="39">
        <f>B59*$B$18</f>
        <v/>
      </c>
      <c r="F59" s="39">
        <f>E59*D59</f>
        <v/>
      </c>
    </row>
    <row r="60">
      <c r="A60" s="39" t="n">
        <v>13</v>
      </c>
      <c r="B60" s="39">
        <f>IF(IF(A60&lt;=$B$16,A60,0)-1&lt;0,0,IF(A60&lt;=$B$16,A60,0)-1)</f>
        <v/>
      </c>
      <c r="C60" s="77">
        <f>1/(COUNTIF($B$48:$B$77,"&gt;="&amp;1)+1)</f>
        <v/>
      </c>
      <c r="D60" s="39">
        <f>IF(B60=0,0,C60*$B$17*$B$8)</f>
        <v/>
      </c>
      <c r="E60" s="39">
        <f>B60*$B$18</f>
        <v/>
      </c>
      <c r="F60" s="39">
        <f>E60*D60</f>
        <v/>
      </c>
    </row>
    <row r="61">
      <c r="A61" s="39" t="n">
        <v>14</v>
      </c>
      <c r="B61" s="39">
        <f>IF(IF(A61&lt;=$B$16,A61,0)-1&lt;0,0,IF(A61&lt;=$B$16,A61,0)-1)</f>
        <v/>
      </c>
      <c r="C61" s="77">
        <f>1/(COUNTIF($B$48:$B$77,"&gt;="&amp;1)+1)</f>
        <v/>
      </c>
      <c r="D61" s="39">
        <f>IF(B61=0,0,C61*$B$17*$B$8)</f>
        <v/>
      </c>
      <c r="E61" s="39">
        <f>B61*$B$18</f>
        <v/>
      </c>
      <c r="F61" s="39">
        <f>E61*D61</f>
        <v/>
      </c>
    </row>
    <row r="62">
      <c r="A62" s="39" t="n">
        <v>15</v>
      </c>
      <c r="B62" s="39">
        <f>IF(IF(A62&lt;=$B$16,A62,0)-1&lt;0,0,IF(A62&lt;=$B$16,A62,0)-1)</f>
        <v/>
      </c>
      <c r="C62" s="77">
        <f>1/(COUNTIF($B$48:$B$77,"&gt;="&amp;1)+1)</f>
        <v/>
      </c>
      <c r="D62" s="39">
        <f>IF(B62=0,0,C62*$B$17*$B$8)</f>
        <v/>
      </c>
      <c r="E62" s="39">
        <f>B62*$B$18</f>
        <v/>
      </c>
      <c r="F62" s="39">
        <f>E62*D62</f>
        <v/>
      </c>
    </row>
    <row r="63">
      <c r="A63" s="39" t="n">
        <v>16</v>
      </c>
      <c r="B63" s="39">
        <f>IF(IF(A63&lt;=$B$16,A63,0)-1&lt;0,0,IF(A63&lt;=$B$16,A63,0)-1)</f>
        <v/>
      </c>
      <c r="C63" s="77">
        <f>1/(COUNTIF($B$48:$B$77,"&gt;="&amp;1)+1)</f>
        <v/>
      </c>
      <c r="D63" s="39">
        <f>IF(B63=0,0,C63*$B$17*$B$8)</f>
        <v/>
      </c>
      <c r="E63" s="39">
        <f>B63*$B$18</f>
        <v/>
      </c>
      <c r="F63" s="39">
        <f>E63*D63</f>
        <v/>
      </c>
    </row>
    <row r="64">
      <c r="A64" s="39" t="n">
        <v>17</v>
      </c>
      <c r="B64" s="39">
        <f>IF(IF(A64&lt;=$B$16,A64,0)-1&lt;0,0,IF(A64&lt;=$B$16,A64,0)-1)</f>
        <v/>
      </c>
      <c r="C64" s="77">
        <f>1/(COUNTIF($B$48:$B$77,"&gt;="&amp;1)+1)</f>
        <v/>
      </c>
      <c r="D64" s="39">
        <f>IF(B64=0,0,C64*$B$17*$B$8)</f>
        <v/>
      </c>
      <c r="E64" s="39">
        <f>B64*$B$18</f>
        <v/>
      </c>
      <c r="F64" s="39">
        <f>E64*D64</f>
        <v/>
      </c>
    </row>
    <row r="65">
      <c r="A65" s="39" t="n">
        <v>18</v>
      </c>
      <c r="B65" s="39">
        <f>IF(IF(A65&lt;=$B$16,A65,0)-1&lt;0,0,IF(A65&lt;=$B$16,A65,0)-1)</f>
        <v/>
      </c>
      <c r="C65" s="77">
        <f>1/(COUNTIF($B$48:$B$77,"&gt;="&amp;1)+1)</f>
        <v/>
      </c>
      <c r="D65" s="39">
        <f>IF(B65=0,0,C65*$B$17*$B$8)</f>
        <v/>
      </c>
      <c r="E65" s="39">
        <f>B65*$B$18</f>
        <v/>
      </c>
      <c r="F65" s="39">
        <f>E65*D65</f>
        <v/>
      </c>
    </row>
    <row r="66">
      <c r="A66" s="39" t="n">
        <v>19</v>
      </c>
      <c r="B66" s="39">
        <f>IF(IF(A66&lt;=$B$16,A66,0)-1&lt;0,0,IF(A66&lt;=$B$16,A66,0)-1)</f>
        <v/>
      </c>
      <c r="C66" s="77">
        <f>1/(COUNTIF($B$48:$B$77,"&gt;="&amp;1)+1)</f>
        <v/>
      </c>
      <c r="D66" s="39">
        <f>IF(B66=0,0,C66*$B$17*$B$8)</f>
        <v/>
      </c>
      <c r="E66" s="39">
        <f>B66*$B$18</f>
        <v/>
      </c>
      <c r="F66" s="39">
        <f>E66*D66</f>
        <v/>
      </c>
    </row>
    <row r="67">
      <c r="A67" s="39" t="n">
        <v>20</v>
      </c>
      <c r="B67" s="39">
        <f>IF(IF(A67&lt;=$B$16,A67,0)-1&lt;0,0,IF(A67&lt;=$B$16,A67,0)-1)</f>
        <v/>
      </c>
      <c r="C67" s="77">
        <f>1/(COUNTIF($B$48:$B$77,"&gt;="&amp;1)+1)</f>
        <v/>
      </c>
      <c r="D67" s="39">
        <f>IF(B67=0,0,C67*$B$17*$B$8)</f>
        <v/>
      </c>
      <c r="E67" s="39">
        <f>B67*$B$18</f>
        <v/>
      </c>
      <c r="F67" s="39">
        <f>E67*D67</f>
        <v/>
      </c>
    </row>
    <row r="68">
      <c r="A68" s="39" t="n">
        <v>21</v>
      </c>
      <c r="B68" s="39">
        <f>IF(IF(A68&lt;=$B$16,A68,0)-1&lt;0,0,IF(A68&lt;=$B$16,A68,0)-1)</f>
        <v/>
      </c>
      <c r="C68" s="77">
        <f>1/(COUNTIF($B$48:$B$77,"&gt;="&amp;1)+1)</f>
        <v/>
      </c>
      <c r="D68" s="39">
        <f>IF(B68=0,0,C68*$B$17*$B$8)</f>
        <v/>
      </c>
      <c r="E68" s="39">
        <f>B68*$B$18</f>
        <v/>
      </c>
      <c r="F68" s="39">
        <f>E68*D68</f>
        <v/>
      </c>
    </row>
    <row r="69">
      <c r="A69" s="39" t="n">
        <v>22</v>
      </c>
      <c r="B69" s="39">
        <f>IF(IF(A69&lt;=$B$16,A69,0)-1&lt;0,0,IF(A69&lt;=$B$16,A69,0)-1)</f>
        <v/>
      </c>
      <c r="C69" s="77">
        <f>1/(COUNTIF($B$48:$B$77,"&gt;="&amp;1)+1)</f>
        <v/>
      </c>
      <c r="D69" s="39">
        <f>IF(B69=0,0,C69*$B$17*$B$8)</f>
        <v/>
      </c>
      <c r="E69" s="39">
        <f>B69*$B$18</f>
        <v/>
      </c>
      <c r="F69" s="39">
        <f>E69*D69</f>
        <v/>
      </c>
    </row>
    <row r="70">
      <c r="A70" s="39" t="n">
        <v>23</v>
      </c>
      <c r="B70" s="39">
        <f>IF(IF(A70&lt;=$B$16,A70,0)-1&lt;0,0,IF(A70&lt;=$B$16,A70,0)-1)</f>
        <v/>
      </c>
      <c r="C70" s="77">
        <f>1/(COUNTIF($B$48:$B$77,"&gt;="&amp;1)+1)</f>
        <v/>
      </c>
      <c r="D70" s="39">
        <f>IF(B70=0,0,C70*$B$17*$B$8)</f>
        <v/>
      </c>
      <c r="E70" s="39">
        <f>B70*$B$18</f>
        <v/>
      </c>
      <c r="F70" s="39">
        <f>E70*D70</f>
        <v/>
      </c>
    </row>
    <row r="71">
      <c r="A71" s="39" t="n">
        <v>24</v>
      </c>
      <c r="B71" s="39">
        <f>IF(IF(A71&lt;=$B$16,A71,0)-1&lt;0,0,IF(A71&lt;=$B$16,A71,0)-1)</f>
        <v/>
      </c>
      <c r="C71" s="77">
        <f>1/(COUNTIF($B$48:$B$77,"&gt;="&amp;1)+1)</f>
        <v/>
      </c>
      <c r="D71" s="39">
        <f>IF(B71=0,0,C71*$B$17*$B$8)</f>
        <v/>
      </c>
      <c r="E71" s="39">
        <f>B71*$B$18</f>
        <v/>
      </c>
      <c r="F71" s="39">
        <f>E71*D71</f>
        <v/>
      </c>
    </row>
    <row r="72">
      <c r="A72" s="39" t="n">
        <v>25</v>
      </c>
      <c r="B72" s="39">
        <f>IF(IF(A72&lt;=$B$16,A72,0)-1&lt;0,0,IF(A72&lt;=$B$16,A72,0)-1)</f>
        <v/>
      </c>
      <c r="C72" s="77">
        <f>1/(COUNTIF($B$48:$B$77,"&gt;="&amp;1)+1)</f>
        <v/>
      </c>
      <c r="D72" s="39">
        <f>IF(B72=0,0,C72*$B$17*$B$8)</f>
        <v/>
      </c>
      <c r="E72" s="39">
        <f>B72*$B$18</f>
        <v/>
      </c>
      <c r="F72" s="39">
        <f>E72*D72</f>
        <v/>
      </c>
    </row>
    <row r="73">
      <c r="A73" s="39" t="n">
        <v>26</v>
      </c>
      <c r="B73" s="39">
        <f>IF(IF(A73&lt;=$B$16,A73,0)-1&lt;0,0,IF(A73&lt;=$B$16,A73,0)-1)</f>
        <v/>
      </c>
      <c r="C73" s="77">
        <f>1/(COUNTIF($B$48:$B$77,"&gt;="&amp;1)+1)</f>
        <v/>
      </c>
      <c r="D73" s="39">
        <f>IF(B73=0,0,C73*$B$17*$B$8)</f>
        <v/>
      </c>
      <c r="E73" s="39">
        <f>B73*$B$18</f>
        <v/>
      </c>
      <c r="F73" s="39">
        <f>E73*D73</f>
        <v/>
      </c>
    </row>
    <row r="74">
      <c r="A74" s="39" t="n">
        <v>27</v>
      </c>
      <c r="B74" s="39">
        <f>IF(IF(A74&lt;=$B$16,A74,0)-1&lt;0,0,IF(A74&lt;=$B$16,A74,0)-1)</f>
        <v/>
      </c>
      <c r="C74" s="77">
        <f>1/(COUNTIF($B$48:$B$77,"&gt;="&amp;1)+1)</f>
        <v/>
      </c>
      <c r="D74" s="39">
        <f>IF(B74=0,0,C74*$B$17*$B$8)</f>
        <v/>
      </c>
      <c r="E74" s="39">
        <f>B74*$B$18</f>
        <v/>
      </c>
      <c r="F74" s="39">
        <f>E74*D74</f>
        <v/>
      </c>
    </row>
    <row r="75">
      <c r="A75" s="39" t="n">
        <v>28</v>
      </c>
      <c r="B75" s="39">
        <f>IF(IF(A75&lt;=$B$16,A75,0)-1&lt;0,0,IF(A75&lt;=$B$16,A75,0)-1)</f>
        <v/>
      </c>
      <c r="C75" s="77">
        <f>1/(COUNTIF($B$48:$B$77,"&gt;="&amp;1)+1)</f>
        <v/>
      </c>
      <c r="D75" s="39">
        <f>IF(B75=0,0,C75*$B$17*$B$8)</f>
        <v/>
      </c>
      <c r="E75" s="39">
        <f>B75*$B$18</f>
        <v/>
      </c>
      <c r="F75" s="39">
        <f>E75*D75</f>
        <v/>
      </c>
    </row>
    <row r="76">
      <c r="A76" s="39" t="n">
        <v>29</v>
      </c>
      <c r="B76" s="39">
        <f>IF(IF(A76&lt;=$B$16,A76,0)-1&lt;0,0,IF(A76&lt;=$B$16,A76,0)-1)</f>
        <v/>
      </c>
      <c r="C76" s="77">
        <f>1/(COUNTIF($B$48:$B$77,"&gt;="&amp;1)+1)</f>
        <v/>
      </c>
      <c r="D76" s="39">
        <f>IF(B76=0,0,C76*$B$17*$B$8)</f>
        <v/>
      </c>
      <c r="E76" s="39">
        <f>B76*$B$18</f>
        <v/>
      </c>
      <c r="F76" s="39">
        <f>E76*D76</f>
        <v/>
      </c>
    </row>
    <row r="77">
      <c r="A77" s="39" t="n">
        <v>30</v>
      </c>
      <c r="B77" s="39">
        <f>IF(IF(A77&lt;=$B$16,A77,0)-1&lt;0,0,IF(A77&lt;=$B$16,A77,0)-1)</f>
        <v/>
      </c>
      <c r="C77" s="77">
        <f>1/(COUNTIF($B$48:$B$77,"&gt;="&amp;1)+1)</f>
        <v/>
      </c>
      <c r="D77" s="39">
        <f>IF(B77=0,0,C77*$B$17*$B$8)</f>
        <v/>
      </c>
      <c r="E77" s="39">
        <f>B77*$B$18</f>
        <v/>
      </c>
      <c r="F77" s="39">
        <f>E77*D77</f>
        <v/>
      </c>
    </row>
  </sheetData>
  <sheetProtection selectLockedCells="0" selectUnlockedCells="0" algorithmName="SHA-512" sheet="1" objects="1" insertRows="1" insertHyperlinks="1" autoFilter="1" scenarios="1" formatColumns="1" deleteColumns="1" insertColumns="1" pivotTables="1" deleteRows="1" formatCells="1" saltValue="XKNvSWBkEAxZ6bK8HTmE6g==" formatRows="1" sort="1" spinCount="100000" hashValue="VvEPy2t9HoOAZnT7cLrz227sAhjE72dL50I6ZmZ5pYDgaCw8o5Z4j5XxWmguvGmo11VQxK3tH1QnKLsIe7GQYQ=="/>
  <mergeCells count="9">
    <mergeCell ref="L23:O23"/>
    <mergeCell ref="L22:O22"/>
    <mergeCell ref="H10:I10"/>
    <mergeCell ref="L21:O21"/>
    <mergeCell ref="A13:B13"/>
    <mergeCell ref="L20:O20"/>
    <mergeCell ref="L24:O24"/>
    <mergeCell ref="H9:I9"/>
    <mergeCell ref="L25:O25"/>
  </mergeCells>
  <conditionalFormatting sqref="B16">
    <cfRule type="cellIs" priority="1" operator="greaterThan" dxfId="0">
      <formula>$B$15</formula>
    </cfRule>
  </conditionalFormatting>
  <pageMargins left="0.7" right="0.7" top="0.75" bottom="0.75" header="0.3" footer="0.3"/>
  <pageSetup orientation="landscape" paperSize="9" scale="86"/>
  <drawing r:id="rId1"/>
</worksheet>
</file>

<file path=xl/worksheets/sheet21.xml><?xml version="1.0" encoding="utf-8"?>
<worksheet xmlns:r="http://schemas.openxmlformats.org/officeDocument/2006/relationships" xmlns="http://schemas.openxmlformats.org/spreadsheetml/2006/main">
  <sheetPr codeName="Sheet21">
    <tabColor rgb="FFFFC000"/>
    <outlinePr summaryBelow="1" summaryRight="1"/>
    <pageSetUpPr/>
  </sheetPr>
  <dimension ref="A1:CZ47"/>
  <sheetViews>
    <sheetView showGridLines="0" zoomScale="70" zoomScaleNormal="70" workbookViewId="0">
      <selection activeCell="E19" sqref="E19"/>
    </sheetView>
  </sheetViews>
  <sheetFormatPr baseColWidth="10" defaultColWidth="8.6640625" defaultRowHeight="14"/>
  <cols>
    <col width="38.6640625" bestFit="1" customWidth="1" style="1" min="1" max="1"/>
    <col width="24.5" bestFit="1" customWidth="1" style="1" min="2" max="2"/>
    <col width="21.5" bestFit="1" customWidth="1" style="1" min="3" max="3"/>
    <col width="11.33203125" bestFit="1" customWidth="1" style="1" min="4" max="4"/>
    <col width="11.6640625" bestFit="1" customWidth="1" style="1" min="5" max="5"/>
    <col width="20.6640625" bestFit="1" customWidth="1" style="1" min="6" max="6"/>
    <col width="8.6640625" customWidth="1" style="147" min="7" max="7"/>
    <col width="8.5" customWidth="1" style="153" min="8" max="8"/>
    <col width="30.6640625" customWidth="1" style="218" min="9" max="9"/>
    <col width="45.6640625" customWidth="1" style="218" min="10" max="10"/>
    <col width="11.5" customWidth="1" style="153" min="11" max="11"/>
    <col width="6.5" customWidth="1" style="153" min="12" max="12"/>
    <col width="11.6640625" customWidth="1" style="153" min="13" max="13"/>
    <col width="9.33203125" customWidth="1" style="218" min="14" max="14"/>
    <col width="10.6640625" customWidth="1" style="153" min="15" max="15"/>
    <col width="12.5" customWidth="1" style="153" min="16" max="16"/>
    <col width="9.5" customWidth="1" style="153" min="17" max="17"/>
    <col width="11.6640625" customWidth="1" style="153" min="18" max="18"/>
    <col width="11.5" customWidth="1" style="153" min="19" max="19"/>
    <col width="8.6640625" customWidth="1" style="153" min="20" max="20"/>
    <col width="11.33203125" customWidth="1" style="153" min="21" max="21"/>
    <col width="8.6640625" customWidth="1" style="153" min="22" max="22"/>
    <col width="9.33203125" customWidth="1" style="218" min="23" max="23"/>
    <col width="14.33203125" customWidth="1" style="153" min="24" max="24"/>
    <col width="8.6640625" customWidth="1" style="153" min="25" max="26"/>
    <col width="24.6640625" customWidth="1" style="218" min="27" max="27"/>
    <col width="27.6640625" customWidth="1" style="218" min="28" max="28"/>
    <col width="8.6640625" customWidth="1" style="153" min="29" max="31"/>
    <col width="8.6640625" customWidth="1" style="218" min="32" max="32"/>
    <col width="8.6640625" customWidth="1" style="153" min="33" max="40"/>
    <col width="8.6640625" customWidth="1" style="218" min="41" max="41"/>
    <col width="8.6640625" customWidth="1" style="153" min="42" max="44"/>
    <col width="24.6640625" customWidth="1" style="218" min="45" max="45"/>
    <col width="32.6640625" customWidth="1" style="218" min="46" max="46"/>
    <col width="8.6640625" customWidth="1" style="153" min="47" max="49"/>
    <col width="8.6640625" customWidth="1" style="218" min="50" max="50"/>
    <col width="8.6640625" customWidth="1" style="153" min="51" max="58"/>
    <col width="8.6640625" customWidth="1" style="218" min="59" max="59"/>
    <col width="8.6640625" customWidth="1" style="153" min="60" max="62"/>
    <col width="26.83203125" customWidth="1" style="218" min="63" max="63"/>
    <col width="46.33203125" customWidth="1" style="218" min="64" max="64"/>
    <col width="8.6640625" customWidth="1" style="153" min="65" max="67"/>
    <col width="8.6640625" customWidth="1" style="218" min="68" max="68"/>
    <col width="8.6640625" customWidth="1" style="153" min="69" max="76"/>
    <col width="8.6640625" customWidth="1" style="218" min="77" max="77"/>
    <col width="8.6640625" customWidth="1" style="153" min="78" max="78"/>
    <col width="8.6640625" customWidth="1" style="148" min="79" max="80"/>
    <col width="28.33203125" bestFit="1" customWidth="1" style="148" min="81" max="81"/>
    <col width="45" customWidth="1" style="147" min="82" max="82"/>
    <col width="12.6640625" customWidth="1" style="147" min="83" max="83"/>
    <col width="10.5" customWidth="1" style="147" min="84" max="84"/>
    <col width="8.6640625" customWidth="1" style="147" min="85" max="104"/>
    <col width="8.6640625" customWidth="1" style="1" min="105" max="105"/>
    <col width="8.6640625" customWidth="1" style="1" min="106" max="16384"/>
  </cols>
  <sheetData>
    <row r="1" ht="47" customFormat="1" customHeight="1" s="24">
      <c r="A1" s="1" t="n"/>
      <c r="B1" s="1">
        <f>'Master List'!$F$2</f>
        <v/>
      </c>
      <c r="C1" s="1" t="n"/>
      <c r="D1" s="1" t="n"/>
      <c r="E1" s="1" t="n"/>
      <c r="F1" s="1" t="n"/>
      <c r="G1" s="147" t="n"/>
      <c r="H1" s="153" t="n"/>
      <c r="I1" s="153" t="n"/>
      <c r="J1" s="214" t="n"/>
      <c r="K1" s="214" t="n"/>
      <c r="L1" s="214" t="n"/>
      <c r="M1" s="214" t="n"/>
      <c r="N1" s="214" t="n"/>
      <c r="O1" s="214" t="n"/>
      <c r="P1" s="214" t="n"/>
      <c r="Q1" s="214" t="n"/>
      <c r="R1" s="214" t="n"/>
      <c r="S1" s="214" t="n"/>
      <c r="T1" s="214" t="n"/>
      <c r="U1" s="214" t="n"/>
      <c r="V1" s="214" t="n"/>
      <c r="W1" s="216" t="n"/>
      <c r="X1" s="216" t="n"/>
      <c r="Y1" s="214" t="n"/>
      <c r="Z1" s="214" t="n"/>
      <c r="AA1" s="214" t="n"/>
      <c r="AB1" s="214" t="n"/>
      <c r="AC1" s="214" t="n"/>
      <c r="AD1" s="214" t="n"/>
      <c r="AE1" s="214" t="n"/>
      <c r="AF1" s="214" t="n"/>
      <c r="AG1" s="214" t="n"/>
      <c r="AH1" s="214" t="n"/>
      <c r="AI1" s="214" t="n"/>
      <c r="AJ1" s="214" t="n"/>
      <c r="AK1" s="214" t="n"/>
      <c r="AL1" s="214" t="n"/>
      <c r="AM1" s="214" t="n"/>
      <c r="AN1" s="214" t="n"/>
      <c r="AO1" s="214" t="n"/>
      <c r="AP1" s="214" t="n"/>
      <c r="AQ1" s="214" t="n"/>
      <c r="AR1" s="214" t="n"/>
      <c r="AS1" s="214" t="n"/>
      <c r="AT1" s="214" t="n"/>
      <c r="AU1" s="214" t="n"/>
      <c r="AV1" s="214" t="n"/>
      <c r="AW1" s="214" t="n"/>
      <c r="AX1" s="214" t="n"/>
      <c r="AY1" s="214" t="n"/>
      <c r="AZ1" s="214" t="n"/>
      <c r="BA1" s="214" t="n"/>
      <c r="BB1" s="214" t="n"/>
      <c r="BC1" s="214" t="n"/>
      <c r="BD1" s="214" t="n"/>
      <c r="BE1" s="214" t="n"/>
      <c r="BF1" s="214" t="n"/>
      <c r="BG1" s="214" t="n"/>
      <c r="BH1" s="214" t="n"/>
      <c r="BI1" s="214" t="n"/>
      <c r="BJ1" s="214" t="n"/>
      <c r="BK1" s="214" t="n"/>
      <c r="BL1" s="214" t="n"/>
      <c r="BM1" s="214" t="n"/>
      <c r="BN1" s="214" t="n"/>
      <c r="BO1" s="214" t="n"/>
      <c r="BP1" s="214" t="n"/>
      <c r="BQ1" s="214" t="n"/>
      <c r="BR1" s="214" t="n"/>
      <c r="BS1" s="214" t="n"/>
      <c r="BT1" s="214" t="n"/>
      <c r="BU1" s="214" t="n"/>
      <c r="BV1" s="214" t="n"/>
      <c r="BW1" s="214" t="n"/>
      <c r="BX1" s="214" t="n"/>
      <c r="BY1" s="214" t="n"/>
      <c r="BZ1" s="214" t="n"/>
      <c r="CA1" s="149" t="n"/>
      <c r="CB1" s="149" t="n"/>
      <c r="CC1" s="149" t="n"/>
      <c r="CD1" s="150" t="n"/>
      <c r="CE1" s="150" t="n"/>
      <c r="CF1" s="150" t="n"/>
      <c r="CG1" s="150" t="n"/>
      <c r="CH1" s="150" t="n"/>
      <c r="CI1" s="150" t="n"/>
      <c r="CJ1" s="150" t="n"/>
      <c r="CK1" s="150" t="n"/>
      <c r="CL1" s="150" t="n"/>
      <c r="CM1" s="150" t="n"/>
      <c r="CN1" s="150" t="n"/>
      <c r="CO1" s="150" t="n"/>
      <c r="CP1" s="150" t="n"/>
      <c r="CQ1" s="150" t="n"/>
      <c r="CR1" s="150" t="n"/>
      <c r="CS1" s="150" t="n"/>
      <c r="CT1" s="150" t="n"/>
      <c r="CU1" s="150" t="n"/>
      <c r="CV1" s="150" t="n"/>
      <c r="CW1" s="150" t="n"/>
      <c r="CX1" s="150" t="n"/>
      <c r="CY1" s="150" t="n"/>
      <c r="CZ1" s="150" t="n"/>
    </row>
    <row r="2" ht="22.5" customHeight="1" s="516">
      <c r="A2" s="180" t="inlineStr">
        <is>
          <t>Project name</t>
        </is>
      </c>
      <c r="B2" s="408">
        <f>'Quadron Input Output'!B2</f>
        <v/>
      </c>
      <c r="H2" s="217" t="n"/>
      <c r="I2" s="217" t="n"/>
      <c r="J2" s="217" t="n"/>
      <c r="K2" s="217" t="n"/>
      <c r="L2" s="217" t="n"/>
      <c r="M2" s="217" t="n"/>
      <c r="N2" s="217" t="n"/>
      <c r="O2" s="217" t="n"/>
      <c r="P2" s="217" t="n"/>
      <c r="Q2" s="217" t="n"/>
      <c r="R2" s="217" t="n"/>
      <c r="S2" s="217" t="n"/>
      <c r="T2" s="217" t="n"/>
      <c r="U2" s="217" t="n"/>
      <c r="V2" s="217" t="n"/>
      <c r="W2" s="217" t="n"/>
      <c r="X2" s="217" t="n"/>
      <c r="AA2" s="153" t="n"/>
      <c r="AB2" s="153" t="n"/>
      <c r="AF2" s="153" t="n"/>
      <c r="AO2" s="153" t="n"/>
      <c r="AS2" s="153" t="n"/>
      <c r="AT2" s="153" t="n"/>
      <c r="AX2" s="153" t="n"/>
      <c r="BG2" s="153" t="n"/>
      <c r="BK2" s="153" t="n"/>
      <c r="BL2" s="153" t="n"/>
      <c r="BP2" s="153" t="n"/>
      <c r="BY2" s="153" t="n"/>
    </row>
    <row r="3" ht="22.5" customHeight="1" s="516">
      <c r="A3" s="180" t="inlineStr">
        <is>
          <t>Revision</t>
        </is>
      </c>
      <c r="B3" s="408">
        <f>'Quadron Input Output'!B3</f>
        <v/>
      </c>
      <c r="H3" s="532">
        <f>A18</f>
        <v/>
      </c>
      <c r="I3" s="525" t="n"/>
      <c r="J3" s="525" t="n"/>
      <c r="K3" s="525" t="n"/>
      <c r="L3" s="525" t="n"/>
      <c r="M3" s="525" t="n"/>
      <c r="N3" s="525" t="n"/>
      <c r="O3" s="525" t="n"/>
      <c r="P3" s="525" t="n"/>
      <c r="Q3" s="525" t="n"/>
      <c r="R3" s="525" t="n"/>
      <c r="S3" s="525" t="n"/>
      <c r="T3" s="525" t="n"/>
      <c r="U3" s="525" t="n"/>
      <c r="V3" s="525" t="n"/>
      <c r="W3" s="525" t="n"/>
      <c r="X3" s="526" t="n"/>
      <c r="Z3" s="532">
        <f>A19</f>
        <v/>
      </c>
      <c r="AA3" s="525" t="n"/>
      <c r="AB3" s="525" t="n"/>
      <c r="AC3" s="525" t="n"/>
      <c r="AD3" s="525" t="n"/>
      <c r="AE3" s="525" t="n"/>
      <c r="AF3" s="525" t="n"/>
      <c r="AG3" s="525" t="n"/>
      <c r="AH3" s="525" t="n"/>
      <c r="AI3" s="525" t="n"/>
      <c r="AJ3" s="525" t="n"/>
      <c r="AK3" s="525" t="n"/>
      <c r="AL3" s="525" t="n"/>
      <c r="AM3" s="525" t="n"/>
      <c r="AN3" s="525" t="n"/>
      <c r="AO3" s="525" t="n"/>
      <c r="AP3" s="526" t="n"/>
      <c r="AR3" s="532">
        <f>A20</f>
        <v/>
      </c>
      <c r="AS3" s="525" t="n"/>
      <c r="AT3" s="525" t="n"/>
      <c r="AU3" s="525" t="n"/>
      <c r="AV3" s="525" t="n"/>
      <c r="AW3" s="525" t="n"/>
      <c r="AX3" s="525" t="n"/>
      <c r="AY3" s="525" t="n"/>
      <c r="AZ3" s="525" t="n"/>
      <c r="BA3" s="525" t="n"/>
      <c r="BB3" s="525" t="n"/>
      <c r="BC3" s="525" t="n"/>
      <c r="BD3" s="525" t="n"/>
      <c r="BE3" s="525" t="n"/>
      <c r="BF3" s="525" t="n"/>
      <c r="BG3" s="525" t="n"/>
      <c r="BH3" s="526" t="n"/>
      <c r="BJ3" s="532">
        <f>A21</f>
        <v/>
      </c>
      <c r="BK3" s="525" t="n"/>
      <c r="BL3" s="525" t="n"/>
      <c r="BM3" s="525" t="n"/>
      <c r="BN3" s="525" t="n"/>
      <c r="BO3" s="525" t="n"/>
      <c r="BP3" s="525" t="n"/>
      <c r="BQ3" s="525" t="n"/>
      <c r="BR3" s="525" t="n"/>
      <c r="BS3" s="525" t="n"/>
      <c r="BT3" s="525" t="n"/>
      <c r="BU3" s="525" t="n"/>
      <c r="BV3" s="525" t="n"/>
      <c r="BW3" s="525" t="n"/>
      <c r="BX3" s="525" t="n"/>
      <c r="BY3" s="525" t="n"/>
      <c r="BZ3" s="526" t="n"/>
      <c r="CB3" s="532" t="inlineStr">
        <is>
          <t>Reshuffling</t>
        </is>
      </c>
      <c r="CC3" s="525" t="n"/>
      <c r="CD3" s="525" t="n"/>
      <c r="CE3" s="525" t="n"/>
      <c r="CF3" s="525" t="n"/>
      <c r="CG3" s="525" t="n"/>
      <c r="CH3" s="525" t="n"/>
      <c r="CI3" s="525" t="n"/>
      <c r="CJ3" s="525" t="n"/>
      <c r="CK3" s="525" t="n"/>
      <c r="CL3" s="525" t="n"/>
      <c r="CM3" s="525" t="n"/>
      <c r="CN3" s="525" t="n"/>
      <c r="CO3" s="525" t="n"/>
      <c r="CP3" s="525" t="n"/>
      <c r="CQ3" s="525" t="n"/>
      <c r="CR3" s="526" t="n"/>
    </row>
    <row r="4" ht="18" customHeight="1" s="516">
      <c r="H4" s="531" t="inlineStr">
        <is>
          <t>S.No</t>
        </is>
      </c>
      <c r="I4" s="530" t="inlineStr">
        <is>
          <t>Cycles / Hour</t>
        </is>
      </c>
      <c r="J4" s="522" t="n"/>
      <c r="K4" s="522" t="n"/>
      <c r="L4" s="522" t="n"/>
      <c r="M4" s="522" t="n"/>
      <c r="N4" s="522" t="n"/>
      <c r="O4" s="522" t="n"/>
      <c r="P4" s="522" t="n"/>
      <c r="Q4" s="522" t="n"/>
      <c r="R4" s="522" t="n"/>
      <c r="S4" s="522" t="n"/>
      <c r="T4" s="522" t="n"/>
      <c r="U4" s="522" t="n"/>
      <c r="V4" s="522" t="n"/>
      <c r="W4" s="523" t="n"/>
      <c r="X4" s="155">
        <f>3600/X5</f>
        <v/>
      </c>
      <c r="Z4" s="531" t="inlineStr">
        <is>
          <t>S.No</t>
        </is>
      </c>
      <c r="AA4" s="530" t="inlineStr">
        <is>
          <t>Cycles / Hour</t>
        </is>
      </c>
      <c r="AB4" s="522" t="n"/>
      <c r="AC4" s="522" t="n"/>
      <c r="AD4" s="522" t="n"/>
      <c r="AE4" s="522" t="n"/>
      <c r="AF4" s="522" t="n"/>
      <c r="AG4" s="522" t="n"/>
      <c r="AH4" s="522" t="n"/>
      <c r="AI4" s="522" t="n"/>
      <c r="AJ4" s="522" t="n"/>
      <c r="AK4" s="522" t="n"/>
      <c r="AL4" s="522" t="n"/>
      <c r="AM4" s="522" t="n"/>
      <c r="AN4" s="522" t="n"/>
      <c r="AO4" s="523" t="n"/>
      <c r="AP4" s="155">
        <f>3600/AP5</f>
        <v/>
      </c>
      <c r="AR4" s="531" t="inlineStr">
        <is>
          <t>S.No</t>
        </is>
      </c>
      <c r="AS4" s="530" t="inlineStr">
        <is>
          <t>Cycles / Hour</t>
        </is>
      </c>
      <c r="AT4" s="522" t="n"/>
      <c r="AU4" s="522" t="n"/>
      <c r="AV4" s="522" t="n"/>
      <c r="AW4" s="522" t="n"/>
      <c r="AX4" s="522" t="n"/>
      <c r="AY4" s="522" t="n"/>
      <c r="AZ4" s="522" t="n"/>
      <c r="BA4" s="522" t="n"/>
      <c r="BB4" s="522" t="n"/>
      <c r="BC4" s="522" t="n"/>
      <c r="BD4" s="522" t="n"/>
      <c r="BE4" s="522" t="n"/>
      <c r="BF4" s="522" t="n"/>
      <c r="BG4" s="523" t="n"/>
      <c r="BH4" s="155">
        <f>3600/BH5</f>
        <v/>
      </c>
      <c r="BJ4" s="531" t="inlineStr">
        <is>
          <t>S.No</t>
        </is>
      </c>
      <c r="BK4" s="530" t="inlineStr">
        <is>
          <t>Cycles / Hour</t>
        </is>
      </c>
      <c r="BL4" s="522" t="n"/>
      <c r="BM4" s="522" t="n"/>
      <c r="BN4" s="522" t="n"/>
      <c r="BO4" s="522" t="n"/>
      <c r="BP4" s="522" t="n"/>
      <c r="BQ4" s="522" t="n"/>
      <c r="BR4" s="522" t="n"/>
      <c r="BS4" s="522" t="n"/>
      <c r="BT4" s="522" t="n"/>
      <c r="BU4" s="522" t="n"/>
      <c r="BV4" s="522" t="n"/>
      <c r="BW4" s="522" t="n"/>
      <c r="BX4" s="522" t="n"/>
      <c r="BY4" s="523" t="n"/>
      <c r="BZ4" s="155">
        <f>3600/BZ5</f>
        <v/>
      </c>
      <c r="CB4" s="531" t="inlineStr">
        <is>
          <t>S.No</t>
        </is>
      </c>
      <c r="CC4" s="530" t="inlineStr">
        <is>
          <t>Cycles / Hour</t>
        </is>
      </c>
      <c r="CD4" s="522" t="n"/>
      <c r="CE4" s="522" t="n"/>
      <c r="CF4" s="522" t="n"/>
      <c r="CG4" s="522" t="n"/>
      <c r="CH4" s="522" t="n"/>
      <c r="CI4" s="522" t="n"/>
      <c r="CJ4" s="522" t="n"/>
      <c r="CK4" s="522" t="n"/>
      <c r="CL4" s="522" t="n"/>
      <c r="CM4" s="522" t="n"/>
      <c r="CN4" s="522" t="n"/>
      <c r="CO4" s="522" t="n"/>
      <c r="CP4" s="522" t="n"/>
      <c r="CQ4" s="523" t="n"/>
      <c r="CR4" s="155">
        <f>3600/CR5</f>
        <v/>
      </c>
    </row>
    <row r="5" ht="18" customHeight="1" s="516">
      <c r="H5" s="528" t="n"/>
      <c r="I5" s="530" t="inlineStr">
        <is>
          <t>Effective Cycle Time</t>
        </is>
      </c>
      <c r="J5" s="522" t="n"/>
      <c r="K5" s="522" t="n"/>
      <c r="L5" s="522" t="n"/>
      <c r="M5" s="522" t="n"/>
      <c r="N5" s="522" t="n"/>
      <c r="O5" s="522" t="n"/>
      <c r="P5" s="522" t="n"/>
      <c r="Q5" s="522" t="n"/>
      <c r="R5" s="522" t="n"/>
      <c r="S5" s="522" t="n"/>
      <c r="T5" s="522" t="n"/>
      <c r="U5" s="522" t="n"/>
      <c r="V5" s="522" t="n"/>
      <c r="W5" s="523" t="n"/>
      <c r="X5" s="156">
        <f>X7/X6</f>
        <v/>
      </c>
      <c r="Z5" s="528" t="n"/>
      <c r="AA5" s="530" t="inlineStr">
        <is>
          <t>Effective Cycle Time</t>
        </is>
      </c>
      <c r="AB5" s="522" t="n"/>
      <c r="AC5" s="522" t="n"/>
      <c r="AD5" s="522" t="n"/>
      <c r="AE5" s="522" t="n"/>
      <c r="AF5" s="522" t="n"/>
      <c r="AG5" s="522" t="n"/>
      <c r="AH5" s="522" t="n"/>
      <c r="AI5" s="522" t="n"/>
      <c r="AJ5" s="522" t="n"/>
      <c r="AK5" s="522" t="n"/>
      <c r="AL5" s="522" t="n"/>
      <c r="AM5" s="522" t="n"/>
      <c r="AN5" s="522" t="n"/>
      <c r="AO5" s="523" t="n"/>
      <c r="AP5" s="156">
        <f>AP7/AP6</f>
        <v/>
      </c>
      <c r="AR5" s="528" t="n"/>
      <c r="AS5" s="530" t="inlineStr">
        <is>
          <t>Effective Cycle Time</t>
        </is>
      </c>
      <c r="AT5" s="522" t="n"/>
      <c r="AU5" s="522" t="n"/>
      <c r="AV5" s="522" t="n"/>
      <c r="AW5" s="522" t="n"/>
      <c r="AX5" s="522" t="n"/>
      <c r="AY5" s="522" t="n"/>
      <c r="AZ5" s="522" t="n"/>
      <c r="BA5" s="522" t="n"/>
      <c r="BB5" s="522" t="n"/>
      <c r="BC5" s="522" t="n"/>
      <c r="BD5" s="522" t="n"/>
      <c r="BE5" s="522" t="n"/>
      <c r="BF5" s="522" t="n"/>
      <c r="BG5" s="523" t="n"/>
      <c r="BH5" s="156">
        <f>BH7/BH6</f>
        <v/>
      </c>
      <c r="BJ5" s="528" t="n"/>
      <c r="BK5" s="530" t="inlineStr">
        <is>
          <t>Effective Cycle Time</t>
        </is>
      </c>
      <c r="BL5" s="522" t="n"/>
      <c r="BM5" s="522" t="n"/>
      <c r="BN5" s="522" t="n"/>
      <c r="BO5" s="522" t="n"/>
      <c r="BP5" s="522" t="n"/>
      <c r="BQ5" s="522" t="n"/>
      <c r="BR5" s="522" t="n"/>
      <c r="BS5" s="522" t="n"/>
      <c r="BT5" s="522" t="n"/>
      <c r="BU5" s="522" t="n"/>
      <c r="BV5" s="522" t="n"/>
      <c r="BW5" s="522" t="n"/>
      <c r="BX5" s="522" t="n"/>
      <c r="BY5" s="523" t="n"/>
      <c r="BZ5" s="156">
        <f>BZ7/BZ6</f>
        <v/>
      </c>
      <c r="CB5" s="528" t="n"/>
      <c r="CC5" s="530" t="inlineStr">
        <is>
          <t>Effective Cycle Time</t>
        </is>
      </c>
      <c r="CD5" s="522" t="n"/>
      <c r="CE5" s="522" t="n"/>
      <c r="CF5" s="522" t="n"/>
      <c r="CG5" s="522" t="n"/>
      <c r="CH5" s="522" t="n"/>
      <c r="CI5" s="522" t="n"/>
      <c r="CJ5" s="522" t="n"/>
      <c r="CK5" s="522" t="n"/>
      <c r="CL5" s="522" t="n"/>
      <c r="CM5" s="522" t="n"/>
      <c r="CN5" s="522" t="n"/>
      <c r="CO5" s="522" t="n"/>
      <c r="CP5" s="522" t="n"/>
      <c r="CQ5" s="523" t="n"/>
      <c r="CR5" s="156">
        <f>CR7/CR6</f>
        <v/>
      </c>
    </row>
    <row r="6" ht="18" customHeight="1" s="516">
      <c r="B6" s="1" t="inlineStr">
        <is>
          <t>Standard cycles</t>
        </is>
      </c>
      <c r="C6" s="1" t="inlineStr">
        <is>
          <t>Reshuffling cycles</t>
        </is>
      </c>
      <c r="H6" s="528" t="n"/>
      <c r="I6" s="530" t="inlineStr">
        <is>
          <t>Equipment Utilization</t>
        </is>
      </c>
      <c r="J6" s="522" t="n"/>
      <c r="K6" s="522" t="n"/>
      <c r="L6" s="522" t="n"/>
      <c r="M6" s="522" t="n"/>
      <c r="N6" s="522" t="n"/>
      <c r="O6" s="522" t="n"/>
      <c r="P6" s="522" t="n"/>
      <c r="Q6" s="522" t="n"/>
      <c r="R6" s="522" t="n"/>
      <c r="S6" s="522" t="n"/>
      <c r="T6" s="522" t="n"/>
      <c r="U6" s="522" t="n"/>
      <c r="V6" s="522" t="n"/>
      <c r="W6" s="523" t="n"/>
      <c r="X6" s="157">
        <f>'Master List'!$G$1</f>
        <v/>
      </c>
      <c r="Z6" s="528" t="n"/>
      <c r="AA6" s="530" t="inlineStr">
        <is>
          <t>Equipment Utilization</t>
        </is>
      </c>
      <c r="AB6" s="522" t="n"/>
      <c r="AC6" s="522" t="n"/>
      <c r="AD6" s="522" t="n"/>
      <c r="AE6" s="522" t="n"/>
      <c r="AF6" s="522" t="n"/>
      <c r="AG6" s="522" t="n"/>
      <c r="AH6" s="522" t="n"/>
      <c r="AI6" s="522" t="n"/>
      <c r="AJ6" s="522" t="n"/>
      <c r="AK6" s="522" t="n"/>
      <c r="AL6" s="522" t="n"/>
      <c r="AM6" s="522" t="n"/>
      <c r="AN6" s="522" t="n"/>
      <c r="AO6" s="523" t="n"/>
      <c r="AP6" s="157">
        <f>'Master List'!$G$1</f>
        <v/>
      </c>
      <c r="AR6" s="528" t="n"/>
      <c r="AS6" s="530" t="inlineStr">
        <is>
          <t>Equipment Utilization</t>
        </is>
      </c>
      <c r="AT6" s="522" t="n"/>
      <c r="AU6" s="522" t="n"/>
      <c r="AV6" s="522" t="n"/>
      <c r="AW6" s="522" t="n"/>
      <c r="AX6" s="522" t="n"/>
      <c r="AY6" s="522" t="n"/>
      <c r="AZ6" s="522" t="n"/>
      <c r="BA6" s="522" t="n"/>
      <c r="BB6" s="522" t="n"/>
      <c r="BC6" s="522" t="n"/>
      <c r="BD6" s="522" t="n"/>
      <c r="BE6" s="522" t="n"/>
      <c r="BF6" s="522" t="n"/>
      <c r="BG6" s="523" t="n"/>
      <c r="BH6" s="157">
        <f>'Master List'!$G$1</f>
        <v/>
      </c>
      <c r="BJ6" s="528" t="n"/>
      <c r="BK6" s="530" t="inlineStr">
        <is>
          <t>Equipment Utilization</t>
        </is>
      </c>
      <c r="BL6" s="522" t="n"/>
      <c r="BM6" s="522" t="n"/>
      <c r="BN6" s="522" t="n"/>
      <c r="BO6" s="522" t="n"/>
      <c r="BP6" s="522" t="n"/>
      <c r="BQ6" s="522" t="n"/>
      <c r="BR6" s="522" t="n"/>
      <c r="BS6" s="522" t="n"/>
      <c r="BT6" s="522" t="n"/>
      <c r="BU6" s="522" t="n"/>
      <c r="BV6" s="522" t="n"/>
      <c r="BW6" s="522" t="n"/>
      <c r="BX6" s="522" t="n"/>
      <c r="BY6" s="523" t="n"/>
      <c r="BZ6" s="157">
        <f>'Master List'!$G$1</f>
        <v/>
      </c>
      <c r="CB6" s="528" t="n"/>
      <c r="CC6" s="530" t="inlineStr">
        <is>
          <t>Equipment Utilization</t>
        </is>
      </c>
      <c r="CD6" s="522" t="n"/>
      <c r="CE6" s="522" t="n"/>
      <c r="CF6" s="522" t="n"/>
      <c r="CG6" s="522" t="n"/>
      <c r="CH6" s="522" t="n"/>
      <c r="CI6" s="522" t="n"/>
      <c r="CJ6" s="522" t="n"/>
      <c r="CK6" s="522" t="n"/>
      <c r="CL6" s="522" t="n"/>
      <c r="CM6" s="522" t="n"/>
      <c r="CN6" s="522" t="n"/>
      <c r="CO6" s="522" t="n"/>
      <c r="CP6" s="522" t="n"/>
      <c r="CQ6" s="523" t="n"/>
      <c r="CR6" s="157">
        <f>'Master List'!$G$1</f>
        <v/>
      </c>
    </row>
    <row r="7" ht="33.5" customHeight="1" s="516">
      <c r="A7" s="35" t="inlineStr">
        <is>
          <t>Cycles/ Hr</t>
        </is>
      </c>
      <c r="B7" s="53">
        <f>SUMPRODUCT(D18:D21,E18:E21)</f>
        <v/>
      </c>
      <c r="C7" s="53">
        <f>IF('Quadron Input Output'!B12="No",0,CR4)</f>
        <v/>
      </c>
      <c r="D7" s="6" t="n"/>
      <c r="E7" s="6" t="n"/>
      <c r="F7" s="6" t="n"/>
      <c r="G7" s="151" t="n"/>
      <c r="H7" s="528" t="n"/>
      <c r="I7" s="530" t="inlineStr">
        <is>
          <t>Cycle Time</t>
        </is>
      </c>
      <c r="J7" s="522" t="n"/>
      <c r="K7" s="522" t="n"/>
      <c r="L7" s="522" t="n"/>
      <c r="M7" s="522" t="n"/>
      <c r="N7" s="522" t="n"/>
      <c r="O7" s="522" t="n"/>
      <c r="P7" s="522" t="n"/>
      <c r="Q7" s="522" t="n"/>
      <c r="R7" s="522" t="n"/>
      <c r="S7" s="522" t="n"/>
      <c r="T7" s="522" t="n"/>
      <c r="U7" s="522" t="n"/>
      <c r="V7" s="522" t="n"/>
      <c r="W7" s="523" t="n"/>
      <c r="X7" s="158">
        <f>SUM(X9:X96)</f>
        <v/>
      </c>
      <c r="Z7" s="528" t="n"/>
      <c r="AA7" s="530" t="inlineStr">
        <is>
          <t>Cycle Time</t>
        </is>
      </c>
      <c r="AB7" s="522" t="n"/>
      <c r="AC7" s="522" t="n"/>
      <c r="AD7" s="522" t="n"/>
      <c r="AE7" s="522" t="n"/>
      <c r="AF7" s="522" t="n"/>
      <c r="AG7" s="522" t="n"/>
      <c r="AH7" s="522" t="n"/>
      <c r="AI7" s="522" t="n"/>
      <c r="AJ7" s="522" t="n"/>
      <c r="AK7" s="522" t="n"/>
      <c r="AL7" s="522" t="n"/>
      <c r="AM7" s="522" t="n"/>
      <c r="AN7" s="522" t="n"/>
      <c r="AO7" s="523" t="n"/>
      <c r="AP7" s="158">
        <f>SUM(AP9:AP96)</f>
        <v/>
      </c>
      <c r="AR7" s="528" t="n"/>
      <c r="AS7" s="530" t="inlineStr">
        <is>
          <t>Cycle Time</t>
        </is>
      </c>
      <c r="AT7" s="522" t="n"/>
      <c r="AU7" s="522" t="n"/>
      <c r="AV7" s="522" t="n"/>
      <c r="AW7" s="522" t="n"/>
      <c r="AX7" s="522" t="n"/>
      <c r="AY7" s="522" t="n"/>
      <c r="AZ7" s="522" t="n"/>
      <c r="BA7" s="522" t="n"/>
      <c r="BB7" s="522" t="n"/>
      <c r="BC7" s="522" t="n"/>
      <c r="BD7" s="522" t="n"/>
      <c r="BE7" s="522" t="n"/>
      <c r="BF7" s="522" t="n"/>
      <c r="BG7" s="523" t="n"/>
      <c r="BH7" s="158">
        <f>SUM(BH9:BH96)</f>
        <v/>
      </c>
      <c r="BJ7" s="528" t="n"/>
      <c r="BK7" s="530" t="inlineStr">
        <is>
          <t>Cycle Time</t>
        </is>
      </c>
      <c r="BL7" s="522" t="n"/>
      <c r="BM7" s="522" t="n"/>
      <c r="BN7" s="522" t="n"/>
      <c r="BO7" s="522" t="n"/>
      <c r="BP7" s="522" t="n"/>
      <c r="BQ7" s="522" t="n"/>
      <c r="BR7" s="522" t="n"/>
      <c r="BS7" s="522" t="n"/>
      <c r="BT7" s="522" t="n"/>
      <c r="BU7" s="522" t="n"/>
      <c r="BV7" s="522" t="n"/>
      <c r="BW7" s="522" t="n"/>
      <c r="BX7" s="522" t="n"/>
      <c r="BY7" s="523" t="n"/>
      <c r="BZ7" s="158">
        <f>SUM(BZ9:BZ96)</f>
        <v/>
      </c>
      <c r="CB7" s="528" t="n"/>
      <c r="CC7" s="530" t="inlineStr">
        <is>
          <t>Cycle Time</t>
        </is>
      </c>
      <c r="CD7" s="522" t="n"/>
      <c r="CE7" s="522" t="n"/>
      <c r="CF7" s="522" t="n"/>
      <c r="CG7" s="522" t="n"/>
      <c r="CH7" s="522" t="n"/>
      <c r="CI7" s="522" t="n"/>
      <c r="CJ7" s="522" t="n"/>
      <c r="CK7" s="522" t="n"/>
      <c r="CL7" s="522" t="n"/>
      <c r="CM7" s="522" t="n"/>
      <c r="CN7" s="522" t="n"/>
      <c r="CO7" s="522" t="n"/>
      <c r="CP7" s="522" t="n"/>
      <c r="CQ7" s="523" t="n"/>
      <c r="CR7" s="158">
        <f>SUM(CR9:CR96)</f>
        <v/>
      </c>
    </row>
    <row r="8" ht="33.5" customFormat="1" customHeight="1" s="6">
      <c r="A8" s="35" t="inlineStr">
        <is>
          <t>Totes/ Cases per Hr</t>
        </is>
      </c>
      <c r="B8" s="53">
        <f>SUMPRODUCT(E18:E21,F18:F21)</f>
        <v/>
      </c>
      <c r="C8" s="53">
        <f>C7</f>
        <v/>
      </c>
      <c r="D8" s="1" t="n"/>
      <c r="E8" s="1" t="n"/>
      <c r="F8" s="1" t="n"/>
      <c r="G8" s="147" t="n"/>
      <c r="H8" s="529" t="n"/>
      <c r="I8" s="531" t="inlineStr">
        <is>
          <t>Activity Type</t>
        </is>
      </c>
      <c r="J8" s="159" t="inlineStr">
        <is>
          <t>Steps</t>
        </is>
      </c>
      <c r="K8" s="159" t="inlineStr">
        <is>
          <t>Time to consider in absence of data (sec)</t>
        </is>
      </c>
      <c r="L8" s="159" t="inlineStr">
        <is>
          <t>Speed (m / sec)</t>
        </is>
      </c>
      <c r="M8" s="159" t="inlineStr">
        <is>
          <t>Acceleration (m / sec^2)</t>
        </is>
      </c>
      <c r="N8" s="159" t="inlineStr">
        <is>
          <t>Total Distance (m)</t>
        </is>
      </c>
      <c r="O8" s="159" t="inlineStr">
        <is>
          <t>Time to Reach Max Speed (sec)</t>
        </is>
      </c>
      <c r="P8" s="159" t="inlineStr">
        <is>
          <t>Distance in accerlaration (m)</t>
        </is>
      </c>
      <c r="Q8" s="159" t="inlineStr">
        <is>
          <t>Distance in Max speed (m)</t>
        </is>
      </c>
      <c r="R8" s="159" t="inlineStr">
        <is>
          <t>Distance in de-acceleration (m)</t>
        </is>
      </c>
      <c r="S8" s="159" t="inlineStr">
        <is>
          <t>Time in acceleration (sec)</t>
        </is>
      </c>
      <c r="T8" s="159" t="inlineStr">
        <is>
          <t>Time in full speed (sec)</t>
        </is>
      </c>
      <c r="U8" s="159" t="inlineStr">
        <is>
          <t>Time in de-acceleration (sec)</t>
        </is>
      </c>
      <c r="V8" s="159" t="inlineStr">
        <is>
          <t>Time (sec)</t>
        </is>
      </c>
      <c r="W8" s="159" t="inlineStr">
        <is>
          <t>Units</t>
        </is>
      </c>
      <c r="X8" s="159" t="inlineStr">
        <is>
          <t>Total Time</t>
        </is>
      </c>
      <c r="Y8" s="154" t="n"/>
      <c r="Z8" s="529" t="n"/>
      <c r="AA8" s="531" t="inlineStr">
        <is>
          <t>Activity Type</t>
        </is>
      </c>
      <c r="AB8" s="159" t="inlineStr">
        <is>
          <t>Steps</t>
        </is>
      </c>
      <c r="AC8" s="159" t="inlineStr">
        <is>
          <t>Time to consider in absence of data (sec)</t>
        </is>
      </c>
      <c r="AD8" s="159" t="inlineStr">
        <is>
          <t>Speed (m / sec)</t>
        </is>
      </c>
      <c r="AE8" s="159" t="inlineStr">
        <is>
          <t>Acceleration (m / sec^2)</t>
        </is>
      </c>
      <c r="AF8" s="159" t="inlineStr">
        <is>
          <t>Total Distance (m)</t>
        </is>
      </c>
      <c r="AG8" s="159" t="inlineStr">
        <is>
          <t>Time to Reach Max Speed (sec)</t>
        </is>
      </c>
      <c r="AH8" s="159" t="inlineStr">
        <is>
          <t>Distance in accerlaration (m)</t>
        </is>
      </c>
      <c r="AI8" s="159" t="inlineStr">
        <is>
          <t>Distance in Max speed (m)</t>
        </is>
      </c>
      <c r="AJ8" s="159" t="inlineStr">
        <is>
          <t>Distance in de-acceleration (m)</t>
        </is>
      </c>
      <c r="AK8" s="159" t="inlineStr">
        <is>
          <t>Time in acceleration (sec)</t>
        </is>
      </c>
      <c r="AL8" s="159" t="inlineStr">
        <is>
          <t>Time in full speed (sec)</t>
        </is>
      </c>
      <c r="AM8" s="159" t="inlineStr">
        <is>
          <t>Time in de-acceleration (sec)</t>
        </is>
      </c>
      <c r="AN8" s="159" t="inlineStr">
        <is>
          <t>Time (sec)</t>
        </is>
      </c>
      <c r="AO8" s="159" t="inlineStr">
        <is>
          <t>Units</t>
        </is>
      </c>
      <c r="AP8" s="159" t="inlineStr">
        <is>
          <t>Total Time</t>
        </is>
      </c>
      <c r="AQ8" s="154" t="n"/>
      <c r="AR8" s="529" t="n"/>
      <c r="AS8" s="531" t="inlineStr">
        <is>
          <t>Activity Type</t>
        </is>
      </c>
      <c r="AT8" s="159" t="inlineStr">
        <is>
          <t>Steps</t>
        </is>
      </c>
      <c r="AU8" s="159" t="inlineStr">
        <is>
          <t>Time to consider in absence of data (sec)</t>
        </is>
      </c>
      <c r="AV8" s="159" t="inlineStr">
        <is>
          <t>Speed (m / sec)</t>
        </is>
      </c>
      <c r="AW8" s="159" t="inlineStr">
        <is>
          <t>Acceleration (m / sec^2)</t>
        </is>
      </c>
      <c r="AX8" s="159" t="inlineStr">
        <is>
          <t>Total Distance (m)</t>
        </is>
      </c>
      <c r="AY8" s="159" t="inlineStr">
        <is>
          <t>Time to Reach Max Speed (sec)</t>
        </is>
      </c>
      <c r="AZ8" s="159" t="inlineStr">
        <is>
          <t>Distance in accerlaration (m)</t>
        </is>
      </c>
      <c r="BA8" s="159" t="inlineStr">
        <is>
          <t>Distance in Max speed (m)</t>
        </is>
      </c>
      <c r="BB8" s="159" t="inlineStr">
        <is>
          <t>Distance in de-acceleration (m)</t>
        </is>
      </c>
      <c r="BC8" s="159" t="inlineStr">
        <is>
          <t>Time in acceleration (sec)</t>
        </is>
      </c>
      <c r="BD8" s="159" t="inlineStr">
        <is>
          <t>Time in full speed (sec)</t>
        </is>
      </c>
      <c r="BE8" s="159" t="inlineStr">
        <is>
          <t>Time in de-acceleration (sec)</t>
        </is>
      </c>
      <c r="BF8" s="159" t="inlineStr">
        <is>
          <t>Time (sec)</t>
        </is>
      </c>
      <c r="BG8" s="159" t="inlineStr">
        <is>
          <t>Units</t>
        </is>
      </c>
      <c r="BH8" s="159" t="inlineStr">
        <is>
          <t>Total Time</t>
        </is>
      </c>
      <c r="BI8" s="154" t="n"/>
      <c r="BJ8" s="529" t="n"/>
      <c r="BK8" s="531" t="inlineStr">
        <is>
          <t>Activity Type</t>
        </is>
      </c>
      <c r="BL8" s="159" t="inlineStr">
        <is>
          <t>Steps</t>
        </is>
      </c>
      <c r="BM8" s="159" t="inlineStr">
        <is>
          <t>Time to consider in absence of data (sec)</t>
        </is>
      </c>
      <c r="BN8" s="159" t="inlineStr">
        <is>
          <t>Speed (m / sec)</t>
        </is>
      </c>
      <c r="BO8" s="159" t="inlineStr">
        <is>
          <t>Acceleration (m / sec^2)</t>
        </is>
      </c>
      <c r="BP8" s="159" t="inlineStr">
        <is>
          <t>Total Distance (m)</t>
        </is>
      </c>
      <c r="BQ8" s="159" t="inlineStr">
        <is>
          <t>Time to Reach Max Speed (sec)</t>
        </is>
      </c>
      <c r="BR8" s="159" t="inlineStr">
        <is>
          <t>Distance in accerlaration (m)</t>
        </is>
      </c>
      <c r="BS8" s="159" t="inlineStr">
        <is>
          <t>Distance in Max speed (m)</t>
        </is>
      </c>
      <c r="BT8" s="159" t="inlineStr">
        <is>
          <t>Distance in de-acceleration (m)</t>
        </is>
      </c>
      <c r="BU8" s="159" t="inlineStr">
        <is>
          <t>Time in acceleration (sec)</t>
        </is>
      </c>
      <c r="BV8" s="159" t="inlineStr">
        <is>
          <t>Time in full speed (sec)</t>
        </is>
      </c>
      <c r="BW8" s="159" t="inlineStr">
        <is>
          <t>Time in de-acceleration (sec)</t>
        </is>
      </c>
      <c r="BX8" s="159" t="inlineStr">
        <is>
          <t>Time (sec)</t>
        </is>
      </c>
      <c r="BY8" s="159" t="inlineStr">
        <is>
          <t>Units</t>
        </is>
      </c>
      <c r="BZ8" s="159" t="inlineStr">
        <is>
          <t>Total Time</t>
        </is>
      </c>
      <c r="CA8" s="152" t="n"/>
      <c r="CB8" s="529" t="n"/>
      <c r="CC8" s="531" t="inlineStr">
        <is>
          <t>Activity Type</t>
        </is>
      </c>
      <c r="CD8" s="159" t="inlineStr">
        <is>
          <t>Steps</t>
        </is>
      </c>
      <c r="CE8" s="159" t="inlineStr">
        <is>
          <t>Time to consider in absence of data (sec)</t>
        </is>
      </c>
      <c r="CF8" s="159" t="inlineStr">
        <is>
          <t>Speed (m / sec)</t>
        </is>
      </c>
      <c r="CG8" s="159" t="inlineStr">
        <is>
          <t>Acceleration (m / sec^2)</t>
        </is>
      </c>
      <c r="CH8" s="159" t="inlineStr">
        <is>
          <t>Total Distance (m)</t>
        </is>
      </c>
      <c r="CI8" s="159" t="inlineStr">
        <is>
          <t>Time to Reach Max Speed (sec)</t>
        </is>
      </c>
      <c r="CJ8" s="159" t="inlineStr">
        <is>
          <t>Distance in accerlaration (m)</t>
        </is>
      </c>
      <c r="CK8" s="159" t="inlineStr">
        <is>
          <t>Distance in Max speed (m)</t>
        </is>
      </c>
      <c r="CL8" s="159" t="inlineStr">
        <is>
          <t>Distance in de-acceleration (m)</t>
        </is>
      </c>
      <c r="CM8" s="159" t="inlineStr">
        <is>
          <t>Time in acceleration (sec)</t>
        </is>
      </c>
      <c r="CN8" s="159" t="inlineStr">
        <is>
          <t>Time in full speed (sec)</t>
        </is>
      </c>
      <c r="CO8" s="159" t="inlineStr">
        <is>
          <t>Time in de-acceleration (sec)</t>
        </is>
      </c>
      <c r="CP8" s="159" t="inlineStr">
        <is>
          <t>Time (sec)</t>
        </is>
      </c>
      <c r="CQ8" s="159" t="inlineStr">
        <is>
          <t>Units</t>
        </is>
      </c>
      <c r="CR8" s="159" t="inlineStr">
        <is>
          <t>Total Time</t>
        </is>
      </c>
      <c r="CS8" s="151" t="n"/>
      <c r="CT8" s="151" t="n"/>
      <c r="CU8" s="151" t="n"/>
      <c r="CV8" s="151" t="n"/>
      <c r="CW8" s="151" t="n"/>
      <c r="CX8" s="151" t="n"/>
      <c r="CY8" s="151" t="n"/>
      <c r="CZ8" s="151" t="n"/>
    </row>
    <row r="9" ht="19" customHeight="1" s="516">
      <c r="A9" s="63" t="inlineStr">
        <is>
          <t>Quadrons required</t>
        </is>
      </c>
      <c r="B9" s="481">
        <f>B10/B8</f>
        <v/>
      </c>
      <c r="C9" s="481">
        <f>IFERROR(C10/C8,0)</f>
        <v/>
      </c>
      <c r="H9" s="160" t="n">
        <v>1</v>
      </c>
      <c r="I9" s="161" t="inlineStr">
        <is>
          <t>Quadron Forking Single Deep</t>
        </is>
      </c>
      <c r="J9" s="162" t="inlineStr">
        <is>
          <t>Receive tote or case from buffer conveyor</t>
        </is>
      </c>
      <c r="K9" s="163">
        <f>IFERROR(VLOOKUP(I9,'Master List'!$A:$D,2,0),0)</f>
        <v/>
      </c>
      <c r="L9" s="163">
        <f>IFERROR(VLOOKUP(I9,'Master List'!$A:$D,3,0),0)</f>
        <v/>
      </c>
      <c r="M9" s="163">
        <f>IFERROR(VLOOKUP(I9,'Master List'!$A:$D,4,0),0)</f>
        <v/>
      </c>
      <c r="N9" s="163" t="n"/>
      <c r="O9" s="163">
        <f>IFERROR(L9/M9,0)</f>
        <v/>
      </c>
      <c r="P9" s="163">
        <f>IFERROR(IF(N9&lt;((1/2*M9*O9^2)*2),1/2*M9*SQRT((N9/2)*2/M9)^2,1/2*M9*O9^2),0)</f>
        <v/>
      </c>
      <c r="Q9" s="163">
        <f>IFERROR(IF(N9-P9-R9&lt;=0,0,N9-P9-R9),0)</f>
        <v/>
      </c>
      <c r="R9" s="163">
        <f>P9</f>
        <v/>
      </c>
      <c r="S9" s="163">
        <f>IFERROR(IF(N9&lt;((1/2*M9*O9^2)*2),SQRT((N9/2)*2/M9),O9),0)</f>
        <v/>
      </c>
      <c r="T9" s="163">
        <f>IFERROR(Q9/L9,0)</f>
        <v/>
      </c>
      <c r="U9" s="163">
        <f>S9</f>
        <v/>
      </c>
      <c r="V9" s="163">
        <f>IF(K9&gt;0,K9,SUM(S9:U9))</f>
        <v/>
      </c>
      <c r="W9" s="163" t="n">
        <v>1</v>
      </c>
      <c r="X9" s="163">
        <f>V9*W9</f>
        <v/>
      </c>
      <c r="Z9" s="160" t="n">
        <v>1</v>
      </c>
      <c r="AA9" s="161" t="inlineStr">
        <is>
          <t>Quadron Forking Single Deep</t>
        </is>
      </c>
      <c r="AB9" s="162" t="inlineStr">
        <is>
          <t>Receive tote or case from buffer conveyor</t>
        </is>
      </c>
      <c r="AC9" s="163">
        <f>IFERROR(VLOOKUP(AA9,'Master List'!$A:$D,2,0),0)</f>
        <v/>
      </c>
      <c r="AD9" s="163">
        <f>IFERROR(VLOOKUP(AA9,'Master List'!$A:$D,3,0),0)</f>
        <v/>
      </c>
      <c r="AE9" s="163">
        <f>IFERROR(VLOOKUP(AA9,'Master List'!$A:$D,4,0),0)</f>
        <v/>
      </c>
      <c r="AF9" s="163" t="n"/>
      <c r="AG9" s="163">
        <f>IFERROR(AD9/AE9,0)</f>
        <v/>
      </c>
      <c r="AH9" s="163">
        <f>IFERROR(IF(AF9&lt;((1/2*AE9*AG9^2)*2),1/2*AE9*SQRT((AF9/2)*2/AE9)^2,1/2*AE9*AG9^2),0)</f>
        <v/>
      </c>
      <c r="AI9" s="163">
        <f>IFERROR(IF(AF9-AH9-AJ9&lt;=0,0,AF9-AH9-AJ9),0)</f>
        <v/>
      </c>
      <c r="AJ9" s="163">
        <f>AH9</f>
        <v/>
      </c>
      <c r="AK9" s="163">
        <f>IFERROR(IF(AF9&lt;((1/2*AE9*AG9^2)*2),SQRT((AF9/2)*2/AE9),AG9),0)</f>
        <v/>
      </c>
      <c r="AL9" s="163">
        <f>IFERROR(AI9/AD9,0)</f>
        <v/>
      </c>
      <c r="AM9" s="163">
        <f>AK9</f>
        <v/>
      </c>
      <c r="AN9" s="163">
        <f>IF(AC9&gt;0,AC9,SUM(AK9:AM9))</f>
        <v/>
      </c>
      <c r="AO9" s="163" t="n">
        <v>1</v>
      </c>
      <c r="AP9" s="163">
        <f>AN9*AO9</f>
        <v/>
      </c>
      <c r="AR9" s="160" t="n">
        <v>1</v>
      </c>
      <c r="AS9" s="161" t="inlineStr">
        <is>
          <t>Quadron Forking Single Deep</t>
        </is>
      </c>
      <c r="AT9" s="162" t="inlineStr">
        <is>
          <t>Receive tote or case from buffer conveyor</t>
        </is>
      </c>
      <c r="AU9" s="163">
        <f>IFERROR(VLOOKUP(AS9,'Master List'!$A:$D,2,0),0)</f>
        <v/>
      </c>
      <c r="AV9" s="163">
        <f>IFERROR(VLOOKUP(AS9,'Master List'!$A:$D,3,0),0)</f>
        <v/>
      </c>
      <c r="AW9" s="163">
        <f>IFERROR(VLOOKUP(AS9,'Master List'!$A:$D,4,0),0)</f>
        <v/>
      </c>
      <c r="AX9" s="163" t="n"/>
      <c r="AY9" s="163">
        <f>IFERROR(AV9/AW9,0)</f>
        <v/>
      </c>
      <c r="AZ9" s="163">
        <f>IFERROR(IF(AX9&lt;((1/2*AW9*AY9^2)*2),1/2*AW9*SQRT((AX9/2)*2/AW9)^2,1/2*AW9*AY9^2),0)</f>
        <v/>
      </c>
      <c r="BA9" s="163">
        <f>IFERROR(IF(AX9-AZ9-BB9&lt;=0,0,AX9-AZ9-BB9),0)</f>
        <v/>
      </c>
      <c r="BB9" s="163">
        <f>AZ9</f>
        <v/>
      </c>
      <c r="BC9" s="163">
        <f>IFERROR(IF(AX9&lt;((1/2*AW9*AY9^2)*2),SQRT((AX9/2)*2/AW9),AY9),0)</f>
        <v/>
      </c>
      <c r="BD9" s="163">
        <f>IFERROR(BA9/AV9,0)</f>
        <v/>
      </c>
      <c r="BE9" s="163">
        <f>BC9</f>
        <v/>
      </c>
      <c r="BF9" s="163">
        <f>IF(AU9&gt;0,AU9,SUM(BC9:BE9))</f>
        <v/>
      </c>
      <c r="BG9" s="163" t="n">
        <v>1</v>
      </c>
      <c r="BH9" s="163">
        <f>BF9*BG9</f>
        <v/>
      </c>
      <c r="BJ9" s="160" t="n">
        <v>1</v>
      </c>
      <c r="BK9" s="161" t="inlineStr">
        <is>
          <t>Quadron Forking Single Deep</t>
        </is>
      </c>
      <c r="BL9" s="162" t="inlineStr">
        <is>
          <t>Receive tote or case from buffer conveyor</t>
        </is>
      </c>
      <c r="BM9" s="163">
        <f>IFERROR(VLOOKUP(BK9,'Master List'!$A:$D,2,0),0)</f>
        <v/>
      </c>
      <c r="BN9" s="163">
        <f>IFERROR(VLOOKUP(BK9,'Master List'!$A:$D,3,0),0)</f>
        <v/>
      </c>
      <c r="BO9" s="163">
        <f>IFERROR(VLOOKUP(BK9,'Master List'!$A:$D,4,0),0)</f>
        <v/>
      </c>
      <c r="BP9" s="163" t="n"/>
      <c r="BQ9" s="163">
        <f>IFERROR(BN9/BO9,0)</f>
        <v/>
      </c>
      <c r="BR9" s="163">
        <f>IFERROR(IF(BP9&lt;((1/2*BO9*BQ9^2)*2),1/2*BO9*SQRT((BP9/2)*2/BO9)^2,1/2*BO9*BQ9^2),0)</f>
        <v/>
      </c>
      <c r="BS9" s="163">
        <f>IFERROR(IF(BP9-BR9-BT9&lt;=0,0,BP9-BR9-BT9),0)</f>
        <v/>
      </c>
      <c r="BT9" s="163">
        <f>BR9</f>
        <v/>
      </c>
      <c r="BU9" s="163">
        <f>IFERROR(IF(BP9&lt;((1/2*BO9*BQ9^2)*2),SQRT((BP9/2)*2/BO9),BQ9),0)</f>
        <v/>
      </c>
      <c r="BV9" s="163">
        <f>IFERROR(BS9/BN9,0)</f>
        <v/>
      </c>
      <c r="BW9" s="163">
        <f>BU9</f>
        <v/>
      </c>
      <c r="BX9" s="163">
        <f>IF(BM9&gt;0,BM9,SUM(BU9:BW9))</f>
        <v/>
      </c>
      <c r="BY9" s="163" t="n">
        <v>1</v>
      </c>
      <c r="BZ9" s="163">
        <f>BX9*BY9</f>
        <v/>
      </c>
      <c r="CB9" s="160" t="n">
        <v>1</v>
      </c>
      <c r="CC9" s="161" t="inlineStr">
        <is>
          <t>Quadron Forking Single Deep</t>
        </is>
      </c>
      <c r="CD9" s="162" t="inlineStr">
        <is>
          <t>Putaway or pick tote or case (50% time to first deep)</t>
        </is>
      </c>
      <c r="CE9" s="163">
        <f>IFERROR(VLOOKUP(CC9,'Master List'!$A:$D,2,0),0)</f>
        <v/>
      </c>
      <c r="CF9" s="163">
        <f>IFERROR(VLOOKUP(CC9,'Master List'!$A:$D,3,0),0)</f>
        <v/>
      </c>
      <c r="CG9" s="163">
        <f>IFERROR(VLOOKUP(CC9,'Master List'!$A:$D,4,0),0)</f>
        <v/>
      </c>
      <c r="CH9" s="163" t="n"/>
      <c r="CI9" s="163">
        <f>IFERROR(CF9/CG9,0)</f>
        <v/>
      </c>
      <c r="CJ9" s="163">
        <f>IFERROR(IF(CH9&lt;((1/2*CG9*CI9^2)*2),1/2*CG9*SQRT((CH9/2)*2/CG9)^2,1/2*CG9*CI9^2),0)</f>
        <v/>
      </c>
      <c r="CK9" s="163">
        <f>IFERROR(IF(CH9-CJ9-CL9&lt;=0,0,CH9-CJ9-CL9),0)</f>
        <v/>
      </c>
      <c r="CL9" s="163">
        <f>CJ9</f>
        <v/>
      </c>
      <c r="CM9" s="163">
        <f>IFERROR(IF(CH9&lt;((1/2*CG9*CI9^2)*2),SQRT((CH9/2)*2/CG9),CI9),0)</f>
        <v/>
      </c>
      <c r="CN9" s="163">
        <f>IFERROR(CK9/CF9,0)</f>
        <v/>
      </c>
      <c r="CO9" s="163">
        <f>CM9</f>
        <v/>
      </c>
      <c r="CP9" s="163">
        <f>IF(CE9&gt;0,CE9,SUM(CM9:CO9))</f>
        <v/>
      </c>
      <c r="CQ9" s="163">
        <f>0.5*2</f>
        <v/>
      </c>
      <c r="CR9" s="163">
        <f>CP9*CQ9</f>
        <v/>
      </c>
    </row>
    <row r="10" ht="38" customHeight="1" s="516">
      <c r="A10" s="63" t="inlineStr">
        <is>
          <t>Throughput (Totes or cases/ Hr)</t>
        </is>
      </c>
      <c r="B10" s="242">
        <f>SUM('Quadron Input Output'!B7:B8)</f>
        <v/>
      </c>
      <c r="C10" s="242">
        <f>'Quadron Input Output'!B18</f>
        <v/>
      </c>
      <c r="H10" s="160">
        <f>H9+1</f>
        <v/>
      </c>
      <c r="I10" s="161" t="inlineStr">
        <is>
          <t>Quadron Running</t>
        </is>
      </c>
      <c r="J10" s="162" t="inlineStr">
        <is>
          <t>Inbound cycle</t>
        </is>
      </c>
      <c r="K10" s="163">
        <f>IFERROR(VLOOKUP(I10,'Master List'!$A:$D,2,0),0)</f>
        <v/>
      </c>
      <c r="L10" s="163">
        <f>IFERROR(VLOOKUP(I10,'Master List'!$A:$D,3,0),0)</f>
        <v/>
      </c>
      <c r="M10" s="163">
        <f>IFERROR(VLOOKUP(I10,'Master List'!$A:$D,4,0),0)</f>
        <v/>
      </c>
      <c r="N10" s="163">
        <f>C18</f>
        <v/>
      </c>
      <c r="O10" s="163">
        <f>IFERROR(L10/M10,0)</f>
        <v/>
      </c>
      <c r="P10" s="163">
        <f>IFERROR(IF(N10&lt;((1/2*M10*O10^2)*2),1/2*M10*SQRT((N10/2)*2/M10)^2,1/2*M10*O10^2),0)</f>
        <v/>
      </c>
      <c r="Q10" s="163">
        <f>IFERROR(IF(N10-P10-R10&lt;=0,0,N10-P10-R10),0)</f>
        <v/>
      </c>
      <c r="R10" s="163">
        <f>P10</f>
        <v/>
      </c>
      <c r="S10" s="163">
        <f>IFERROR(IF(N10&lt;((1/2*M10*O10^2)*2),SQRT((N10/2)*2/M10),O10),0)</f>
        <v/>
      </c>
      <c r="T10" s="163">
        <f>IFERROR(Q10/L10,0)</f>
        <v/>
      </c>
      <c r="U10" s="163">
        <f>S10</f>
        <v/>
      </c>
      <c r="V10" s="163">
        <f>IF(K10&gt;0,K10,SUM(S10:U10))</f>
        <v/>
      </c>
      <c r="W10" s="163" t="n">
        <v>1</v>
      </c>
      <c r="X10" s="163">
        <f>V10*W10</f>
        <v/>
      </c>
      <c r="Z10" s="160">
        <f>Z9+1</f>
        <v/>
      </c>
      <c r="AA10" s="161" t="inlineStr">
        <is>
          <t>Quadron Running</t>
        </is>
      </c>
      <c r="AB10" s="162" t="inlineStr">
        <is>
          <t>Inbound cycle</t>
        </is>
      </c>
      <c r="AC10" s="163">
        <f>IFERROR(VLOOKUP(AA10,'Master List'!$A:$D,2,0),0)</f>
        <v/>
      </c>
      <c r="AD10" s="163">
        <f>IFERROR(VLOOKUP(AA10,'Master List'!$A:$D,3,0),0)</f>
        <v/>
      </c>
      <c r="AE10" s="163">
        <f>IFERROR(VLOOKUP(AA10,'Master List'!$A:$D,4,0),0)</f>
        <v/>
      </c>
      <c r="AF10" s="163">
        <f>C19</f>
        <v/>
      </c>
      <c r="AG10" s="163">
        <f>IFERROR(AD10/AE10,0)</f>
        <v/>
      </c>
      <c r="AH10" s="163">
        <f>IFERROR(IF(AF10&lt;((1/2*AE10*AG10^2)*2),1/2*AE10*SQRT((AF10/2)*2/AE10)^2,1/2*AE10*AG10^2),0)</f>
        <v/>
      </c>
      <c r="AI10" s="163">
        <f>IFERROR(IF(AF10-AH10-AJ10&lt;=0,0,AF10-AH10-AJ10),0)</f>
        <v/>
      </c>
      <c r="AJ10" s="163">
        <f>AH10</f>
        <v/>
      </c>
      <c r="AK10" s="163">
        <f>IFERROR(IF(AF10&lt;((1/2*AE10*AG10^2)*2),SQRT((AF10/2)*2/AE10),AG10),0)</f>
        <v/>
      </c>
      <c r="AL10" s="163">
        <f>IFERROR(AI10/AD10,0)</f>
        <v/>
      </c>
      <c r="AM10" s="163">
        <f>AK10</f>
        <v/>
      </c>
      <c r="AN10" s="163">
        <f>IF(AC10&gt;0,AC10,SUM(AK10:AM10))</f>
        <v/>
      </c>
      <c r="AO10" s="163" t="n">
        <v>1</v>
      </c>
      <c r="AP10" s="163">
        <f>AN10*AO10</f>
        <v/>
      </c>
      <c r="AR10" s="160">
        <f>AR9+1</f>
        <v/>
      </c>
      <c r="AS10" s="161" t="inlineStr">
        <is>
          <t>Quadron Running</t>
        </is>
      </c>
      <c r="AT10" s="162" t="inlineStr">
        <is>
          <t>Inbound cycle</t>
        </is>
      </c>
      <c r="AU10" s="163">
        <f>IFERROR(VLOOKUP(AS10,'Master List'!$A:$D,2,0),0)</f>
        <v/>
      </c>
      <c r="AV10" s="163">
        <f>IFERROR(VLOOKUP(AS10,'Master List'!$A:$D,3,0),0)</f>
        <v/>
      </c>
      <c r="AW10" s="163">
        <f>IFERROR(VLOOKUP(AS10,'Master List'!$A:$D,4,0),0)</f>
        <v/>
      </c>
      <c r="AX10" s="163">
        <f>C20</f>
        <v/>
      </c>
      <c r="AY10" s="163">
        <f>IFERROR(AV10/AW10,0)</f>
        <v/>
      </c>
      <c r="AZ10" s="163">
        <f>IFERROR(IF(AX10&lt;((1/2*AW10*AY10^2)*2),1/2*AW10*SQRT((AX10/2)*2/AW10)^2,1/2*AW10*AY10^2),0)</f>
        <v/>
      </c>
      <c r="BA10" s="163">
        <f>IFERROR(IF(AX10-AZ10-BB10&lt;=0,0,AX10-AZ10-BB10),0)</f>
        <v/>
      </c>
      <c r="BB10" s="163">
        <f>AZ10</f>
        <v/>
      </c>
      <c r="BC10" s="163">
        <f>IFERROR(IF(AX10&lt;((1/2*AW10*AY10^2)*2),SQRT((AX10/2)*2/AW10),AY10),0)</f>
        <v/>
      </c>
      <c r="BD10" s="163">
        <f>IFERROR(BA10/AV10,0)</f>
        <v/>
      </c>
      <c r="BE10" s="163">
        <f>BC10</f>
        <v/>
      </c>
      <c r="BF10" s="163">
        <f>IF(AU10&gt;0,AU10,SUM(BC10:BE10))</f>
        <v/>
      </c>
      <c r="BG10" s="163" t="n">
        <v>1</v>
      </c>
      <c r="BH10" s="163">
        <f>BF10*BG10</f>
        <v/>
      </c>
      <c r="BJ10" s="160">
        <f>BJ9+1</f>
        <v/>
      </c>
      <c r="BK10" s="161" t="inlineStr">
        <is>
          <t>Quadron Running</t>
        </is>
      </c>
      <c r="BL10" s="162" t="inlineStr">
        <is>
          <t>Single cycle</t>
        </is>
      </c>
      <c r="BM10" s="163">
        <f>IFERROR(VLOOKUP(BK10,'Master List'!$A:$D,2,0),0)</f>
        <v/>
      </c>
      <c r="BN10" s="163">
        <f>IFERROR(VLOOKUP(BK10,'Master List'!$A:$D,3,0),0)</f>
        <v/>
      </c>
      <c r="BO10" s="163">
        <f>IFERROR(VLOOKUP(BK10,'Master List'!$A:$D,4,0),0)</f>
        <v/>
      </c>
      <c r="BP10" s="163">
        <f>C21</f>
        <v/>
      </c>
      <c r="BQ10" s="163">
        <f>IFERROR(BN10/BO10,0)</f>
        <v/>
      </c>
      <c r="BR10" s="163">
        <f>IFERROR(IF(BP10&lt;((1/2*BO10*BQ10^2)*2),1/2*BO10*SQRT((BP10/2)*2/BO10)^2,1/2*BO10*BQ10^2),0)</f>
        <v/>
      </c>
      <c r="BS10" s="163">
        <f>IFERROR(IF(BP10-BR10-BT10&lt;=0,0,BP10-BR10-BT10),0)</f>
        <v/>
      </c>
      <c r="BT10" s="163">
        <f>BR10</f>
        <v/>
      </c>
      <c r="BU10" s="163">
        <f>IFERROR(IF(BP10&lt;((1/2*BO10*BQ10^2)*2),SQRT((BP10/2)*2/BO10),BQ10),0)</f>
        <v/>
      </c>
      <c r="BV10" s="163">
        <f>IFERROR(BS10/BN10,0)</f>
        <v/>
      </c>
      <c r="BW10" s="163">
        <f>BU10</f>
        <v/>
      </c>
      <c r="BX10" s="163">
        <f>IF(BM10&gt;0,BM10,SUM(BU10:BW10))</f>
        <v/>
      </c>
      <c r="BY10" s="163" t="n">
        <v>1</v>
      </c>
      <c r="BZ10" s="163">
        <f>BX10*BY10</f>
        <v/>
      </c>
      <c r="CB10" s="160">
        <f>CB9+1</f>
        <v/>
      </c>
      <c r="CC10" s="161" t="inlineStr">
        <is>
          <t>Quadron Forking Double Deep</t>
        </is>
      </c>
      <c r="CD10" s="162" t="inlineStr">
        <is>
          <t>Putaway or pick tote or case (50% time to second deep)</t>
        </is>
      </c>
      <c r="CE10" s="163">
        <f>IFERROR(VLOOKUP(CC10,'Master List'!$A:$D,2,0),0)</f>
        <v/>
      </c>
      <c r="CF10" s="163">
        <f>IFERROR(VLOOKUP(CC10,'Master List'!$A:$D,3,0),0)</f>
        <v/>
      </c>
      <c r="CG10" s="163">
        <f>IFERROR(VLOOKUP(CC10,'Master List'!$A:$D,4,0),0)</f>
        <v/>
      </c>
      <c r="CH10" s="163">
        <f>U18</f>
        <v/>
      </c>
      <c r="CI10" s="163">
        <f>IFERROR(CF10/CG10,0)</f>
        <v/>
      </c>
      <c r="CJ10" s="163">
        <f>IFERROR(IF(CH10&lt;((1/2*CG10*CI10^2)*2),1/2*CG10*SQRT((CH10/2)*2/CG10)^2,1/2*CG10*CI10^2),0)</f>
        <v/>
      </c>
      <c r="CK10" s="163">
        <f>IFERROR(IF(CH10-CJ10-CL10&lt;=0,0,CH10-CJ10-CL10),0)</f>
        <v/>
      </c>
      <c r="CL10" s="163">
        <f>CJ10</f>
        <v/>
      </c>
      <c r="CM10" s="163">
        <f>IFERROR(IF(CH10&lt;((1/2*CG10*CI10^2)*2),SQRT((CH10/2)*2/CG10),CI10),0)</f>
        <v/>
      </c>
      <c r="CN10" s="163">
        <f>IFERROR(CK10/CF10,0)</f>
        <v/>
      </c>
      <c r="CO10" s="163">
        <f>CM10</f>
        <v/>
      </c>
      <c r="CP10" s="163">
        <f>IF(CE10&gt;0,CE10,SUM(CM10:CO10))</f>
        <v/>
      </c>
      <c r="CQ10" s="163">
        <f>CQ9</f>
        <v/>
      </c>
      <c r="CR10" s="163">
        <f>CP10*CQ10</f>
        <v/>
      </c>
    </row>
    <row r="11">
      <c r="H11" s="160">
        <f>H9+1</f>
        <v/>
      </c>
      <c r="I11" s="161" t="inlineStr">
        <is>
          <t>Quadron Forking Single Deep</t>
        </is>
      </c>
      <c r="J11" s="162" t="inlineStr">
        <is>
          <t>Putaway tote or case (50% time to first deep)</t>
        </is>
      </c>
      <c r="K11" s="163">
        <f>IFERROR(VLOOKUP(I11,'Master List'!$A:$D,2,0),0)</f>
        <v/>
      </c>
      <c r="L11" s="163">
        <f>IFERROR(VLOOKUP(I11,'Master List'!$A:$D,3,0),0)</f>
        <v/>
      </c>
      <c r="M11" s="163">
        <f>IFERROR(VLOOKUP(I11,'Master List'!$A:$D,4,0),0)</f>
        <v/>
      </c>
      <c r="N11" s="163" t="n"/>
      <c r="O11" s="163">
        <f>IFERROR(L11/M11,0)</f>
        <v/>
      </c>
      <c r="P11" s="163">
        <f>IFERROR(IF(N11&lt;((1/2*M11*O11^2)*2),1/2*M11*SQRT((N11/2)*2/M11)^2,1/2*M11*O11^2),0)</f>
        <v/>
      </c>
      <c r="Q11" s="163">
        <f>IFERROR(IF(N11-P11-R11&lt;=0,0,N11-P11-R11),0)</f>
        <v/>
      </c>
      <c r="R11" s="163">
        <f>P11</f>
        <v/>
      </c>
      <c r="S11" s="163">
        <f>IFERROR(IF(N11&lt;((1/2*M11*O11^2)*2),SQRT((N11/2)*2/M11),O11),0)</f>
        <v/>
      </c>
      <c r="T11" s="163">
        <f>IFERROR(Q11/L11,0)</f>
        <v/>
      </c>
      <c r="U11" s="163">
        <f>S11</f>
        <v/>
      </c>
      <c r="V11" s="163">
        <f>IF(K11&gt;0,K11,SUM(S11:U11))</f>
        <v/>
      </c>
      <c r="W11" s="163" t="n">
        <v>0.5</v>
      </c>
      <c r="X11" s="163">
        <f>V11*W11</f>
        <v/>
      </c>
      <c r="Z11" s="160">
        <f>Z9+1</f>
        <v/>
      </c>
      <c r="AA11" s="161" t="inlineStr">
        <is>
          <t>Quadron Forking Single Deep</t>
        </is>
      </c>
      <c r="AB11" s="162" t="inlineStr">
        <is>
          <t>Putaway tote or case (50% time to first deep)</t>
        </is>
      </c>
      <c r="AC11" s="163">
        <f>IFERROR(VLOOKUP(AA11,'Master List'!$A:$D,2,0),0)</f>
        <v/>
      </c>
      <c r="AD11" s="163">
        <f>IFERROR(VLOOKUP(AA11,'Master List'!$A:$D,3,0),0)</f>
        <v/>
      </c>
      <c r="AE11" s="163">
        <f>IFERROR(VLOOKUP(AA11,'Master List'!$A:$D,4,0),0)</f>
        <v/>
      </c>
      <c r="AF11" s="163" t="n"/>
      <c r="AG11" s="163">
        <f>IFERROR(AD11/AE11,0)</f>
        <v/>
      </c>
      <c r="AH11" s="163">
        <f>IFERROR(IF(AF11&lt;((1/2*AE11*AG11^2)*2),1/2*AE11*SQRT((AF11/2)*2/AE11)^2,1/2*AE11*AG11^2),0)</f>
        <v/>
      </c>
      <c r="AI11" s="163">
        <f>IFERROR(IF(AF11-AH11-AJ11&lt;=0,0,AF11-AH11-AJ11),0)</f>
        <v/>
      </c>
      <c r="AJ11" s="163">
        <f>AH11</f>
        <v/>
      </c>
      <c r="AK11" s="163">
        <f>IFERROR(IF(AF11&lt;((1/2*AE11*AG11^2)*2),SQRT((AF11/2)*2/AE11),AG11),0)</f>
        <v/>
      </c>
      <c r="AL11" s="163">
        <f>IFERROR(AI11/AD11,0)</f>
        <v/>
      </c>
      <c r="AM11" s="163">
        <f>AK11</f>
        <v/>
      </c>
      <c r="AN11" s="163">
        <f>IF(AC11&gt;0,AC11,SUM(AK11:AM11))</f>
        <v/>
      </c>
      <c r="AO11" s="163" t="n">
        <v>0.5</v>
      </c>
      <c r="AP11" s="163">
        <f>AN11*AO11</f>
        <v/>
      </c>
      <c r="AR11" s="160">
        <f>AR9+1</f>
        <v/>
      </c>
      <c r="AS11" s="161" t="inlineStr">
        <is>
          <t>Quadron Forking Single Deep</t>
        </is>
      </c>
      <c r="AT11" s="162" t="inlineStr">
        <is>
          <t>Putaway tote or case (50% time to first deep)</t>
        </is>
      </c>
      <c r="AU11" s="163">
        <f>IFERROR(VLOOKUP(AS11,'Master List'!$A:$D,2,0),0)</f>
        <v/>
      </c>
      <c r="AV11" s="163">
        <f>IFERROR(VLOOKUP(AS11,'Master List'!$A:$D,3,0),0)</f>
        <v/>
      </c>
      <c r="AW11" s="163">
        <f>IFERROR(VLOOKUP(AS11,'Master List'!$A:$D,4,0),0)</f>
        <v/>
      </c>
      <c r="AX11" s="163" t="n"/>
      <c r="AY11" s="163">
        <f>IFERROR(AV11/AW11,0)</f>
        <v/>
      </c>
      <c r="AZ11" s="163">
        <f>IFERROR(IF(AX11&lt;((1/2*AW11*AY11^2)*2),1/2*AW11*SQRT((AX11/2)*2/AW11)^2,1/2*AW11*AY11^2),0)</f>
        <v/>
      </c>
      <c r="BA11" s="163">
        <f>IFERROR(IF(AX11-AZ11-BB11&lt;=0,0,AX11-AZ11-BB11),0)</f>
        <v/>
      </c>
      <c r="BB11" s="163">
        <f>AZ11</f>
        <v/>
      </c>
      <c r="BC11" s="163">
        <f>IFERROR(IF(AX11&lt;((1/2*AW11*AY11^2)*2),SQRT((AX11/2)*2/AW11),AY11),0)</f>
        <v/>
      </c>
      <c r="BD11" s="163">
        <f>IFERROR(BA11/AV11,0)</f>
        <v/>
      </c>
      <c r="BE11" s="163">
        <f>BC11</f>
        <v/>
      </c>
      <c r="BF11" s="163">
        <f>IF(AU11&gt;0,AU11,SUM(BC11:BE11))</f>
        <v/>
      </c>
      <c r="BG11" s="163" t="n">
        <v>0.5</v>
      </c>
      <c r="BH11" s="163">
        <f>BF11*BG11</f>
        <v/>
      </c>
      <c r="BJ11" s="160">
        <f>BJ9+1</f>
        <v/>
      </c>
      <c r="BK11" s="161" t="inlineStr">
        <is>
          <t>Quadron Forking Single Deep</t>
        </is>
      </c>
      <c r="BL11" s="162" t="inlineStr">
        <is>
          <t>Putaway or pick tote or case (50% time to first deep)</t>
        </is>
      </c>
      <c r="BM11" s="163">
        <f>IFERROR(VLOOKUP(BK11,'Master List'!$A:$D,2,0),0)</f>
        <v/>
      </c>
      <c r="BN11" s="163">
        <f>IFERROR(VLOOKUP(BK11,'Master List'!$A:$D,3,0),0)</f>
        <v/>
      </c>
      <c r="BO11" s="163">
        <f>IFERROR(VLOOKUP(BK11,'Master List'!$A:$D,4,0),0)</f>
        <v/>
      </c>
      <c r="BP11" s="163" t="n"/>
      <c r="BQ11" s="163">
        <f>IFERROR(BN11/BO11,0)</f>
        <v/>
      </c>
      <c r="BR11" s="163">
        <f>IFERROR(IF(BP11&lt;((1/2*BO11*BQ11^2)*2),1/2*BO11*SQRT((BP11/2)*2/BO11)^2,1/2*BO11*BQ11^2),0)</f>
        <v/>
      </c>
      <c r="BS11" s="163">
        <f>IFERROR(IF(BP11-BR11-BT11&lt;=0,0,BP11-BR11-BT11),0)</f>
        <v/>
      </c>
      <c r="BT11" s="163">
        <f>BR11</f>
        <v/>
      </c>
      <c r="BU11" s="163">
        <f>IFERROR(IF(BP11&lt;((1/2*BO11*BQ11^2)*2),SQRT((BP11/2)*2/BO11),BQ11),0)</f>
        <v/>
      </c>
      <c r="BV11" s="163">
        <f>IFERROR(BS11/BN11,0)</f>
        <v/>
      </c>
      <c r="BW11" s="163">
        <f>BU11</f>
        <v/>
      </c>
      <c r="BX11" s="163">
        <f>IF(BM11&gt;0,BM11,SUM(BU11:BW11))</f>
        <v/>
      </c>
      <c r="BY11" s="163" t="n">
        <v>0.5</v>
      </c>
      <c r="BZ11" s="163">
        <f>BX11*BY11</f>
        <v/>
      </c>
      <c r="CB11" s="160">
        <f>CB9+1</f>
        <v/>
      </c>
      <c r="CC11" s="161" t="inlineStr">
        <is>
          <t>Quadron Running</t>
        </is>
      </c>
      <c r="CD11" s="162" t="inlineStr">
        <is>
          <t>Outbound cycle</t>
        </is>
      </c>
      <c r="CE11" s="163">
        <f>IFERROR(VLOOKUP(CC11,'Master List'!$A:$D,2,0),0)</f>
        <v/>
      </c>
      <c r="CF11" s="163">
        <f>IFERROR(VLOOKUP(CC11,'Master List'!$A:$D,3,0),0)</f>
        <v/>
      </c>
      <c r="CG11" s="163">
        <f>IFERROR(VLOOKUP(CC11,'Master List'!$A:$D,4,0),0)</f>
        <v/>
      </c>
      <c r="CH11" s="163">
        <f>B24</f>
        <v/>
      </c>
      <c r="CI11" s="163">
        <f>IFERROR(CF11/CG11,0)</f>
        <v/>
      </c>
      <c r="CJ11" s="163">
        <f>IFERROR(IF(CH11&lt;((1/2*CG11*CI11^2)*2),1/2*CG11*SQRT((CH11/2)*2/CG11)^2,1/2*CG11*CI11^2),0)</f>
        <v/>
      </c>
      <c r="CK11" s="163">
        <f>IFERROR(IF(CH11-CJ11-CL11&lt;=0,0,CH11-CJ11-CL11),0)</f>
        <v/>
      </c>
      <c r="CL11" s="163">
        <f>CJ11</f>
        <v/>
      </c>
      <c r="CM11" s="163">
        <f>IFERROR(IF(CH11&lt;((1/2*CG11*CI11^2)*2),SQRT((CH11/2)*2/CG11),CI11),0)</f>
        <v/>
      </c>
      <c r="CN11" s="163">
        <f>IFERROR(CK11/CF11,0)</f>
        <v/>
      </c>
      <c r="CO11" s="163">
        <f>CM11</f>
        <v/>
      </c>
      <c r="CP11" s="163">
        <f>IF(CE11&gt;0,CE11,SUM(CM11:CO11))</f>
        <v/>
      </c>
      <c r="CQ11" s="163" t="n">
        <v>2</v>
      </c>
      <c r="CR11" s="163">
        <f>CP11*CQ11</f>
        <v/>
      </c>
    </row>
    <row r="12" ht="24" customHeight="1" s="516">
      <c r="A12" s="468" t="inlineStr">
        <is>
          <t>Total Quadrons required</t>
        </is>
      </c>
      <c r="B12" s="469">
        <f>ROUNDUP(SUM(B9:C9),0)</f>
        <v/>
      </c>
      <c r="H12" s="160">
        <f>H10+1</f>
        <v/>
      </c>
      <c r="I12" s="161" t="inlineStr">
        <is>
          <t>Quadron Forking Double Deep</t>
        </is>
      </c>
      <c r="J12" s="162" t="inlineStr">
        <is>
          <t>Putaway tote or case (50% time to second deep)</t>
        </is>
      </c>
      <c r="K12" s="163">
        <f>IFERROR(VLOOKUP(I12,'Master List'!$A:$D,2,0),0)</f>
        <v/>
      </c>
      <c r="L12" s="163">
        <f>IFERROR(VLOOKUP(I12,'Master List'!$A:$D,3,0),0)</f>
        <v/>
      </c>
      <c r="M12" s="163">
        <f>IFERROR(VLOOKUP(I12,'Master List'!$A:$D,4,0),0)</f>
        <v/>
      </c>
      <c r="N12" s="163" t="n"/>
      <c r="O12" s="163">
        <f>IFERROR(L12/M12,0)</f>
        <v/>
      </c>
      <c r="P12" s="163">
        <f>IFERROR(IF(N12&lt;((1/2*M12*O12^2)*2),1/2*M12*SQRT((N12/2)*2/M12)^2,1/2*M12*O12^2),0)</f>
        <v/>
      </c>
      <c r="Q12" s="163">
        <f>IFERROR(IF(N12-P12-R12&lt;=0,0,N12-P12-R12),0)</f>
        <v/>
      </c>
      <c r="R12" s="163">
        <f>P12</f>
        <v/>
      </c>
      <c r="S12" s="163">
        <f>IFERROR(IF(N12&lt;((1/2*M12*O12^2)*2),SQRT((N12/2)*2/M12),O12),0)</f>
        <v/>
      </c>
      <c r="T12" s="163">
        <f>IFERROR(Q12/L12,0)</f>
        <v/>
      </c>
      <c r="U12" s="163">
        <f>S12</f>
        <v/>
      </c>
      <c r="V12" s="163">
        <f>IF(K12&gt;0,K12,SUM(S12:U12))</f>
        <v/>
      </c>
      <c r="W12" s="163" t="n">
        <v>0.5</v>
      </c>
      <c r="X12" s="163">
        <f>V12*W12</f>
        <v/>
      </c>
      <c r="Z12" s="160">
        <f>Z10+1</f>
        <v/>
      </c>
      <c r="AA12" s="161" t="inlineStr">
        <is>
          <t>Quadron Forking Double Deep</t>
        </is>
      </c>
      <c r="AB12" s="162" t="inlineStr">
        <is>
          <t>Putaway tote or case (50% time to second deep)</t>
        </is>
      </c>
      <c r="AC12" s="163">
        <f>IFERROR(VLOOKUP(AA12,'Master List'!$A:$D,2,0),0)</f>
        <v/>
      </c>
      <c r="AD12" s="163">
        <f>IFERROR(VLOOKUP(AA12,'Master List'!$A:$D,3,0),0)</f>
        <v/>
      </c>
      <c r="AE12" s="163">
        <f>IFERROR(VLOOKUP(AA12,'Master List'!$A:$D,4,0),0)</f>
        <v/>
      </c>
      <c r="AF12" s="163" t="n"/>
      <c r="AG12" s="163">
        <f>IFERROR(AD12/AE12,0)</f>
        <v/>
      </c>
      <c r="AH12" s="163">
        <f>IFERROR(IF(AF12&lt;((1/2*AE12*AG12^2)*2),1/2*AE12*SQRT((AF12/2)*2/AE12)^2,1/2*AE12*AG12^2),0)</f>
        <v/>
      </c>
      <c r="AI12" s="163">
        <f>IFERROR(IF(AF12-AH12-AJ12&lt;=0,0,AF12-AH12-AJ12),0)</f>
        <v/>
      </c>
      <c r="AJ12" s="163">
        <f>AH12</f>
        <v/>
      </c>
      <c r="AK12" s="163">
        <f>IFERROR(IF(AF12&lt;((1/2*AE12*AG12^2)*2),SQRT((AF12/2)*2/AE12),AG12),0)</f>
        <v/>
      </c>
      <c r="AL12" s="163">
        <f>IFERROR(AI12/AD12,0)</f>
        <v/>
      </c>
      <c r="AM12" s="163">
        <f>AK12</f>
        <v/>
      </c>
      <c r="AN12" s="163">
        <f>IF(AC12&gt;0,AC12,SUM(AK12:AM12))</f>
        <v/>
      </c>
      <c r="AO12" s="163" t="n">
        <v>0.5</v>
      </c>
      <c r="AP12" s="163">
        <f>AN12*AO12</f>
        <v/>
      </c>
      <c r="AR12" s="160">
        <f>AR10+1</f>
        <v/>
      </c>
      <c r="AS12" s="161" t="inlineStr">
        <is>
          <t>Quadron Forking Double Deep</t>
        </is>
      </c>
      <c r="AT12" s="162" t="inlineStr">
        <is>
          <t>Putaway tote or case (50% time to second deep)</t>
        </is>
      </c>
      <c r="AU12" s="163">
        <f>IFERROR(VLOOKUP(AS12,'Master List'!$A:$D,2,0),0)</f>
        <v/>
      </c>
      <c r="AV12" s="163">
        <f>IFERROR(VLOOKUP(AS12,'Master List'!$A:$D,3,0),0)</f>
        <v/>
      </c>
      <c r="AW12" s="163">
        <f>IFERROR(VLOOKUP(AS12,'Master List'!$A:$D,4,0),0)</f>
        <v/>
      </c>
      <c r="AX12" s="163" t="n"/>
      <c r="AY12" s="163">
        <f>IFERROR(AV12/AW12,0)</f>
        <v/>
      </c>
      <c r="AZ12" s="163">
        <f>IFERROR(IF(AX12&lt;((1/2*AW12*AY12^2)*2),1/2*AW12*SQRT((AX12/2)*2/AW12)^2,1/2*AW12*AY12^2),0)</f>
        <v/>
      </c>
      <c r="BA12" s="163">
        <f>IFERROR(IF(AX12-AZ12-BB12&lt;=0,0,AX12-AZ12-BB12),0)</f>
        <v/>
      </c>
      <c r="BB12" s="163">
        <f>AZ12</f>
        <v/>
      </c>
      <c r="BC12" s="163">
        <f>IFERROR(IF(AX12&lt;((1/2*AW12*AY12^2)*2),SQRT((AX12/2)*2/AW12),AY12),0)</f>
        <v/>
      </c>
      <c r="BD12" s="163">
        <f>IFERROR(BA12/AV12,0)</f>
        <v/>
      </c>
      <c r="BE12" s="163">
        <f>BC12</f>
        <v/>
      </c>
      <c r="BF12" s="163">
        <f>IF(AU12&gt;0,AU12,SUM(BC12:BE12))</f>
        <v/>
      </c>
      <c r="BG12" s="163" t="n">
        <v>0.5</v>
      </c>
      <c r="BH12" s="163">
        <f>BF12*BG12</f>
        <v/>
      </c>
      <c r="BJ12" s="160">
        <f>BJ10+1</f>
        <v/>
      </c>
      <c r="BK12" s="161" t="inlineStr">
        <is>
          <t>Quadron Forking Double Deep</t>
        </is>
      </c>
      <c r="BL12" s="162" t="inlineStr">
        <is>
          <t>Putaway or pick tote or case (50% time to second deep)</t>
        </is>
      </c>
      <c r="BM12" s="163">
        <f>IFERROR(VLOOKUP(BK12,'Master List'!$A:$D,2,0),0)</f>
        <v/>
      </c>
      <c r="BN12" s="163">
        <f>IFERROR(VLOOKUP(BK12,'Master List'!$A:$D,3,0),0)</f>
        <v/>
      </c>
      <c r="BO12" s="163">
        <f>IFERROR(VLOOKUP(BK12,'Master List'!$A:$D,4,0),0)</f>
        <v/>
      </c>
      <c r="BP12" s="163" t="n"/>
      <c r="BQ12" s="163">
        <f>IFERROR(BN12/BO12,0)</f>
        <v/>
      </c>
      <c r="BR12" s="163">
        <f>IFERROR(IF(BP12&lt;((1/2*BO12*BQ12^2)*2),1/2*BO12*SQRT((BP12/2)*2/BO12)^2,1/2*BO12*BQ12^2),0)</f>
        <v/>
      </c>
      <c r="BS12" s="163">
        <f>IFERROR(IF(BP12-BR12-BT12&lt;=0,0,BP12-BR12-BT12),0)</f>
        <v/>
      </c>
      <c r="BT12" s="163">
        <f>BR12</f>
        <v/>
      </c>
      <c r="BU12" s="163">
        <f>IFERROR(IF(BP12&lt;((1/2*BO12*BQ12^2)*2),SQRT((BP12/2)*2/BO12),BQ12),0)</f>
        <v/>
      </c>
      <c r="BV12" s="163">
        <f>IFERROR(BS12/BN12,0)</f>
        <v/>
      </c>
      <c r="BW12" s="163">
        <f>BU12</f>
        <v/>
      </c>
      <c r="BX12" s="163">
        <f>IF(BM12&gt;0,BM12,SUM(BU12:BW12))</f>
        <v/>
      </c>
      <c r="BY12" s="163" t="n">
        <v>0.5</v>
      </c>
      <c r="BZ12" s="163">
        <f>BX12*BY12</f>
        <v/>
      </c>
      <c r="CB12" s="160">
        <f>CB10+1</f>
        <v/>
      </c>
      <c r="CC12" s="161" t="n"/>
      <c r="CD12" s="162" t="n"/>
      <c r="CE12" s="163">
        <f>IFERROR(VLOOKUP(CC12,'Master List'!$A:$D,2,0),0)</f>
        <v/>
      </c>
      <c r="CF12" s="163">
        <f>IFERROR(VLOOKUP(CC12,'Master List'!$A:$D,3,0),0)</f>
        <v/>
      </c>
      <c r="CG12" s="163">
        <f>IFERROR(VLOOKUP(CC12,'Master List'!$A:$D,4,0),0)</f>
        <v/>
      </c>
      <c r="CH12" s="163" t="n"/>
      <c r="CI12" s="163">
        <f>IFERROR(CF12/CG12,0)</f>
        <v/>
      </c>
      <c r="CJ12" s="163">
        <f>IFERROR(IF(CH12&lt;((1/2*CG12*CI12^2)*2),1/2*CG12*SQRT((CH12/2)*2/CG12)^2,1/2*CG12*CI12^2),0)</f>
        <v/>
      </c>
      <c r="CK12" s="163">
        <f>IFERROR(IF(CH12-CJ12-CL12&lt;=0,0,CH12-CJ12-CL12),0)</f>
        <v/>
      </c>
      <c r="CL12" s="163">
        <f>CJ12</f>
        <v/>
      </c>
      <c r="CM12" s="163">
        <f>IFERROR(IF(CH12&lt;((1/2*CG12*CI12^2)*2),SQRT((CH12/2)*2/CG12),CI12),0)</f>
        <v/>
      </c>
      <c r="CN12" s="163">
        <f>IFERROR(CK12/CF12,0)</f>
        <v/>
      </c>
      <c r="CO12" s="163">
        <f>CM12</f>
        <v/>
      </c>
      <c r="CP12" s="163">
        <f>IF(CE12&gt;0,CE12,SUM(CM12:CO12))</f>
        <v/>
      </c>
      <c r="CQ12" s="163" t="n"/>
      <c r="CR12" s="163">
        <f>CP12*CQ12</f>
        <v/>
      </c>
    </row>
    <row r="13" ht="48" customHeight="1" s="516">
      <c r="A13" s="468" t="inlineStr">
        <is>
          <t>Effective totes or cartons per Hr</t>
        </is>
      </c>
      <c r="B13" s="469">
        <f>B10/B12</f>
        <v/>
      </c>
      <c r="H13" s="160">
        <f>H12+1</f>
        <v/>
      </c>
      <c r="I13" s="161" t="inlineStr">
        <is>
          <t>Quadron Running</t>
        </is>
      </c>
      <c r="J13" s="162" t="inlineStr">
        <is>
          <t>Outbound cycle</t>
        </is>
      </c>
      <c r="K13" s="163">
        <f>IFERROR(VLOOKUP(I13,'Master List'!$A:$D,2,0),0)</f>
        <v/>
      </c>
      <c r="L13" s="163">
        <f>IFERROR(VLOOKUP(I13,'Master List'!$A:$D,3,0),0)</f>
        <v/>
      </c>
      <c r="M13" s="163">
        <f>IFERROR(VLOOKUP(I13,'Master List'!$A:$D,4,0),0)</f>
        <v/>
      </c>
      <c r="N13" s="163">
        <f>B23</f>
        <v/>
      </c>
      <c r="O13" s="163">
        <f>IFERROR(L13/M13,0)</f>
        <v/>
      </c>
      <c r="P13" s="163">
        <f>IFERROR(IF(N13&lt;((1/2*M13*O13^2)*2),1/2*M13*SQRT((N13/2)*2/M13)^2,1/2*M13*O13^2),0)</f>
        <v/>
      </c>
      <c r="Q13" s="163">
        <f>IFERROR(IF(N13-P13-R13&lt;=0,0,N13-P13-R13),0)</f>
        <v/>
      </c>
      <c r="R13" s="163">
        <f>P13</f>
        <v/>
      </c>
      <c r="S13" s="163">
        <f>IFERROR(IF(N13&lt;((1/2*M13*O13^2)*2),SQRT((N13/2)*2/M13),O13),0)</f>
        <v/>
      </c>
      <c r="T13" s="163">
        <f>IFERROR(Q13/L13,0)</f>
        <v/>
      </c>
      <c r="U13" s="163">
        <f>S13</f>
        <v/>
      </c>
      <c r="V13" s="163">
        <f>IF(K13&gt;0,K13,SUM(S13:U13))</f>
        <v/>
      </c>
      <c r="W13" s="163" t="n">
        <v>1</v>
      </c>
      <c r="X13" s="163">
        <f>V13*W13</f>
        <v/>
      </c>
      <c r="Z13" s="160">
        <f>Z12+1</f>
        <v/>
      </c>
      <c r="AA13" s="161" t="inlineStr">
        <is>
          <t>Quadron Running</t>
        </is>
      </c>
      <c r="AB13" s="162" t="inlineStr">
        <is>
          <t>Outbound cycle</t>
        </is>
      </c>
      <c r="AC13" s="163">
        <f>IFERROR(VLOOKUP(AA13,'Master List'!$A:$D,2,0),0)</f>
        <v/>
      </c>
      <c r="AD13" s="163">
        <f>IFERROR(VLOOKUP(AA13,'Master List'!$A:$D,3,0),0)</f>
        <v/>
      </c>
      <c r="AE13" s="163">
        <f>IFERROR(VLOOKUP(AA13,'Master List'!$A:$D,4,0),0)</f>
        <v/>
      </c>
      <c r="AF13" s="163" t="n"/>
      <c r="AG13" s="163">
        <f>IFERROR(AD13/AE13,0)</f>
        <v/>
      </c>
      <c r="AH13" s="163">
        <f>IFERROR(IF(AF13&lt;((1/2*AE13*AG13^2)*2),1/2*AE13*SQRT((AF13/2)*2/AE13)^2,1/2*AE13*AG13^2),0)</f>
        <v/>
      </c>
      <c r="AI13" s="163">
        <f>IFERROR(IF(AF13-AH13-AJ13&lt;=0,0,AF13-AH13-AJ13),0)</f>
        <v/>
      </c>
      <c r="AJ13" s="163">
        <f>AH13</f>
        <v/>
      </c>
      <c r="AK13" s="163">
        <f>IFERROR(IF(AF13&lt;((1/2*AE13*AG13^2)*2),SQRT((AF13/2)*2/AE13),AG13),0)</f>
        <v/>
      </c>
      <c r="AL13" s="163">
        <f>IFERROR(AI13/AD13,0)</f>
        <v/>
      </c>
      <c r="AM13" s="163">
        <f>AK13</f>
        <v/>
      </c>
      <c r="AN13" s="163">
        <f>IF(AC13&gt;0,AC13,SUM(AK13:AM13))</f>
        <v/>
      </c>
      <c r="AO13" s="163" t="n">
        <v>1</v>
      </c>
      <c r="AP13" s="163">
        <f>AN13*AO13</f>
        <v/>
      </c>
      <c r="AR13" s="160">
        <f>AR12+1</f>
        <v/>
      </c>
      <c r="AS13" s="161" t="inlineStr">
        <is>
          <t>Quadron Running</t>
        </is>
      </c>
      <c r="AT13" s="162" t="inlineStr">
        <is>
          <t>Outbound cycle</t>
        </is>
      </c>
      <c r="AU13" s="163">
        <f>IFERROR(VLOOKUP(AS13,'Master List'!$A:$D,2,0),0)</f>
        <v/>
      </c>
      <c r="AV13" s="163">
        <f>IFERROR(VLOOKUP(AS13,'Master List'!$A:$D,3,0),0)</f>
        <v/>
      </c>
      <c r="AW13" s="163">
        <f>IFERROR(VLOOKUP(AS13,'Master List'!$A:$D,4,0),0)</f>
        <v/>
      </c>
      <c r="AX13" s="163">
        <f>B23</f>
        <v/>
      </c>
      <c r="AY13" s="163">
        <f>IFERROR(AV13/AW13,0)</f>
        <v/>
      </c>
      <c r="AZ13" s="163">
        <f>IFERROR(IF(AX13&lt;((1/2*AW13*AY13^2)*2),1/2*AW13*SQRT((AX13/2)*2/AW13)^2,1/2*AW13*AY13^2),0)</f>
        <v/>
      </c>
      <c r="BA13" s="163">
        <f>IFERROR(IF(AX13-AZ13-BB13&lt;=0,0,AX13-AZ13-BB13),0)</f>
        <v/>
      </c>
      <c r="BB13" s="163">
        <f>AZ13</f>
        <v/>
      </c>
      <c r="BC13" s="163">
        <f>IFERROR(IF(AX13&lt;((1/2*AW13*AY13^2)*2),SQRT((AX13/2)*2/AW13),AY13),0)</f>
        <v/>
      </c>
      <c r="BD13" s="163">
        <f>IFERROR(BA13/AV13,0)</f>
        <v/>
      </c>
      <c r="BE13" s="163">
        <f>BC13</f>
        <v/>
      </c>
      <c r="BF13" s="163">
        <f>IF(AU13&gt;0,AU13,SUM(BC13:BE13))</f>
        <v/>
      </c>
      <c r="BG13" s="163" t="n">
        <v>1</v>
      </c>
      <c r="BH13" s="163">
        <f>BF13*BG13</f>
        <v/>
      </c>
      <c r="BJ13" s="160">
        <f>BJ12+1</f>
        <v/>
      </c>
      <c r="BK13" s="161" t="inlineStr">
        <is>
          <t>Quadron Running</t>
        </is>
      </c>
      <c r="BL13" s="162" t="inlineStr">
        <is>
          <t>Outbound cycle</t>
        </is>
      </c>
      <c r="BM13" s="163">
        <f>IFERROR(VLOOKUP(BK13,'Master List'!$A:$D,2,0),0)</f>
        <v/>
      </c>
      <c r="BN13" s="163">
        <f>IFERROR(VLOOKUP(BK13,'Master List'!$A:$D,3,0),0)</f>
        <v/>
      </c>
      <c r="BO13" s="163">
        <f>IFERROR(VLOOKUP(BK13,'Master List'!$A:$D,4,0),0)</f>
        <v/>
      </c>
      <c r="BP13" s="163">
        <f>BP10</f>
        <v/>
      </c>
      <c r="BQ13" s="163">
        <f>IFERROR(BN13/BO13,0)</f>
        <v/>
      </c>
      <c r="BR13" s="163">
        <f>IFERROR(IF(BP13&lt;((1/2*BO13*BQ13^2)*2),1/2*BO13*SQRT((BP13/2)*2/BO13)^2,1/2*BO13*BQ13^2),0)</f>
        <v/>
      </c>
      <c r="BS13" s="163">
        <f>IFERROR(IF(BP13-BR13-BT13&lt;=0,0,BP13-BR13-BT13),0)</f>
        <v/>
      </c>
      <c r="BT13" s="163">
        <f>BR13</f>
        <v/>
      </c>
      <c r="BU13" s="163">
        <f>IFERROR(IF(BP13&lt;((1/2*BO13*BQ13^2)*2),SQRT((BP13/2)*2/BO13),BQ13),0)</f>
        <v/>
      </c>
      <c r="BV13" s="163">
        <f>IFERROR(BS13/BN13,0)</f>
        <v/>
      </c>
      <c r="BW13" s="163">
        <f>BU13</f>
        <v/>
      </c>
      <c r="BX13" s="163">
        <f>IF(BM13&gt;0,BM13,SUM(BU13:BW13))</f>
        <v/>
      </c>
      <c r="BY13" s="163" t="n">
        <v>1</v>
      </c>
      <c r="BZ13" s="163">
        <f>BX13*BY13</f>
        <v/>
      </c>
      <c r="CB13" s="160">
        <f>CB12+1</f>
        <v/>
      </c>
      <c r="CC13" s="161" t="n"/>
      <c r="CD13" s="162" t="n"/>
      <c r="CE13" s="163">
        <f>IFERROR(VLOOKUP(CC13,'Master List'!$A:$D,2,0),0)</f>
        <v/>
      </c>
      <c r="CF13" s="163">
        <f>IFERROR(VLOOKUP(CC13,'Master List'!$A:$D,3,0),0)</f>
        <v/>
      </c>
      <c r="CG13" s="163">
        <f>IFERROR(VLOOKUP(CC13,'Master List'!$A:$D,4,0),0)</f>
        <v/>
      </c>
      <c r="CH13" s="163">
        <f>CH10</f>
        <v/>
      </c>
      <c r="CI13" s="163">
        <f>IFERROR(CF13/CG13,0)</f>
        <v/>
      </c>
      <c r="CJ13" s="163">
        <f>IFERROR(IF(CH13&lt;((1/2*CG13*CI13^2)*2),1/2*CG13*SQRT((CH13/2)*2/CG13)^2,1/2*CG13*CI13^2),0)</f>
        <v/>
      </c>
      <c r="CK13" s="163">
        <f>IFERROR(IF(CH13-CJ13-CL13&lt;=0,0,CH13-CJ13-CL13),0)</f>
        <v/>
      </c>
      <c r="CL13" s="163">
        <f>CJ13</f>
        <v/>
      </c>
      <c r="CM13" s="163">
        <f>IFERROR(IF(CH13&lt;((1/2*CG13*CI13^2)*2),SQRT((CH13/2)*2/CG13),CI13),0)</f>
        <v/>
      </c>
      <c r="CN13" s="163">
        <f>IFERROR(CK13/CF13,0)</f>
        <v/>
      </c>
      <c r="CO13" s="163">
        <f>CM13</f>
        <v/>
      </c>
      <c r="CP13" s="163">
        <f>IF(CE13&gt;0,CE13,SUM(CM13:CO13))</f>
        <v/>
      </c>
      <c r="CQ13" s="163" t="n"/>
      <c r="CR13" s="163">
        <f>CP13*CQ13</f>
        <v/>
      </c>
    </row>
    <row r="14">
      <c r="H14" s="160">
        <f>H12+1</f>
        <v/>
      </c>
      <c r="I14" s="161" t="inlineStr">
        <is>
          <t>Quadron Forking Single Deep</t>
        </is>
      </c>
      <c r="J14" s="162" t="inlineStr">
        <is>
          <t>Pick tote or case (50% time to first deep)</t>
        </is>
      </c>
      <c r="K14" s="163">
        <f>IFERROR(VLOOKUP(I14,'Master List'!$A:$D,2,0),0)</f>
        <v/>
      </c>
      <c r="L14" s="163">
        <f>IFERROR(VLOOKUP(I14,'Master List'!$A:$D,3,0),0)</f>
        <v/>
      </c>
      <c r="M14" s="163">
        <f>IFERROR(VLOOKUP(I14,'Master List'!$A:$D,4,0),0)</f>
        <v/>
      </c>
      <c r="N14" s="163" t="n"/>
      <c r="O14" s="163">
        <f>IFERROR(L14/M14,0)</f>
        <v/>
      </c>
      <c r="P14" s="163">
        <f>IFERROR(IF(N14&lt;((1/2*M14*O14^2)*2),1/2*M14*SQRT((N14/2)*2/M14)^2,1/2*M14*O14^2),0)</f>
        <v/>
      </c>
      <c r="Q14" s="163">
        <f>IFERROR(IF(N14-P14-R14&lt;=0,0,N14-P14-R14),0)</f>
        <v/>
      </c>
      <c r="R14" s="163">
        <f>P14</f>
        <v/>
      </c>
      <c r="S14" s="163">
        <f>IFERROR(IF(N14&lt;((1/2*M14*O14^2)*2),SQRT((N14/2)*2/M14),O14),0)</f>
        <v/>
      </c>
      <c r="T14" s="163">
        <f>IFERROR(Q14/L14,0)</f>
        <v/>
      </c>
      <c r="U14" s="163">
        <f>S14</f>
        <v/>
      </c>
      <c r="V14" s="163">
        <f>IF(K14&gt;0,K14,SUM(S14:U14))</f>
        <v/>
      </c>
      <c r="W14" s="163" t="n">
        <v>0.5</v>
      </c>
      <c r="X14" s="163">
        <f>V14*W14</f>
        <v/>
      </c>
      <c r="Z14" s="160">
        <f>Z12+1</f>
        <v/>
      </c>
      <c r="AA14" s="161" t="inlineStr">
        <is>
          <t>Quadron Forking Single Deep</t>
        </is>
      </c>
      <c r="AB14" s="162" t="inlineStr">
        <is>
          <t>Pick tote or case (50% time to first deep)</t>
        </is>
      </c>
      <c r="AC14" s="163">
        <f>IFERROR(VLOOKUP(AA14,'Master List'!$A:$D,2,0),0)</f>
        <v/>
      </c>
      <c r="AD14" s="163">
        <f>IFERROR(VLOOKUP(AA14,'Master List'!$A:$D,3,0),0)</f>
        <v/>
      </c>
      <c r="AE14" s="163">
        <f>IFERROR(VLOOKUP(AA14,'Master List'!$A:$D,4,0),0)</f>
        <v/>
      </c>
      <c r="AF14" s="163" t="n"/>
      <c r="AG14" s="163">
        <f>IFERROR(AD14/AE14,0)</f>
        <v/>
      </c>
      <c r="AH14" s="163">
        <f>IFERROR(IF(AF14&lt;((1/2*AE14*AG14^2)*2),1/2*AE14*SQRT((AF14/2)*2/AE14)^2,1/2*AE14*AG14^2),0)</f>
        <v/>
      </c>
      <c r="AI14" s="163">
        <f>IFERROR(IF(AF14-AH14-AJ14&lt;=0,0,AF14-AH14-AJ14),0)</f>
        <v/>
      </c>
      <c r="AJ14" s="163">
        <f>AH14</f>
        <v/>
      </c>
      <c r="AK14" s="163">
        <f>IFERROR(IF(AF14&lt;((1/2*AE14*AG14^2)*2),SQRT((AF14/2)*2/AE14),AG14),0)</f>
        <v/>
      </c>
      <c r="AL14" s="163">
        <f>IFERROR(AI14/AD14,0)</f>
        <v/>
      </c>
      <c r="AM14" s="163">
        <f>AK14</f>
        <v/>
      </c>
      <c r="AN14" s="163">
        <f>IF(AC14&gt;0,AC14,SUM(AK14:AM14))</f>
        <v/>
      </c>
      <c r="AO14" s="163" t="n">
        <v>0.5</v>
      </c>
      <c r="AP14" s="163">
        <f>AN14*AO14</f>
        <v/>
      </c>
      <c r="AR14" s="160">
        <f>AR12+1</f>
        <v/>
      </c>
      <c r="AS14" s="161" t="inlineStr">
        <is>
          <t>Quadron Forking Single Deep</t>
        </is>
      </c>
      <c r="AT14" s="162" t="inlineStr">
        <is>
          <t>Pick tote or case (50% time to first deep)</t>
        </is>
      </c>
      <c r="AU14" s="163">
        <f>IFERROR(VLOOKUP(AS14,'Master List'!$A:$D,2,0),0)</f>
        <v/>
      </c>
      <c r="AV14" s="163">
        <f>IFERROR(VLOOKUP(AS14,'Master List'!$A:$D,3,0),0)</f>
        <v/>
      </c>
      <c r="AW14" s="163">
        <f>IFERROR(VLOOKUP(AS14,'Master List'!$A:$D,4,0),0)</f>
        <v/>
      </c>
      <c r="AX14" s="163" t="n"/>
      <c r="AY14" s="163">
        <f>IFERROR(AV14/AW14,0)</f>
        <v/>
      </c>
      <c r="AZ14" s="163">
        <f>IFERROR(IF(AX14&lt;((1/2*AW14*AY14^2)*2),1/2*AW14*SQRT((AX14/2)*2/AW14)^2,1/2*AW14*AY14^2),0)</f>
        <v/>
      </c>
      <c r="BA14" s="163">
        <f>IFERROR(IF(AX14-AZ14-BB14&lt;=0,0,AX14-AZ14-BB14),0)</f>
        <v/>
      </c>
      <c r="BB14" s="163">
        <f>AZ14</f>
        <v/>
      </c>
      <c r="BC14" s="163">
        <f>IFERROR(IF(AX14&lt;((1/2*AW14*AY14^2)*2),SQRT((AX14/2)*2/AW14),AY14),0)</f>
        <v/>
      </c>
      <c r="BD14" s="163">
        <f>IFERROR(BA14/AV14,0)</f>
        <v/>
      </c>
      <c r="BE14" s="163">
        <f>BC14</f>
        <v/>
      </c>
      <c r="BF14" s="163">
        <f>IF(AU14&gt;0,AU14,SUM(BC14:BE14))</f>
        <v/>
      </c>
      <c r="BG14" s="163" t="n">
        <v>0.5</v>
      </c>
      <c r="BH14" s="163">
        <f>BF14*BG14</f>
        <v/>
      </c>
      <c r="BJ14" s="160">
        <f>BJ12+1</f>
        <v/>
      </c>
      <c r="BK14" s="161" t="n"/>
      <c r="BL14" s="162" t="n"/>
      <c r="BM14" s="163">
        <f>IFERROR(VLOOKUP(BK14,'Master List'!$A:$D,2,0),0)</f>
        <v/>
      </c>
      <c r="BN14" s="163">
        <f>IFERROR(VLOOKUP(BK14,'Master List'!$A:$D,3,0),0)</f>
        <v/>
      </c>
      <c r="BO14" s="163">
        <f>IFERROR(VLOOKUP(BK14,'Master List'!$A:$D,4,0),0)</f>
        <v/>
      </c>
      <c r="BP14" s="163" t="n"/>
      <c r="BQ14" s="163">
        <f>IFERROR(BN14/BO14,0)</f>
        <v/>
      </c>
      <c r="BR14" s="163">
        <f>IFERROR(IF(BP14&lt;((1/2*BO14*BQ14^2)*2),1/2*BO14*SQRT((BP14/2)*2/BO14)^2,1/2*BO14*BQ14^2),0)</f>
        <v/>
      </c>
      <c r="BS14" s="163">
        <f>IFERROR(IF(BP14-BR14-BT14&lt;=0,0,BP14-BR14-BT14),0)</f>
        <v/>
      </c>
      <c r="BT14" s="163">
        <f>BR14</f>
        <v/>
      </c>
      <c r="BU14" s="163">
        <f>IFERROR(IF(BP14&lt;((1/2*BO14*BQ14^2)*2),SQRT((BP14/2)*2/BO14),BQ14),0)</f>
        <v/>
      </c>
      <c r="BV14" s="163">
        <f>IFERROR(BS14/BN14,0)</f>
        <v/>
      </c>
      <c r="BW14" s="163">
        <f>BU14</f>
        <v/>
      </c>
      <c r="BX14" s="163">
        <f>IF(BM14&gt;0,BM14,SUM(BU14:BW14))</f>
        <v/>
      </c>
      <c r="BY14" s="163" t="n"/>
      <c r="BZ14" s="163">
        <f>BX14*BY14</f>
        <v/>
      </c>
      <c r="CB14" s="160">
        <f>CB12+1</f>
        <v/>
      </c>
      <c r="CC14" s="161" t="n"/>
      <c r="CD14" s="162" t="n"/>
      <c r="CE14" s="163">
        <f>IFERROR(VLOOKUP(CC14,'Master List'!$A:$D,2,0),0)</f>
        <v/>
      </c>
      <c r="CF14" s="163">
        <f>IFERROR(VLOOKUP(CC14,'Master List'!$A:$D,3,0),0)</f>
        <v/>
      </c>
      <c r="CG14" s="163">
        <f>IFERROR(VLOOKUP(CC14,'Master List'!$A:$D,4,0),0)</f>
        <v/>
      </c>
      <c r="CH14" s="163" t="n"/>
      <c r="CI14" s="163">
        <f>IFERROR(CF14/CG14,0)</f>
        <v/>
      </c>
      <c r="CJ14" s="163">
        <f>IFERROR(IF(CH14&lt;((1/2*CG14*CI14^2)*2),1/2*CG14*SQRT((CH14/2)*2/CG14)^2,1/2*CG14*CI14^2),0)</f>
        <v/>
      </c>
      <c r="CK14" s="163">
        <f>IFERROR(IF(CH14-CJ14-CL14&lt;=0,0,CH14-CJ14-CL14),0)</f>
        <v/>
      </c>
      <c r="CL14" s="163">
        <f>CJ14</f>
        <v/>
      </c>
      <c r="CM14" s="163">
        <f>IFERROR(IF(CH14&lt;((1/2*CG14*CI14^2)*2),SQRT((CH14/2)*2/CG14),CI14),0)</f>
        <v/>
      </c>
      <c r="CN14" s="163">
        <f>IFERROR(CK14/CF14,0)</f>
        <v/>
      </c>
      <c r="CO14" s="163">
        <f>CM14</f>
        <v/>
      </c>
      <c r="CP14" s="163">
        <f>IF(CE14&gt;0,CE14,SUM(CM14:CO14))</f>
        <v/>
      </c>
      <c r="CQ14" s="163" t="n"/>
      <c r="CR14" s="163">
        <f>CP14*CQ14</f>
        <v/>
      </c>
    </row>
    <row r="15">
      <c r="A15" s="33" t="inlineStr">
        <is>
          <t>Aisle length m</t>
        </is>
      </c>
      <c r="B15" s="533">
        <f>'Quadron Input Output'!B9</f>
        <v/>
      </c>
      <c r="H15" s="160">
        <f>H13+1</f>
        <v/>
      </c>
      <c r="I15" s="161" t="inlineStr">
        <is>
          <t>Quadron Forking Double Deep</t>
        </is>
      </c>
      <c r="J15" s="162" t="inlineStr">
        <is>
          <t>Pick tote or case (50% time to second deep)</t>
        </is>
      </c>
      <c r="K15" s="163">
        <f>IFERROR(VLOOKUP(I15,'Master List'!$A:$D,2,0),0)</f>
        <v/>
      </c>
      <c r="L15" s="163">
        <f>IFERROR(VLOOKUP(I15,'Master List'!$A:$D,3,0),0)</f>
        <v/>
      </c>
      <c r="M15" s="163">
        <f>IFERROR(VLOOKUP(I15,'Master List'!$A:$D,4,0),0)</f>
        <v/>
      </c>
      <c r="N15" s="163" t="n"/>
      <c r="O15" s="163">
        <f>IFERROR(L15/M15,0)</f>
        <v/>
      </c>
      <c r="P15" s="163">
        <f>IFERROR(IF(N15&lt;((1/2*M15*O15^2)*2),1/2*M15*SQRT((N15/2)*2/M15)^2,1/2*M15*O15^2),0)</f>
        <v/>
      </c>
      <c r="Q15" s="163">
        <f>IFERROR(IF(N15-P15-R15&lt;=0,0,N15-P15-R15),0)</f>
        <v/>
      </c>
      <c r="R15" s="163">
        <f>P15</f>
        <v/>
      </c>
      <c r="S15" s="163">
        <f>IFERROR(IF(N15&lt;((1/2*M15*O15^2)*2),SQRT((N15/2)*2/M15),O15),0)</f>
        <v/>
      </c>
      <c r="T15" s="163">
        <f>IFERROR(Q15/L15,0)</f>
        <v/>
      </c>
      <c r="U15" s="163">
        <f>S15</f>
        <v/>
      </c>
      <c r="V15" s="163">
        <f>IF(K15&gt;0,K15,SUM(S15:U15))</f>
        <v/>
      </c>
      <c r="W15" s="163" t="n">
        <v>0.5</v>
      </c>
      <c r="X15" s="163">
        <f>V15*W15</f>
        <v/>
      </c>
      <c r="Z15" s="160">
        <f>Z13+1</f>
        <v/>
      </c>
      <c r="AA15" s="161" t="inlineStr">
        <is>
          <t>Quadron Forking Double Deep</t>
        </is>
      </c>
      <c r="AB15" s="162" t="inlineStr">
        <is>
          <t>Pick tote or case (50% time to second deep)</t>
        </is>
      </c>
      <c r="AC15" s="163">
        <f>IFERROR(VLOOKUP(AA15,'Master List'!$A:$D,2,0),0)</f>
        <v/>
      </c>
      <c r="AD15" s="163">
        <f>IFERROR(VLOOKUP(AA15,'Master List'!$A:$D,3,0),0)</f>
        <v/>
      </c>
      <c r="AE15" s="163">
        <f>IFERROR(VLOOKUP(AA15,'Master List'!$A:$D,4,0),0)</f>
        <v/>
      </c>
      <c r="AF15" s="163" t="n"/>
      <c r="AG15" s="163">
        <f>IFERROR(AD15/AE15,0)</f>
        <v/>
      </c>
      <c r="AH15" s="163">
        <f>IFERROR(IF(AF15&lt;((1/2*AE15*AG15^2)*2),1/2*AE15*SQRT((AF15/2)*2/AE15)^2,1/2*AE15*AG15^2),0)</f>
        <v/>
      </c>
      <c r="AI15" s="163">
        <f>IFERROR(IF(AF15-AH15-AJ15&lt;=0,0,AF15-AH15-AJ15),0)</f>
        <v/>
      </c>
      <c r="AJ15" s="163">
        <f>AH15</f>
        <v/>
      </c>
      <c r="AK15" s="163">
        <f>IFERROR(IF(AF15&lt;((1/2*AE15*AG15^2)*2),SQRT((AF15/2)*2/AE15),AG15),0)</f>
        <v/>
      </c>
      <c r="AL15" s="163">
        <f>IFERROR(AI15/AD15,0)</f>
        <v/>
      </c>
      <c r="AM15" s="163">
        <f>AK15</f>
        <v/>
      </c>
      <c r="AN15" s="163">
        <f>IF(AC15&gt;0,AC15,SUM(AK15:AM15))</f>
        <v/>
      </c>
      <c r="AO15" s="163" t="n">
        <v>0.5</v>
      </c>
      <c r="AP15" s="163">
        <f>AN15*AO15</f>
        <v/>
      </c>
      <c r="AR15" s="160">
        <f>AR13+1</f>
        <v/>
      </c>
      <c r="AS15" s="161" t="inlineStr">
        <is>
          <t>Quadron Forking Double Deep</t>
        </is>
      </c>
      <c r="AT15" s="162" t="inlineStr">
        <is>
          <t>Pick tote or case (50% time to second deep)</t>
        </is>
      </c>
      <c r="AU15" s="163">
        <f>IFERROR(VLOOKUP(AS15,'Master List'!$A:$D,2,0),0)</f>
        <v/>
      </c>
      <c r="AV15" s="163">
        <f>IFERROR(VLOOKUP(AS15,'Master List'!$A:$D,3,0),0)</f>
        <v/>
      </c>
      <c r="AW15" s="163">
        <f>IFERROR(VLOOKUP(AS15,'Master List'!$A:$D,4,0),0)</f>
        <v/>
      </c>
      <c r="AX15" s="163" t="n"/>
      <c r="AY15" s="163">
        <f>IFERROR(AV15/AW15,0)</f>
        <v/>
      </c>
      <c r="AZ15" s="163">
        <f>IFERROR(IF(AX15&lt;((1/2*AW15*AY15^2)*2),1/2*AW15*SQRT((AX15/2)*2/AW15)^2,1/2*AW15*AY15^2),0)</f>
        <v/>
      </c>
      <c r="BA15" s="163">
        <f>IFERROR(IF(AX15-AZ15-BB15&lt;=0,0,AX15-AZ15-BB15),0)</f>
        <v/>
      </c>
      <c r="BB15" s="163">
        <f>AZ15</f>
        <v/>
      </c>
      <c r="BC15" s="163">
        <f>IFERROR(IF(AX15&lt;((1/2*AW15*AY15^2)*2),SQRT((AX15/2)*2/AW15),AY15),0)</f>
        <v/>
      </c>
      <c r="BD15" s="163">
        <f>IFERROR(BA15/AV15,0)</f>
        <v/>
      </c>
      <c r="BE15" s="163">
        <f>BC15</f>
        <v/>
      </c>
      <c r="BF15" s="163">
        <f>IF(AU15&gt;0,AU15,SUM(BC15:BE15))</f>
        <v/>
      </c>
      <c r="BG15" s="163" t="n">
        <v>0.5</v>
      </c>
      <c r="BH15" s="163">
        <f>BF15*BG15</f>
        <v/>
      </c>
      <c r="BJ15" s="160">
        <f>BJ13+1</f>
        <v/>
      </c>
      <c r="BK15" s="161" t="n"/>
      <c r="BL15" s="162" t="n"/>
      <c r="BM15" s="163">
        <f>IFERROR(VLOOKUP(BK15,'Master List'!$A:$D,2,0),0)</f>
        <v/>
      </c>
      <c r="BN15" s="163">
        <f>IFERROR(VLOOKUP(BK15,'Master List'!$A:$D,3,0),0)</f>
        <v/>
      </c>
      <c r="BO15" s="163">
        <f>IFERROR(VLOOKUP(BK15,'Master List'!$A:$D,4,0),0)</f>
        <v/>
      </c>
      <c r="BP15" s="163" t="n"/>
      <c r="BQ15" s="163">
        <f>IFERROR(BN15/BO15,0)</f>
        <v/>
      </c>
      <c r="BR15" s="163">
        <f>IFERROR(IF(BP15&lt;((1/2*BO15*BQ15^2)*2),1/2*BO15*SQRT((BP15/2)*2/BO15)^2,1/2*BO15*BQ15^2),0)</f>
        <v/>
      </c>
      <c r="BS15" s="163">
        <f>IFERROR(IF(BP15-BR15-BT15&lt;=0,0,BP15-BR15-BT15),0)</f>
        <v/>
      </c>
      <c r="BT15" s="163">
        <f>BR15</f>
        <v/>
      </c>
      <c r="BU15" s="163">
        <f>IFERROR(IF(BP15&lt;((1/2*BO15*BQ15^2)*2),SQRT((BP15/2)*2/BO15),BQ15),0)</f>
        <v/>
      </c>
      <c r="BV15" s="163">
        <f>IFERROR(BS15/BN15,0)</f>
        <v/>
      </c>
      <c r="BW15" s="163">
        <f>BU15</f>
        <v/>
      </c>
      <c r="BX15" s="163">
        <f>IF(BM15&gt;0,BM15,SUM(BU15:BW15))</f>
        <v/>
      </c>
      <c r="BY15" s="163" t="n"/>
      <c r="BZ15" s="163">
        <f>BX15*BY15</f>
        <v/>
      </c>
      <c r="CB15" s="160">
        <f>CB13+1</f>
        <v/>
      </c>
      <c r="CC15" s="161" t="n"/>
      <c r="CD15" s="162" t="n"/>
      <c r="CE15" s="163">
        <f>IFERROR(VLOOKUP(CC15,'Master List'!$A:$D,2,0),0)</f>
        <v/>
      </c>
      <c r="CF15" s="163">
        <f>IFERROR(VLOOKUP(CC15,'Master List'!$A:$D,3,0),0)</f>
        <v/>
      </c>
      <c r="CG15" s="163">
        <f>IFERROR(VLOOKUP(CC15,'Master List'!$A:$D,4,0),0)</f>
        <v/>
      </c>
      <c r="CH15" s="163" t="n"/>
      <c r="CI15" s="163">
        <f>IFERROR(CF15/CG15,0)</f>
        <v/>
      </c>
      <c r="CJ15" s="163">
        <f>IFERROR(IF(CH15&lt;((1/2*CG15*CI15^2)*2),1/2*CG15*SQRT((CH15/2)*2/CG15)^2,1/2*CG15*CI15^2),0)</f>
        <v/>
      </c>
      <c r="CK15" s="163">
        <f>IFERROR(IF(CH15-CJ15-CL15&lt;=0,0,CH15-CJ15-CL15),0)</f>
        <v/>
      </c>
      <c r="CL15" s="163">
        <f>CJ15</f>
        <v/>
      </c>
      <c r="CM15" s="163">
        <f>IFERROR(IF(CH15&lt;((1/2*CG15*CI15^2)*2),SQRT((CH15/2)*2/CG15),CI15),0)</f>
        <v/>
      </c>
      <c r="CN15" s="163">
        <f>IFERROR(CK15/CF15,0)</f>
        <v/>
      </c>
      <c r="CO15" s="163">
        <f>CM15</f>
        <v/>
      </c>
      <c r="CP15" s="163">
        <f>IF(CE15&gt;0,CE15,SUM(CM15:CO15))</f>
        <v/>
      </c>
      <c r="CQ15" s="163" t="n"/>
      <c r="CR15" s="163">
        <f>CP15*CQ15</f>
        <v/>
      </c>
    </row>
    <row r="16">
      <c r="H16" s="160">
        <f>H15+1</f>
        <v/>
      </c>
      <c r="I16" s="161" t="inlineStr">
        <is>
          <t>Quadron Running</t>
        </is>
      </c>
      <c r="J16" s="162" t="inlineStr">
        <is>
          <t>Deliver tote or case to buffer conveyor</t>
        </is>
      </c>
      <c r="K16" s="163">
        <f>IFERROR(VLOOKUP(I16,'Master List'!$A:$D,2,0),0)</f>
        <v/>
      </c>
      <c r="L16" s="163">
        <f>IFERROR(VLOOKUP(I16,'Master List'!$A:$D,3,0),0)</f>
        <v/>
      </c>
      <c r="M16" s="163">
        <f>IFERROR(VLOOKUP(I16,'Master List'!$A:$D,4,0),0)</f>
        <v/>
      </c>
      <c r="N16" s="163">
        <f>N13+N10</f>
        <v/>
      </c>
      <c r="O16" s="163">
        <f>IFERROR(L16/M16,0)</f>
        <v/>
      </c>
      <c r="P16" s="163">
        <f>IFERROR(IF(N16&lt;((1/2*M16*O16^2)*2),1/2*M16*SQRT((N16/2)*2/M16)^2,1/2*M16*O16^2),0)</f>
        <v/>
      </c>
      <c r="Q16" s="163">
        <f>IFERROR(IF(N16-P16-R16&lt;=0,0,N16-P16-R16),0)</f>
        <v/>
      </c>
      <c r="R16" s="163">
        <f>P16</f>
        <v/>
      </c>
      <c r="S16" s="163">
        <f>IFERROR(IF(N16&lt;((1/2*M16*O16^2)*2),SQRT((N16/2)*2/M16),O16),0)</f>
        <v/>
      </c>
      <c r="T16" s="163">
        <f>IFERROR(Q16/L16,0)</f>
        <v/>
      </c>
      <c r="U16" s="163">
        <f>S16</f>
        <v/>
      </c>
      <c r="V16" s="163">
        <f>IF(K16&gt;0,K16,SUM(S16:U16))</f>
        <v/>
      </c>
      <c r="W16" s="163" t="n">
        <v>1</v>
      </c>
      <c r="X16" s="163">
        <f>V16*W16</f>
        <v/>
      </c>
      <c r="Z16" s="160">
        <f>Z15+1</f>
        <v/>
      </c>
      <c r="AA16" s="161" t="inlineStr">
        <is>
          <t>Quadron Running</t>
        </is>
      </c>
      <c r="AB16" s="162" t="inlineStr">
        <is>
          <t>Deliver tote or case to buffer conveyor</t>
        </is>
      </c>
      <c r="AC16" s="163">
        <f>IFERROR(VLOOKUP(AA16,'Master List'!$A:$D,2,0),0)</f>
        <v/>
      </c>
      <c r="AD16" s="163">
        <f>IFERROR(VLOOKUP(AA16,'Master List'!$A:$D,3,0),0)</f>
        <v/>
      </c>
      <c r="AE16" s="163">
        <f>IFERROR(VLOOKUP(AA16,'Master List'!$A:$D,4,0),0)</f>
        <v/>
      </c>
      <c r="AF16" s="163">
        <f>AF13+AF10</f>
        <v/>
      </c>
      <c r="AG16" s="163">
        <f>IFERROR(AD16/AE16,0)</f>
        <v/>
      </c>
      <c r="AH16" s="163">
        <f>IFERROR(IF(AF16&lt;((1/2*AE16*AG16^2)*2),1/2*AE16*SQRT((AF16/2)*2/AE16)^2,1/2*AE16*AG16^2),0)</f>
        <v/>
      </c>
      <c r="AI16" s="163">
        <f>IFERROR(IF(AF16-AH16-AJ16&lt;=0,0,AF16-AH16-AJ16),0)</f>
        <v/>
      </c>
      <c r="AJ16" s="163">
        <f>AH16</f>
        <v/>
      </c>
      <c r="AK16" s="163">
        <f>IFERROR(IF(AF16&lt;((1/2*AE16*AG16^2)*2),SQRT((AF16/2)*2/AE16),AG16),0)</f>
        <v/>
      </c>
      <c r="AL16" s="163">
        <f>IFERROR(AI16/AD16,0)</f>
        <v/>
      </c>
      <c r="AM16" s="163">
        <f>AK16</f>
        <v/>
      </c>
      <c r="AN16" s="163">
        <f>IF(AC16&gt;0,AC16,SUM(AK16:AM16))</f>
        <v/>
      </c>
      <c r="AO16" s="163" t="n">
        <v>1</v>
      </c>
      <c r="AP16" s="163">
        <f>AN16*AO16</f>
        <v/>
      </c>
      <c r="AR16" s="160">
        <f>AR15+1</f>
        <v/>
      </c>
      <c r="AS16" s="161" t="inlineStr">
        <is>
          <t>Quadron Running</t>
        </is>
      </c>
      <c r="AT16" s="162" t="inlineStr">
        <is>
          <t>Deliver tote or case to buffer conveyor</t>
        </is>
      </c>
      <c r="AU16" s="163">
        <f>IFERROR(VLOOKUP(AS16,'Master List'!$A:$D,2,0),0)</f>
        <v/>
      </c>
      <c r="AV16" s="163">
        <f>IFERROR(VLOOKUP(AS16,'Master List'!$A:$D,3,0),0)</f>
        <v/>
      </c>
      <c r="AW16" s="163">
        <f>IFERROR(VLOOKUP(AS16,'Master List'!$A:$D,4,0),0)</f>
        <v/>
      </c>
      <c r="AX16" s="163">
        <f>AX10-AX13</f>
        <v/>
      </c>
      <c r="AY16" s="163">
        <f>IFERROR(AV16/AW16,0)</f>
        <v/>
      </c>
      <c r="AZ16" s="163">
        <f>IFERROR(IF(AX16&lt;((1/2*AW16*AY16^2)*2),1/2*AW16*SQRT((AX16/2)*2/AW16)^2,1/2*AW16*AY16^2),0)</f>
        <v/>
      </c>
      <c r="BA16" s="163">
        <f>IFERROR(IF(AX16-AZ16-BB16&lt;=0,0,AX16-AZ16-BB16),0)</f>
        <v/>
      </c>
      <c r="BB16" s="163">
        <f>AZ16</f>
        <v/>
      </c>
      <c r="BC16" s="163">
        <f>IFERROR(IF(AX16&lt;((1/2*AW16*AY16^2)*2),SQRT((AX16/2)*2/AW16),AY16),0)</f>
        <v/>
      </c>
      <c r="BD16" s="163">
        <f>IFERROR(BA16/AV16,0)</f>
        <v/>
      </c>
      <c r="BE16" s="163">
        <f>BC16</f>
        <v/>
      </c>
      <c r="BF16" s="163">
        <f>IF(AU16&gt;0,AU16,SUM(BC16:BE16))</f>
        <v/>
      </c>
      <c r="BG16" s="163" t="n">
        <v>1</v>
      </c>
      <c r="BH16" s="163">
        <f>BF16*BG16</f>
        <v/>
      </c>
      <c r="BJ16" s="160">
        <f>BJ15+1</f>
        <v/>
      </c>
      <c r="BK16" s="161" t="n"/>
      <c r="BL16" s="162" t="n"/>
      <c r="BM16" s="163">
        <f>IFERROR(VLOOKUP(BK16,'Master List'!$A:$D,2,0),0)</f>
        <v/>
      </c>
      <c r="BN16" s="163">
        <f>IFERROR(VLOOKUP(BK16,'Master List'!$A:$D,3,0),0)</f>
        <v/>
      </c>
      <c r="BO16" s="163">
        <f>IFERROR(VLOOKUP(BK16,'Master List'!$A:$D,4,0),0)</f>
        <v/>
      </c>
      <c r="BP16" s="163" t="n"/>
      <c r="BQ16" s="163">
        <f>IFERROR(BN16/BO16,0)</f>
        <v/>
      </c>
      <c r="BR16" s="163">
        <f>IFERROR(IF(BP16&lt;((1/2*BO16*BQ16^2)*2),1/2*BO16*SQRT((BP16/2)*2/BO16)^2,1/2*BO16*BQ16^2),0)</f>
        <v/>
      </c>
      <c r="BS16" s="163">
        <f>IFERROR(IF(BP16-BR16-BT16&lt;=0,0,BP16-BR16-BT16),0)</f>
        <v/>
      </c>
      <c r="BT16" s="163">
        <f>BR16</f>
        <v/>
      </c>
      <c r="BU16" s="163">
        <f>IFERROR(IF(BP16&lt;((1/2*BO16*BQ16^2)*2),SQRT((BP16/2)*2/BO16),BQ16),0)</f>
        <v/>
      </c>
      <c r="BV16" s="163">
        <f>IFERROR(BS16/BN16,0)</f>
        <v/>
      </c>
      <c r="BW16" s="163">
        <f>BU16</f>
        <v/>
      </c>
      <c r="BX16" s="163">
        <f>IF(BM16&gt;0,BM16,SUM(BU16:BW16))</f>
        <v/>
      </c>
      <c r="BY16" s="163" t="n">
        <v>1</v>
      </c>
      <c r="BZ16" s="163">
        <f>BX16*BY16</f>
        <v/>
      </c>
      <c r="CB16" s="160">
        <f>CB15+1</f>
        <v/>
      </c>
      <c r="CC16" s="161" t="n"/>
      <c r="CD16" s="162" t="n"/>
      <c r="CE16" s="163">
        <f>IFERROR(VLOOKUP(CC16,'Master List'!$A:$D,2,0),0)</f>
        <v/>
      </c>
      <c r="CF16" s="163">
        <f>IFERROR(VLOOKUP(CC16,'Master List'!$A:$D,3,0),0)</f>
        <v/>
      </c>
      <c r="CG16" s="163">
        <f>IFERROR(VLOOKUP(CC16,'Master List'!$A:$D,4,0),0)</f>
        <v/>
      </c>
      <c r="CH16" s="163" t="n"/>
      <c r="CI16" s="163">
        <f>IFERROR(CF16/CG16,0)</f>
        <v/>
      </c>
      <c r="CJ16" s="163">
        <f>IFERROR(IF(CH16&lt;((1/2*CG16*CI16^2)*2),1/2*CG16*SQRT((CH16/2)*2/CG16)^2,1/2*CG16*CI16^2),0)</f>
        <v/>
      </c>
      <c r="CK16" s="163">
        <f>IFERROR(IF(CH16-CJ16-CL16&lt;=0,0,CH16-CJ16-CL16),0)</f>
        <v/>
      </c>
      <c r="CL16" s="163">
        <f>CJ16</f>
        <v/>
      </c>
      <c r="CM16" s="163">
        <f>IFERROR(IF(CH16&lt;((1/2*CG16*CI16^2)*2),SQRT((CH16/2)*2/CG16),CI16),0)</f>
        <v/>
      </c>
      <c r="CN16" s="163">
        <f>IFERROR(CK16/CF16,0)</f>
        <v/>
      </c>
      <c r="CO16" s="163">
        <f>CM16</f>
        <v/>
      </c>
      <c r="CP16" s="163">
        <f>IF(CE16&gt;0,CE16,SUM(CM16:CO16))</f>
        <v/>
      </c>
      <c r="CQ16" s="163" t="n"/>
      <c r="CR16" s="163">
        <f>CP16*CQ16</f>
        <v/>
      </c>
    </row>
    <row r="17">
      <c r="A17" s="33" t="n"/>
      <c r="B17" s="34" t="inlineStr">
        <is>
          <t>% of Aisle Length</t>
        </is>
      </c>
      <c r="C17" s="34" t="inlineStr">
        <is>
          <t>Distance travelled m</t>
        </is>
      </c>
      <c r="D17" s="34" t="inlineStr">
        <is>
          <t>Cycles/ Hr</t>
        </is>
      </c>
      <c r="E17" s="34" t="inlineStr">
        <is>
          <t>Weightage</t>
        </is>
      </c>
      <c r="F17" s="34" t="inlineStr">
        <is>
          <t>Totes/ Cases per hr</t>
        </is>
      </c>
      <c r="H17" s="160">
        <f>H16+1</f>
        <v/>
      </c>
      <c r="I17" s="161" t="inlineStr">
        <is>
          <t>Quadron Forking Single Deep</t>
        </is>
      </c>
      <c r="J17" s="162" t="inlineStr">
        <is>
          <t>Deliver tote or case from buffer conveyor</t>
        </is>
      </c>
      <c r="K17" s="163">
        <f>IFERROR(VLOOKUP(I17,'Master List'!$A:$D,2,0),0)</f>
        <v/>
      </c>
      <c r="L17" s="163">
        <f>IFERROR(VLOOKUP(I17,'Master List'!$A:$D,3,0),0)</f>
        <v/>
      </c>
      <c r="M17" s="163">
        <f>IFERROR(VLOOKUP(I17,'Master List'!$A:$D,4,0),0)</f>
        <v/>
      </c>
      <c r="N17" s="163" t="n"/>
      <c r="O17" s="163">
        <f>IFERROR(L17/M17,0)</f>
        <v/>
      </c>
      <c r="P17" s="163">
        <f>IFERROR(IF(N17&lt;((1/2*M17*O17^2)*2),1/2*M17*SQRT((N17/2)*2/M17)^2,1/2*M17*O17^2),0)</f>
        <v/>
      </c>
      <c r="Q17" s="163">
        <f>IFERROR(IF(N17-P17-R17&lt;=0,0,N17-P17-R17),0)</f>
        <v/>
      </c>
      <c r="R17" s="163">
        <f>P17</f>
        <v/>
      </c>
      <c r="S17" s="163">
        <f>IFERROR(IF(N17&lt;((1/2*M17*O17^2)*2),SQRT((N17/2)*2/M17),O17),0)</f>
        <v/>
      </c>
      <c r="T17" s="163">
        <f>IFERROR(Q17/L17,0)</f>
        <v/>
      </c>
      <c r="U17" s="163">
        <f>S17</f>
        <v/>
      </c>
      <c r="V17" s="163">
        <f>IF(K17&gt;0,K17,SUM(S17:U17))</f>
        <v/>
      </c>
      <c r="W17" s="163" t="n">
        <v>1</v>
      </c>
      <c r="X17" s="163">
        <f>V17*W17</f>
        <v/>
      </c>
      <c r="Z17" s="160">
        <f>Z16+1</f>
        <v/>
      </c>
      <c r="AA17" s="161" t="inlineStr">
        <is>
          <t>Quadron Forking Single Deep</t>
        </is>
      </c>
      <c r="AB17" s="162" t="inlineStr">
        <is>
          <t>Deliver tote or case from buffer conveyor</t>
        </is>
      </c>
      <c r="AC17" s="163">
        <f>IFERROR(VLOOKUP(AA17,'Master List'!$A:$D,2,0),0)</f>
        <v/>
      </c>
      <c r="AD17" s="163">
        <f>IFERROR(VLOOKUP(AA17,'Master List'!$A:$D,3,0),0)</f>
        <v/>
      </c>
      <c r="AE17" s="163">
        <f>IFERROR(VLOOKUP(AA17,'Master List'!$A:$D,4,0),0)</f>
        <v/>
      </c>
      <c r="AF17" s="163" t="n"/>
      <c r="AG17" s="163">
        <f>IFERROR(AD17/AE17,0)</f>
        <v/>
      </c>
      <c r="AH17" s="163">
        <f>IFERROR(IF(AF17&lt;((1/2*AE17*AG17^2)*2),1/2*AE17*SQRT((AF17/2)*2/AE17)^2,1/2*AE17*AG17^2),0)</f>
        <v/>
      </c>
      <c r="AI17" s="163">
        <f>IFERROR(IF(AF17-AH17-AJ17&lt;=0,0,AF17-AH17-AJ17),0)</f>
        <v/>
      </c>
      <c r="AJ17" s="163">
        <f>AH17</f>
        <v/>
      </c>
      <c r="AK17" s="163">
        <f>IFERROR(IF(AF17&lt;((1/2*AE17*AG17^2)*2),SQRT((AF17/2)*2/AE17),AG17),0)</f>
        <v/>
      </c>
      <c r="AL17" s="163">
        <f>IFERROR(AI17/AD17,0)</f>
        <v/>
      </c>
      <c r="AM17" s="163">
        <f>AK17</f>
        <v/>
      </c>
      <c r="AN17" s="163">
        <f>IF(AC17&gt;0,AC17,SUM(AK17:AM17))</f>
        <v/>
      </c>
      <c r="AO17" s="163" t="n">
        <v>1</v>
      </c>
      <c r="AP17" s="163">
        <f>AN17*AO17</f>
        <v/>
      </c>
      <c r="AR17" s="160">
        <f>AR16+1</f>
        <v/>
      </c>
      <c r="AS17" s="161" t="inlineStr">
        <is>
          <t>Quadron Forking Single Deep</t>
        </is>
      </c>
      <c r="AT17" s="162" t="inlineStr">
        <is>
          <t>Deliver tote or case from buffer conveyor</t>
        </is>
      </c>
      <c r="AU17" s="163">
        <f>IFERROR(VLOOKUP(AS17,'Master List'!$A:$D,2,0),0)</f>
        <v/>
      </c>
      <c r="AV17" s="163">
        <f>IFERROR(VLOOKUP(AS17,'Master List'!$A:$D,3,0),0)</f>
        <v/>
      </c>
      <c r="AW17" s="163">
        <f>IFERROR(VLOOKUP(AS17,'Master List'!$A:$D,4,0),0)</f>
        <v/>
      </c>
      <c r="AX17" s="163" t="n"/>
      <c r="AY17" s="163">
        <f>IFERROR(AV17/AW17,0)</f>
        <v/>
      </c>
      <c r="AZ17" s="163">
        <f>IFERROR(IF(AX17&lt;((1/2*AW17*AY17^2)*2),1/2*AW17*SQRT((AX17/2)*2/AW17)^2,1/2*AW17*AY17^2),0)</f>
        <v/>
      </c>
      <c r="BA17" s="163">
        <f>IFERROR(IF(AX17-AZ17-BB17&lt;=0,0,AX17-AZ17-BB17),0)</f>
        <v/>
      </c>
      <c r="BB17" s="163">
        <f>AZ17</f>
        <v/>
      </c>
      <c r="BC17" s="163">
        <f>IFERROR(IF(AX17&lt;((1/2*AW17*AY17^2)*2),SQRT((AX17/2)*2/AW17),AY17),0)</f>
        <v/>
      </c>
      <c r="BD17" s="163">
        <f>IFERROR(BA17/AV17,0)</f>
        <v/>
      </c>
      <c r="BE17" s="163">
        <f>BC17</f>
        <v/>
      </c>
      <c r="BF17" s="163">
        <f>IF(AU17&gt;0,AU17,SUM(BC17:BE17))</f>
        <v/>
      </c>
      <c r="BG17" s="163" t="n">
        <v>1</v>
      </c>
      <c r="BH17" s="163">
        <f>BF17*BG17</f>
        <v/>
      </c>
      <c r="BJ17" s="160">
        <f>BJ16+1</f>
        <v/>
      </c>
      <c r="BK17" s="161" t="n"/>
      <c r="BL17" s="162" t="n"/>
      <c r="BM17" s="163">
        <f>IFERROR(VLOOKUP(BK17,'Master List'!$A:$D,2,0),0)</f>
        <v/>
      </c>
      <c r="BN17" s="163">
        <f>IFERROR(VLOOKUP(BK17,'Master List'!$A:$D,3,0),0)</f>
        <v/>
      </c>
      <c r="BO17" s="163">
        <f>IFERROR(VLOOKUP(BK17,'Master List'!$A:$D,4,0),0)</f>
        <v/>
      </c>
      <c r="BP17" s="163" t="n"/>
      <c r="BQ17" s="163">
        <f>IFERROR(BN17/BO17,0)</f>
        <v/>
      </c>
      <c r="BR17" s="163">
        <f>IFERROR(IF(BP17&lt;((1/2*BO17*BQ17^2)*2),1/2*BO17*SQRT((BP17/2)*2/BO17)^2,1/2*BO17*BQ17^2),0)</f>
        <v/>
      </c>
      <c r="BS17" s="163">
        <f>IFERROR(IF(BP17-BR17-BT17&lt;=0,0,BP17-BR17-BT17),0)</f>
        <v/>
      </c>
      <c r="BT17" s="163">
        <f>BR17</f>
        <v/>
      </c>
      <c r="BU17" s="163">
        <f>IFERROR(IF(BP17&lt;((1/2*BO17*BQ17^2)*2),SQRT((BP17/2)*2/BO17),BQ17),0)</f>
        <v/>
      </c>
      <c r="BV17" s="163">
        <f>IFERROR(BS17/BN17,0)</f>
        <v/>
      </c>
      <c r="BW17" s="163">
        <f>BU17</f>
        <v/>
      </c>
      <c r="BX17" s="163">
        <f>IF(BM17&gt;0,BM17,SUM(BU17:BW17))</f>
        <v/>
      </c>
      <c r="BY17" s="163" t="n">
        <v>1</v>
      </c>
      <c r="BZ17" s="163">
        <f>BX17*BY17</f>
        <v/>
      </c>
      <c r="CB17" s="160">
        <f>CB16+1</f>
        <v/>
      </c>
      <c r="CC17" s="161" t="n"/>
      <c r="CD17" s="162" t="n"/>
      <c r="CE17" s="163">
        <f>IFERROR(VLOOKUP(CC17,'Master List'!$A:$D,2,0),0)</f>
        <v/>
      </c>
      <c r="CF17" s="163">
        <f>IFERROR(VLOOKUP(CC17,'Master List'!$A:$D,3,0),0)</f>
        <v/>
      </c>
      <c r="CG17" s="163">
        <f>IFERROR(VLOOKUP(CC17,'Master List'!$A:$D,4,0),0)</f>
        <v/>
      </c>
      <c r="CH17" s="163" t="n"/>
      <c r="CI17" s="163">
        <f>IFERROR(CF17/CG17,0)</f>
        <v/>
      </c>
      <c r="CJ17" s="163">
        <f>IFERROR(IF(CH17&lt;((1/2*CG17*CI17^2)*2),1/2*CG17*SQRT((CH17/2)*2/CG17)^2,1/2*CG17*CI17^2),0)</f>
        <v/>
      </c>
      <c r="CK17" s="163">
        <f>IFERROR(IF(CH17-CJ17-CL17&lt;=0,0,CH17-CJ17-CL17),0)</f>
        <v/>
      </c>
      <c r="CL17" s="163">
        <f>CJ17</f>
        <v/>
      </c>
      <c r="CM17" s="163">
        <f>IFERROR(IF(CH17&lt;((1/2*CG17*CI17^2)*2),SQRT((CH17/2)*2/CG17),CI17),0)</f>
        <v/>
      </c>
      <c r="CN17" s="163">
        <f>IFERROR(CK17/CF17,0)</f>
        <v/>
      </c>
      <c r="CO17" s="163">
        <f>CM17</f>
        <v/>
      </c>
      <c r="CP17" s="163">
        <f>IF(CE17&gt;0,CE17,SUM(CM17:CO17))</f>
        <v/>
      </c>
      <c r="CQ17" s="163" t="n"/>
      <c r="CR17" s="163">
        <f>CP17*CQ17</f>
        <v/>
      </c>
    </row>
    <row r="18">
      <c r="A18" s="33">
        <f>"Combined cycle - Far "&amp;C18&amp;" m"</f>
        <v/>
      </c>
      <c r="B18" s="52" t="n">
        <v>0.3</v>
      </c>
      <c r="C18" s="43">
        <f>B18*$B$15</f>
        <v/>
      </c>
      <c r="D18" s="45">
        <f>'Quadron Double deep TP'!X4</f>
        <v/>
      </c>
      <c r="E18" s="52">
        <f>'Quadron Input Output'!E7/3</f>
        <v/>
      </c>
      <c r="F18" s="43">
        <f>D18*2</f>
        <v/>
      </c>
      <c r="H18" s="160">
        <f>H17+1</f>
        <v/>
      </c>
      <c r="I18" s="161" t="n"/>
      <c r="J18" s="162" t="n"/>
      <c r="K18" s="163">
        <f>IFERROR(VLOOKUP(I18,'Master List'!$A:$D,2,0),0)</f>
        <v/>
      </c>
      <c r="L18" s="163">
        <f>IFERROR(VLOOKUP(I18,'Master List'!$A:$D,3,0),0)</f>
        <v/>
      </c>
      <c r="M18" s="163">
        <f>IFERROR(VLOOKUP(I18,'Master List'!$A:$D,4,0),0)</f>
        <v/>
      </c>
      <c r="N18" s="163" t="n"/>
      <c r="O18" s="163">
        <f>IFERROR(L18/M18,0)</f>
        <v/>
      </c>
      <c r="P18" s="163">
        <f>IFERROR(IF(N18&lt;((1/2*M18*O18^2)*2),1/2*M18*SQRT((N18/2)*2/M18)^2,1/2*M18*O18^2),0)</f>
        <v/>
      </c>
      <c r="Q18" s="163">
        <f>IFERROR(IF(N18-P18-R18&lt;=0,0,N18-P18-R18),0)</f>
        <v/>
      </c>
      <c r="R18" s="163">
        <f>P18</f>
        <v/>
      </c>
      <c r="S18" s="163">
        <f>IFERROR(IF(N18&lt;((1/2*M18*O18^2)*2),SQRT((N18/2)*2/M18),O18),0)</f>
        <v/>
      </c>
      <c r="T18" s="163">
        <f>IFERROR(Q18/L18,0)</f>
        <v/>
      </c>
      <c r="U18" s="163">
        <f>S18</f>
        <v/>
      </c>
      <c r="V18" s="163">
        <f>IF(K18&gt;0,K18,SUM(S18:U18))</f>
        <v/>
      </c>
      <c r="W18" s="163" t="n">
        <v>1</v>
      </c>
      <c r="X18" s="163">
        <f>V18*W18</f>
        <v/>
      </c>
      <c r="Z18" s="160">
        <f>Z17+1</f>
        <v/>
      </c>
      <c r="AA18" s="161" t="n"/>
      <c r="AB18" s="162" t="n"/>
      <c r="AC18" s="163">
        <f>IFERROR(VLOOKUP(AA18,'Master List'!$A:$D,2,0),0)</f>
        <v/>
      </c>
      <c r="AD18" s="163">
        <f>IFERROR(VLOOKUP(AA18,'Master List'!$A:$D,3,0),0)</f>
        <v/>
      </c>
      <c r="AE18" s="163">
        <f>IFERROR(VLOOKUP(AA18,'Master List'!$A:$D,4,0),0)</f>
        <v/>
      </c>
      <c r="AF18" s="163" t="n"/>
      <c r="AG18" s="163">
        <f>IFERROR(AD18/AE18,0)</f>
        <v/>
      </c>
      <c r="AH18" s="163">
        <f>IFERROR(IF(AF18&lt;((1/2*AE18*AG18^2)*2),1/2*AE18*SQRT((AF18/2)*2/AE18)^2,1/2*AE18*AG18^2),0)</f>
        <v/>
      </c>
      <c r="AI18" s="163">
        <f>IFERROR(IF(AF18-AH18-AJ18&lt;=0,0,AF18-AH18-AJ18),0)</f>
        <v/>
      </c>
      <c r="AJ18" s="163">
        <f>AH18</f>
        <v/>
      </c>
      <c r="AK18" s="163">
        <f>IFERROR(IF(AF18&lt;((1/2*AE18*AG18^2)*2),SQRT((AF18/2)*2/AE18),AG18),0)</f>
        <v/>
      </c>
      <c r="AL18" s="163">
        <f>IFERROR(AI18/AD18,0)</f>
        <v/>
      </c>
      <c r="AM18" s="163">
        <f>AK18</f>
        <v/>
      </c>
      <c r="AN18" s="163">
        <f>IF(AC18&gt;0,AC18,SUM(AK18:AM18))</f>
        <v/>
      </c>
      <c r="AO18" s="163" t="n">
        <v>1</v>
      </c>
      <c r="AP18" s="163">
        <f>AN18*AO18</f>
        <v/>
      </c>
      <c r="AR18" s="160">
        <f>AR17+1</f>
        <v/>
      </c>
      <c r="AS18" s="161" t="n"/>
      <c r="AT18" s="162" t="n"/>
      <c r="AU18" s="163">
        <f>IFERROR(VLOOKUP(AS18,'Master List'!$A:$D,2,0),0)</f>
        <v/>
      </c>
      <c r="AV18" s="163">
        <f>IFERROR(VLOOKUP(AS18,'Master List'!$A:$D,3,0),0)</f>
        <v/>
      </c>
      <c r="AW18" s="163">
        <f>IFERROR(VLOOKUP(AS18,'Master List'!$A:$D,4,0),0)</f>
        <v/>
      </c>
      <c r="AX18" s="163" t="n"/>
      <c r="AY18" s="163">
        <f>IFERROR(AV18/AW18,0)</f>
        <v/>
      </c>
      <c r="AZ18" s="163">
        <f>IFERROR(IF(AX18&lt;((1/2*AW18*AY18^2)*2),1/2*AW18*SQRT((AX18/2)*2/AW18)^2,1/2*AW18*AY18^2),0)</f>
        <v/>
      </c>
      <c r="BA18" s="163">
        <f>IFERROR(IF(AX18-AZ18-BB18&lt;=0,0,AX18-AZ18-BB18),0)</f>
        <v/>
      </c>
      <c r="BB18" s="163">
        <f>AZ18</f>
        <v/>
      </c>
      <c r="BC18" s="163">
        <f>IFERROR(IF(AX18&lt;((1/2*AW18*AY18^2)*2),SQRT((AX18/2)*2/AW18),AY18),0)</f>
        <v/>
      </c>
      <c r="BD18" s="163">
        <f>IFERROR(BA18/AV18,0)</f>
        <v/>
      </c>
      <c r="BE18" s="163">
        <f>BC18</f>
        <v/>
      </c>
      <c r="BF18" s="163">
        <f>IF(AU18&gt;0,AU18,SUM(BC18:BE18))</f>
        <v/>
      </c>
      <c r="BG18" s="163" t="n">
        <v>1</v>
      </c>
      <c r="BH18" s="163">
        <f>BF18*BG18</f>
        <v/>
      </c>
      <c r="BJ18" s="160">
        <f>BJ17+1</f>
        <v/>
      </c>
      <c r="BK18" s="161" t="n"/>
      <c r="BL18" s="162" t="n"/>
      <c r="BM18" s="163">
        <f>IFERROR(VLOOKUP(BK18,'Master List'!$A:$D,2,0),0)</f>
        <v/>
      </c>
      <c r="BN18" s="163">
        <f>IFERROR(VLOOKUP(BK18,'Master List'!$A:$D,3,0),0)</f>
        <v/>
      </c>
      <c r="BO18" s="163">
        <f>IFERROR(VLOOKUP(BK18,'Master List'!$A:$D,4,0),0)</f>
        <v/>
      </c>
      <c r="BP18" s="163" t="n"/>
      <c r="BQ18" s="163">
        <f>IFERROR(BN18/BO18,0)</f>
        <v/>
      </c>
      <c r="BR18" s="163">
        <f>IFERROR(IF(BP18&lt;((1/2*BO18*BQ18^2)*2),1/2*BO18*SQRT((BP18/2)*2/BO18)^2,1/2*BO18*BQ18^2),0)</f>
        <v/>
      </c>
      <c r="BS18" s="163">
        <f>IFERROR(IF(BP18-BR18-BT18&lt;=0,0,BP18-BR18-BT18),0)</f>
        <v/>
      </c>
      <c r="BT18" s="163">
        <f>BR18</f>
        <v/>
      </c>
      <c r="BU18" s="163">
        <f>IFERROR(IF(BP18&lt;((1/2*BO18*BQ18^2)*2),SQRT((BP18/2)*2/BO18),BQ18),0)</f>
        <v/>
      </c>
      <c r="BV18" s="163">
        <f>IFERROR(BS18/BN18,0)</f>
        <v/>
      </c>
      <c r="BW18" s="163">
        <f>BU18</f>
        <v/>
      </c>
      <c r="BX18" s="163">
        <f>IF(BM18&gt;0,BM18,SUM(BU18:BW18))</f>
        <v/>
      </c>
      <c r="BY18" s="163" t="n">
        <v>1</v>
      </c>
      <c r="BZ18" s="163">
        <f>BX18*BY18</f>
        <v/>
      </c>
      <c r="CB18" s="160">
        <f>CB17+1</f>
        <v/>
      </c>
      <c r="CC18" s="161" t="n"/>
      <c r="CD18" s="162" t="n"/>
      <c r="CE18" s="163">
        <f>IFERROR(VLOOKUP(CC18,'Master List'!$A:$D,2,0),0)</f>
        <v/>
      </c>
      <c r="CF18" s="163">
        <f>IFERROR(VLOOKUP(CC18,'Master List'!$A:$D,3,0),0)</f>
        <v/>
      </c>
      <c r="CG18" s="163">
        <f>IFERROR(VLOOKUP(CC18,'Master List'!$A:$D,4,0),0)</f>
        <v/>
      </c>
      <c r="CH18" s="163" t="n"/>
      <c r="CI18" s="163">
        <f>IFERROR(CF18/CG18,0)</f>
        <v/>
      </c>
      <c r="CJ18" s="163">
        <f>IFERROR(IF(CH18&lt;((1/2*CG18*CI18^2)*2),1/2*CG18*SQRT((CH18/2)*2/CG18)^2,1/2*CG18*CI18^2),0)</f>
        <v/>
      </c>
      <c r="CK18" s="163">
        <f>IFERROR(IF(CH18-CJ18-CL18&lt;=0,0,CH18-CJ18-CL18),0)</f>
        <v/>
      </c>
      <c r="CL18" s="163">
        <f>CJ18</f>
        <v/>
      </c>
      <c r="CM18" s="163">
        <f>IFERROR(IF(CH18&lt;((1/2*CG18*CI18^2)*2),SQRT((CH18/2)*2/CG18),CI18),0)</f>
        <v/>
      </c>
      <c r="CN18" s="163">
        <f>IFERROR(CK18/CF18,0)</f>
        <v/>
      </c>
      <c r="CO18" s="163">
        <f>CM18</f>
        <v/>
      </c>
      <c r="CP18" s="163">
        <f>IF(CE18&gt;0,CE18,SUM(CM18:CO18))</f>
        <v/>
      </c>
      <c r="CQ18" s="163" t="n"/>
      <c r="CR18" s="163">
        <f>CP18*CQ18</f>
        <v/>
      </c>
    </row>
    <row r="19">
      <c r="A19" s="33">
        <f>"Combined cycle - Far "&amp;C19&amp;" m"</f>
        <v/>
      </c>
      <c r="B19" s="52" t="n">
        <v>0.7</v>
      </c>
      <c r="C19" s="43">
        <f>B19*$B$15</f>
        <v/>
      </c>
      <c r="D19" s="45">
        <f>'Quadron Double deep TP'!AP4</f>
        <v/>
      </c>
      <c r="E19" s="52">
        <f>E18</f>
        <v/>
      </c>
      <c r="F19" s="43">
        <f>D19*2</f>
        <v/>
      </c>
      <c r="H19" s="160">
        <f>H18+1</f>
        <v/>
      </c>
      <c r="I19" s="161" t="n"/>
      <c r="J19" s="162" t="n"/>
      <c r="K19" s="163">
        <f>IFERROR(VLOOKUP(I19,'Master List'!$A:$D,2,0),0)</f>
        <v/>
      </c>
      <c r="L19" s="163">
        <f>IFERROR(VLOOKUP(I19,'Master List'!$A:$D,3,0),0)</f>
        <v/>
      </c>
      <c r="M19" s="163">
        <f>IFERROR(VLOOKUP(I19,'Master List'!$A:$D,4,0),0)</f>
        <v/>
      </c>
      <c r="N19" s="163" t="n"/>
      <c r="O19" s="163">
        <f>IFERROR(L19/M19,0)</f>
        <v/>
      </c>
      <c r="P19" s="163">
        <f>IFERROR(IF(N19&lt;((1/2*M19*O19^2)*2),1/2*M19*SQRT((N19/2)*2/M19)^2,1/2*M19*O19^2),0)</f>
        <v/>
      </c>
      <c r="Q19" s="163">
        <f>IFERROR(IF(N19-P19-R19&lt;=0,0,N19-P19-R19),0)</f>
        <v/>
      </c>
      <c r="R19" s="163">
        <f>P19</f>
        <v/>
      </c>
      <c r="S19" s="163">
        <f>IFERROR(IF(N19&lt;((1/2*M19*O19^2)*2),SQRT((N19/2)*2/M19),O19),0)</f>
        <v/>
      </c>
      <c r="T19" s="163">
        <f>IFERROR(Q19/L19,0)</f>
        <v/>
      </c>
      <c r="U19" s="163">
        <f>S19</f>
        <v/>
      </c>
      <c r="V19" s="163">
        <f>IF(K19&gt;0,K19,SUM(S19:U19))</f>
        <v/>
      </c>
      <c r="W19" s="163" t="n">
        <v>1</v>
      </c>
      <c r="X19" s="163">
        <f>V19*W19</f>
        <v/>
      </c>
      <c r="Z19" s="160">
        <f>Z18+1</f>
        <v/>
      </c>
      <c r="AA19" s="161" t="n"/>
      <c r="AB19" s="162" t="n"/>
      <c r="AC19" s="163">
        <f>IFERROR(VLOOKUP(AA19,'Master List'!$A:$D,2,0),0)</f>
        <v/>
      </c>
      <c r="AD19" s="163">
        <f>IFERROR(VLOOKUP(AA19,'Master List'!$A:$D,3,0),0)</f>
        <v/>
      </c>
      <c r="AE19" s="163">
        <f>IFERROR(VLOOKUP(AA19,'Master List'!$A:$D,4,0),0)</f>
        <v/>
      </c>
      <c r="AF19" s="163" t="n"/>
      <c r="AG19" s="163">
        <f>IFERROR(AD19/AE19,0)</f>
        <v/>
      </c>
      <c r="AH19" s="163">
        <f>IFERROR(IF(AF19&lt;((1/2*AE19*AG19^2)*2),1/2*AE19*SQRT((AF19/2)*2/AE19)^2,1/2*AE19*AG19^2),0)</f>
        <v/>
      </c>
      <c r="AI19" s="163">
        <f>IFERROR(IF(AF19-AH19-AJ19&lt;=0,0,AF19-AH19-AJ19),0)</f>
        <v/>
      </c>
      <c r="AJ19" s="163">
        <f>AH19</f>
        <v/>
      </c>
      <c r="AK19" s="163">
        <f>IFERROR(IF(AF19&lt;((1/2*AE19*AG19^2)*2),SQRT((AF19/2)*2/AE19),AG19),0)</f>
        <v/>
      </c>
      <c r="AL19" s="163">
        <f>IFERROR(AI19/AD19,0)</f>
        <v/>
      </c>
      <c r="AM19" s="163">
        <f>AK19</f>
        <v/>
      </c>
      <c r="AN19" s="163">
        <f>IF(AC19&gt;0,AC19,SUM(AK19:AM19))</f>
        <v/>
      </c>
      <c r="AO19" s="163" t="n">
        <v>1</v>
      </c>
      <c r="AP19" s="163">
        <f>AN19*AO19</f>
        <v/>
      </c>
      <c r="AR19" s="160">
        <f>AR18+1</f>
        <v/>
      </c>
      <c r="AS19" s="161" t="n"/>
      <c r="AT19" s="162" t="n"/>
      <c r="AU19" s="163">
        <f>IFERROR(VLOOKUP(AS19,'Master List'!$A:$D,2,0),0)</f>
        <v/>
      </c>
      <c r="AV19" s="163">
        <f>IFERROR(VLOOKUP(AS19,'Master List'!$A:$D,3,0),0)</f>
        <v/>
      </c>
      <c r="AW19" s="163">
        <f>IFERROR(VLOOKUP(AS19,'Master List'!$A:$D,4,0),0)</f>
        <v/>
      </c>
      <c r="AX19" s="163" t="n"/>
      <c r="AY19" s="163">
        <f>IFERROR(AV19/AW19,0)</f>
        <v/>
      </c>
      <c r="AZ19" s="163">
        <f>IFERROR(IF(AX19&lt;((1/2*AW19*AY19^2)*2),1/2*AW19*SQRT((AX19/2)*2/AW19)^2,1/2*AW19*AY19^2),0)</f>
        <v/>
      </c>
      <c r="BA19" s="163">
        <f>IFERROR(IF(AX19-AZ19-BB19&lt;=0,0,AX19-AZ19-BB19),0)</f>
        <v/>
      </c>
      <c r="BB19" s="163">
        <f>AZ19</f>
        <v/>
      </c>
      <c r="BC19" s="163">
        <f>IFERROR(IF(AX19&lt;((1/2*AW19*AY19^2)*2),SQRT((AX19/2)*2/AW19),AY19),0)</f>
        <v/>
      </c>
      <c r="BD19" s="163">
        <f>IFERROR(BA19/AV19,0)</f>
        <v/>
      </c>
      <c r="BE19" s="163">
        <f>BC19</f>
        <v/>
      </c>
      <c r="BF19" s="163">
        <f>IF(AU19&gt;0,AU19,SUM(BC19:BE19))</f>
        <v/>
      </c>
      <c r="BG19" s="163" t="n">
        <v>1</v>
      </c>
      <c r="BH19" s="163">
        <f>BF19*BG19</f>
        <v/>
      </c>
      <c r="BJ19" s="160">
        <f>BJ18+1</f>
        <v/>
      </c>
      <c r="BK19" s="161" t="n"/>
      <c r="BL19" s="162" t="n"/>
      <c r="BM19" s="163">
        <f>IFERROR(VLOOKUP(BK19,'Master List'!$A:$D,2,0),0)</f>
        <v/>
      </c>
      <c r="BN19" s="163">
        <f>IFERROR(VLOOKUP(BK19,'Master List'!$A:$D,3,0),0)</f>
        <v/>
      </c>
      <c r="BO19" s="163">
        <f>IFERROR(VLOOKUP(BK19,'Master List'!$A:$D,4,0),0)</f>
        <v/>
      </c>
      <c r="BP19" s="163" t="n"/>
      <c r="BQ19" s="163">
        <f>IFERROR(BN19/BO19,0)</f>
        <v/>
      </c>
      <c r="BR19" s="163">
        <f>IFERROR(IF(BP19&lt;((1/2*BO19*BQ19^2)*2),1/2*BO19*SQRT((BP19/2)*2/BO19)^2,1/2*BO19*BQ19^2),0)</f>
        <v/>
      </c>
      <c r="BS19" s="163">
        <f>IFERROR(IF(BP19-BR19-BT19&lt;=0,0,BP19-BR19-BT19),0)</f>
        <v/>
      </c>
      <c r="BT19" s="163">
        <f>BR19</f>
        <v/>
      </c>
      <c r="BU19" s="163">
        <f>IFERROR(IF(BP19&lt;((1/2*BO19*BQ19^2)*2),SQRT((BP19/2)*2/BO19),BQ19),0)</f>
        <v/>
      </c>
      <c r="BV19" s="163">
        <f>IFERROR(BS19/BN19,0)</f>
        <v/>
      </c>
      <c r="BW19" s="163">
        <f>BU19</f>
        <v/>
      </c>
      <c r="BX19" s="163">
        <f>IF(BM19&gt;0,BM19,SUM(BU19:BW19))</f>
        <v/>
      </c>
      <c r="BY19" s="163" t="n">
        <v>1</v>
      </c>
      <c r="BZ19" s="163">
        <f>BX19*BY19</f>
        <v/>
      </c>
      <c r="CB19" s="160">
        <f>CB18+1</f>
        <v/>
      </c>
      <c r="CC19" s="161" t="n"/>
      <c r="CD19" s="162" t="n"/>
      <c r="CE19" s="163">
        <f>IFERROR(VLOOKUP(CC19,'Master List'!$A:$D,2,0),0)</f>
        <v/>
      </c>
      <c r="CF19" s="163">
        <f>IFERROR(VLOOKUP(CC19,'Master List'!$A:$D,3,0),0)</f>
        <v/>
      </c>
      <c r="CG19" s="163">
        <f>IFERROR(VLOOKUP(CC19,'Master List'!$A:$D,4,0),0)</f>
        <v/>
      </c>
      <c r="CH19" s="163" t="n"/>
      <c r="CI19" s="163">
        <f>IFERROR(CF19/CG19,0)</f>
        <v/>
      </c>
      <c r="CJ19" s="163">
        <f>IFERROR(IF(CH19&lt;((1/2*CG19*CI19^2)*2),1/2*CG19*SQRT((CH19/2)*2/CG19)^2,1/2*CG19*CI19^2),0)</f>
        <v/>
      </c>
      <c r="CK19" s="163">
        <f>IFERROR(IF(CH19-CJ19-CL19&lt;=0,0,CH19-CJ19-CL19),0)</f>
        <v/>
      </c>
      <c r="CL19" s="163">
        <f>CJ19</f>
        <v/>
      </c>
      <c r="CM19" s="163">
        <f>IFERROR(IF(CH19&lt;((1/2*CG19*CI19^2)*2),SQRT((CH19/2)*2/CG19),CI19),0)</f>
        <v/>
      </c>
      <c r="CN19" s="163">
        <f>IFERROR(CK19/CF19,0)</f>
        <v/>
      </c>
      <c r="CO19" s="163">
        <f>CM19</f>
        <v/>
      </c>
      <c r="CP19" s="163">
        <f>IF(CE19&gt;0,CE19,SUM(CM19:CO19))</f>
        <v/>
      </c>
      <c r="CQ19" s="163" t="n"/>
      <c r="CR19" s="163">
        <f>CP19*CQ19</f>
        <v/>
      </c>
    </row>
    <row r="20">
      <c r="A20" s="33">
        <f>"Combined cycle - Far "&amp;C20&amp;" m"</f>
        <v/>
      </c>
      <c r="B20" s="52" t="n">
        <v>1</v>
      </c>
      <c r="C20" s="43">
        <f>B20*$B$15</f>
        <v/>
      </c>
      <c r="D20" s="45">
        <f>'Quadron Double deep TP'!BH4</f>
        <v/>
      </c>
      <c r="E20" s="52">
        <f>E19</f>
        <v/>
      </c>
      <c r="F20" s="43">
        <f>D20*2</f>
        <v/>
      </c>
      <c r="H20" s="160">
        <f>H19+1</f>
        <v/>
      </c>
      <c r="I20" s="161" t="n"/>
      <c r="J20" s="162" t="n"/>
      <c r="K20" s="163">
        <f>IFERROR(VLOOKUP(I20,'Master List'!$A:$D,2,0),0)</f>
        <v/>
      </c>
      <c r="L20" s="163">
        <f>IFERROR(VLOOKUP(I20,'Master List'!$A:$D,3,0),0)</f>
        <v/>
      </c>
      <c r="M20" s="163">
        <f>IFERROR(VLOOKUP(I20,'Master List'!$A:$D,4,0),0)</f>
        <v/>
      </c>
      <c r="N20" s="163" t="n"/>
      <c r="O20" s="163">
        <f>IFERROR(L20/M20,0)</f>
        <v/>
      </c>
      <c r="P20" s="163">
        <f>IFERROR(IF(N20&lt;((1/2*M20*O20^2)*2),1/2*M20*SQRT((N20/2)*2/M20)^2,1/2*M20*O20^2),0)</f>
        <v/>
      </c>
      <c r="Q20" s="163">
        <f>IFERROR(IF(N20-P20-R20&lt;=0,0,N20-P20-R20),0)</f>
        <v/>
      </c>
      <c r="R20" s="163">
        <f>P20</f>
        <v/>
      </c>
      <c r="S20" s="163">
        <f>IFERROR(IF(N20&lt;((1/2*M20*O20^2)*2),SQRT((N20/2)*2/M20),O20),0)</f>
        <v/>
      </c>
      <c r="T20" s="163">
        <f>IFERROR(Q20/L20,0)</f>
        <v/>
      </c>
      <c r="U20" s="163">
        <f>S20</f>
        <v/>
      </c>
      <c r="V20" s="163">
        <f>IF(K20&gt;0,K20,SUM(S20:U20))</f>
        <v/>
      </c>
      <c r="W20" s="163" t="n">
        <v>1</v>
      </c>
      <c r="X20" s="163">
        <f>V20*W20</f>
        <v/>
      </c>
      <c r="Z20" s="160">
        <f>Z19+1</f>
        <v/>
      </c>
      <c r="AA20" s="161" t="n"/>
      <c r="AB20" s="162" t="n"/>
      <c r="AC20" s="163">
        <f>IFERROR(VLOOKUP(AA20,'Master List'!$A:$D,2,0),0)</f>
        <v/>
      </c>
      <c r="AD20" s="163">
        <f>IFERROR(VLOOKUP(AA20,'Master List'!$A:$D,3,0),0)</f>
        <v/>
      </c>
      <c r="AE20" s="163">
        <f>IFERROR(VLOOKUP(AA20,'Master List'!$A:$D,4,0),0)</f>
        <v/>
      </c>
      <c r="AF20" s="163" t="n"/>
      <c r="AG20" s="163">
        <f>IFERROR(AD20/AE20,0)</f>
        <v/>
      </c>
      <c r="AH20" s="163">
        <f>IFERROR(IF(AF20&lt;((1/2*AE20*AG20^2)*2),1/2*AE20*SQRT((AF20/2)*2/AE20)^2,1/2*AE20*AG20^2),0)</f>
        <v/>
      </c>
      <c r="AI20" s="163">
        <f>IFERROR(IF(AF20-AH20-AJ20&lt;=0,0,AF20-AH20-AJ20),0)</f>
        <v/>
      </c>
      <c r="AJ20" s="163">
        <f>AH20</f>
        <v/>
      </c>
      <c r="AK20" s="163">
        <f>IFERROR(IF(AF20&lt;((1/2*AE20*AG20^2)*2),SQRT((AF20/2)*2/AE20),AG20),0)</f>
        <v/>
      </c>
      <c r="AL20" s="163">
        <f>IFERROR(AI20/AD20,0)</f>
        <v/>
      </c>
      <c r="AM20" s="163">
        <f>AK20</f>
        <v/>
      </c>
      <c r="AN20" s="163">
        <f>IF(AC20&gt;0,AC20,SUM(AK20:AM20))</f>
        <v/>
      </c>
      <c r="AO20" s="163" t="n">
        <v>1</v>
      </c>
      <c r="AP20" s="163">
        <f>AN20*AO20</f>
        <v/>
      </c>
      <c r="AR20" s="160">
        <f>AR19+1</f>
        <v/>
      </c>
      <c r="AS20" s="161" t="n"/>
      <c r="AT20" s="162" t="n"/>
      <c r="AU20" s="163">
        <f>IFERROR(VLOOKUP(AS20,'Master List'!$A:$D,2,0),0)</f>
        <v/>
      </c>
      <c r="AV20" s="163">
        <f>IFERROR(VLOOKUP(AS20,'Master List'!$A:$D,3,0),0)</f>
        <v/>
      </c>
      <c r="AW20" s="163">
        <f>IFERROR(VLOOKUP(AS20,'Master List'!$A:$D,4,0),0)</f>
        <v/>
      </c>
      <c r="AX20" s="163" t="n"/>
      <c r="AY20" s="163">
        <f>IFERROR(AV20/AW20,0)</f>
        <v/>
      </c>
      <c r="AZ20" s="163">
        <f>IFERROR(IF(AX20&lt;((1/2*AW20*AY20^2)*2),1/2*AW20*SQRT((AX20/2)*2/AW20)^2,1/2*AW20*AY20^2),0)</f>
        <v/>
      </c>
      <c r="BA20" s="163">
        <f>IFERROR(IF(AX20-AZ20-BB20&lt;=0,0,AX20-AZ20-BB20),0)</f>
        <v/>
      </c>
      <c r="BB20" s="163">
        <f>AZ20</f>
        <v/>
      </c>
      <c r="BC20" s="163">
        <f>IFERROR(IF(AX20&lt;((1/2*AW20*AY20^2)*2),SQRT((AX20/2)*2/AW20),AY20),0)</f>
        <v/>
      </c>
      <c r="BD20" s="163">
        <f>IFERROR(BA20/AV20,0)</f>
        <v/>
      </c>
      <c r="BE20" s="163">
        <f>BC20</f>
        <v/>
      </c>
      <c r="BF20" s="163">
        <f>IF(AU20&gt;0,AU20,SUM(BC20:BE20))</f>
        <v/>
      </c>
      <c r="BG20" s="163" t="n">
        <v>1</v>
      </c>
      <c r="BH20" s="163">
        <f>BF20*BG20</f>
        <v/>
      </c>
      <c r="BJ20" s="160">
        <f>BJ19+1</f>
        <v/>
      </c>
      <c r="BK20" s="161" t="n"/>
      <c r="BL20" s="162" t="n"/>
      <c r="BM20" s="163">
        <f>IFERROR(VLOOKUP(BK20,'Master List'!$A:$D,2,0),0)</f>
        <v/>
      </c>
      <c r="BN20" s="163">
        <f>IFERROR(VLOOKUP(BK20,'Master List'!$A:$D,3,0),0)</f>
        <v/>
      </c>
      <c r="BO20" s="163">
        <f>IFERROR(VLOOKUP(BK20,'Master List'!$A:$D,4,0),0)</f>
        <v/>
      </c>
      <c r="BP20" s="163" t="n"/>
      <c r="BQ20" s="163">
        <f>IFERROR(BN20/BO20,0)</f>
        <v/>
      </c>
      <c r="BR20" s="163">
        <f>IFERROR(IF(BP20&lt;((1/2*BO20*BQ20^2)*2),1/2*BO20*SQRT((BP20/2)*2/BO20)^2,1/2*BO20*BQ20^2),0)</f>
        <v/>
      </c>
      <c r="BS20" s="163">
        <f>IFERROR(IF(BP20-BR20-BT20&lt;=0,0,BP20-BR20-BT20),0)</f>
        <v/>
      </c>
      <c r="BT20" s="163">
        <f>BR20</f>
        <v/>
      </c>
      <c r="BU20" s="163">
        <f>IFERROR(IF(BP20&lt;((1/2*BO20*BQ20^2)*2),SQRT((BP20/2)*2/BO20),BQ20),0)</f>
        <v/>
      </c>
      <c r="BV20" s="163">
        <f>IFERROR(BS20/BN20,0)</f>
        <v/>
      </c>
      <c r="BW20" s="163">
        <f>BU20</f>
        <v/>
      </c>
      <c r="BX20" s="163">
        <f>IF(BM20&gt;0,BM20,SUM(BU20:BW20))</f>
        <v/>
      </c>
      <c r="BY20" s="163" t="n">
        <v>1</v>
      </c>
      <c r="BZ20" s="163">
        <f>BX20*BY20</f>
        <v/>
      </c>
      <c r="CB20" s="160">
        <f>CB19+1</f>
        <v/>
      </c>
      <c r="CC20" s="161" t="n"/>
      <c r="CD20" s="162" t="n"/>
      <c r="CE20" s="163">
        <f>IFERROR(VLOOKUP(CC20,'Master List'!$A:$D,2,0),0)</f>
        <v/>
      </c>
      <c r="CF20" s="163">
        <f>IFERROR(VLOOKUP(CC20,'Master List'!$A:$D,3,0),0)</f>
        <v/>
      </c>
      <c r="CG20" s="163">
        <f>IFERROR(VLOOKUP(CC20,'Master List'!$A:$D,4,0),0)</f>
        <v/>
      </c>
      <c r="CH20" s="163" t="n"/>
      <c r="CI20" s="163">
        <f>IFERROR(CF20/CG20,0)</f>
        <v/>
      </c>
      <c r="CJ20" s="163">
        <f>IFERROR(IF(CH20&lt;((1/2*CG20*CI20^2)*2),1/2*CG20*SQRT((CH20/2)*2/CG20)^2,1/2*CG20*CI20^2),0)</f>
        <v/>
      </c>
      <c r="CK20" s="163">
        <f>IFERROR(IF(CH20-CJ20-CL20&lt;=0,0,CH20-CJ20-CL20),0)</f>
        <v/>
      </c>
      <c r="CL20" s="163">
        <f>CJ20</f>
        <v/>
      </c>
      <c r="CM20" s="163">
        <f>IFERROR(IF(CH20&lt;((1/2*CG20*CI20^2)*2),SQRT((CH20/2)*2/CG20),CI20),0)</f>
        <v/>
      </c>
      <c r="CN20" s="163">
        <f>IFERROR(CK20/CF20,0)</f>
        <v/>
      </c>
      <c r="CO20" s="163">
        <f>CM20</f>
        <v/>
      </c>
      <c r="CP20" s="163">
        <f>IF(CE20&gt;0,CE20,SUM(CM20:CO20))</f>
        <v/>
      </c>
      <c r="CQ20" s="163" t="n"/>
      <c r="CR20" s="163">
        <f>CP20*CQ20</f>
        <v/>
      </c>
    </row>
    <row r="21">
      <c r="A21" s="33">
        <f>"Single cycle "&amp;C21&amp;" m"</f>
        <v/>
      </c>
      <c r="B21" s="52" t="n">
        <v>0.5</v>
      </c>
      <c r="C21" s="43">
        <f>B21*$B$15</f>
        <v/>
      </c>
      <c r="D21" s="45">
        <f>'Quadron Double deep TP'!BZ4</f>
        <v/>
      </c>
      <c r="E21" s="52">
        <f>'Quadron Input Output'!E8</f>
        <v/>
      </c>
      <c r="F21" s="43">
        <f>D21*1</f>
        <v/>
      </c>
      <c r="H21" s="160">
        <f>H20+1</f>
        <v/>
      </c>
      <c r="I21" s="161" t="n"/>
      <c r="J21" s="162" t="n"/>
      <c r="K21" s="163">
        <f>IFERROR(VLOOKUP(I21,'Master List'!$A:$D,2,0),0)</f>
        <v/>
      </c>
      <c r="L21" s="163">
        <f>IFERROR(VLOOKUP(I21,'Master List'!$A:$D,3,0),0)</f>
        <v/>
      </c>
      <c r="M21" s="163">
        <f>IFERROR(VLOOKUP(I21,'Master List'!$A:$D,4,0),0)</f>
        <v/>
      </c>
      <c r="N21" s="163" t="n"/>
      <c r="O21" s="163">
        <f>IFERROR(L21/M21,0)</f>
        <v/>
      </c>
      <c r="P21" s="163">
        <f>IFERROR(IF(N21&lt;((1/2*M21*O21^2)*2),1/2*M21*SQRT((N21/2)*2/M21)^2,1/2*M21*O21^2),0)</f>
        <v/>
      </c>
      <c r="Q21" s="163">
        <f>IFERROR(IF(N21-P21-R21&lt;=0,0,N21-P21-R21),0)</f>
        <v/>
      </c>
      <c r="R21" s="163">
        <f>P21</f>
        <v/>
      </c>
      <c r="S21" s="163">
        <f>IFERROR(IF(N21&lt;((1/2*M21*O21^2)*2),SQRT((N21/2)*2/M21),O21),0)</f>
        <v/>
      </c>
      <c r="T21" s="163">
        <f>IFERROR(Q21/L21,0)</f>
        <v/>
      </c>
      <c r="U21" s="163">
        <f>S21</f>
        <v/>
      </c>
      <c r="V21" s="163">
        <f>IF(K21&gt;0,K21,SUM(S21:U21))</f>
        <v/>
      </c>
      <c r="W21" s="163" t="n">
        <v>1</v>
      </c>
      <c r="X21" s="163">
        <f>V21*W21</f>
        <v/>
      </c>
      <c r="Z21" s="160">
        <f>Z20+1</f>
        <v/>
      </c>
      <c r="AA21" s="161" t="n"/>
      <c r="AB21" s="162" t="n"/>
      <c r="AC21" s="163">
        <f>IFERROR(VLOOKUP(AA21,'Master List'!$A:$D,2,0),0)</f>
        <v/>
      </c>
      <c r="AD21" s="163">
        <f>IFERROR(VLOOKUP(AA21,'Master List'!$A:$D,3,0),0)</f>
        <v/>
      </c>
      <c r="AE21" s="163">
        <f>IFERROR(VLOOKUP(AA21,'Master List'!$A:$D,4,0),0)</f>
        <v/>
      </c>
      <c r="AF21" s="163" t="n"/>
      <c r="AG21" s="163">
        <f>IFERROR(AD21/AE21,0)</f>
        <v/>
      </c>
      <c r="AH21" s="163">
        <f>IFERROR(IF(AF21&lt;((1/2*AE21*AG21^2)*2),1/2*AE21*SQRT((AF21/2)*2/AE21)^2,1/2*AE21*AG21^2),0)</f>
        <v/>
      </c>
      <c r="AI21" s="163">
        <f>IFERROR(IF(AF21-AH21-AJ21&lt;=0,0,AF21-AH21-AJ21),0)</f>
        <v/>
      </c>
      <c r="AJ21" s="163">
        <f>AH21</f>
        <v/>
      </c>
      <c r="AK21" s="163">
        <f>IFERROR(IF(AF21&lt;((1/2*AE21*AG21^2)*2),SQRT((AF21/2)*2/AE21),AG21),0)</f>
        <v/>
      </c>
      <c r="AL21" s="163">
        <f>IFERROR(AI21/AD21,0)</f>
        <v/>
      </c>
      <c r="AM21" s="163">
        <f>AK21</f>
        <v/>
      </c>
      <c r="AN21" s="163">
        <f>IF(AC21&gt;0,AC21,SUM(AK21:AM21))</f>
        <v/>
      </c>
      <c r="AO21" s="163" t="n">
        <v>1</v>
      </c>
      <c r="AP21" s="163">
        <f>AN21*AO21</f>
        <v/>
      </c>
      <c r="AR21" s="160">
        <f>AR20+1</f>
        <v/>
      </c>
      <c r="AS21" s="161" t="n"/>
      <c r="AT21" s="162" t="n"/>
      <c r="AU21" s="163">
        <f>IFERROR(VLOOKUP(AS21,'Master List'!$A:$D,2,0),0)</f>
        <v/>
      </c>
      <c r="AV21" s="163">
        <f>IFERROR(VLOOKUP(AS21,'Master List'!$A:$D,3,0),0)</f>
        <v/>
      </c>
      <c r="AW21" s="163">
        <f>IFERROR(VLOOKUP(AS21,'Master List'!$A:$D,4,0),0)</f>
        <v/>
      </c>
      <c r="AX21" s="163" t="n"/>
      <c r="AY21" s="163">
        <f>IFERROR(AV21/AW21,0)</f>
        <v/>
      </c>
      <c r="AZ21" s="163">
        <f>IFERROR(IF(AX21&lt;((1/2*AW21*AY21^2)*2),1/2*AW21*SQRT((AX21/2)*2/AW21)^2,1/2*AW21*AY21^2),0)</f>
        <v/>
      </c>
      <c r="BA21" s="163">
        <f>IFERROR(IF(AX21-AZ21-BB21&lt;=0,0,AX21-AZ21-BB21),0)</f>
        <v/>
      </c>
      <c r="BB21" s="163">
        <f>AZ21</f>
        <v/>
      </c>
      <c r="BC21" s="163">
        <f>IFERROR(IF(AX21&lt;((1/2*AW21*AY21^2)*2),SQRT((AX21/2)*2/AW21),AY21),0)</f>
        <v/>
      </c>
      <c r="BD21" s="163">
        <f>IFERROR(BA21/AV21,0)</f>
        <v/>
      </c>
      <c r="BE21" s="163">
        <f>BC21</f>
        <v/>
      </c>
      <c r="BF21" s="163">
        <f>IF(AU21&gt;0,AU21,SUM(BC21:BE21))</f>
        <v/>
      </c>
      <c r="BG21" s="163" t="n">
        <v>1</v>
      </c>
      <c r="BH21" s="163">
        <f>BF21*BG21</f>
        <v/>
      </c>
      <c r="BJ21" s="160">
        <f>BJ20+1</f>
        <v/>
      </c>
      <c r="BK21" s="161" t="n"/>
      <c r="BL21" s="162" t="n"/>
      <c r="BM21" s="163">
        <f>IFERROR(VLOOKUP(BK21,'Master List'!$A:$D,2,0),0)</f>
        <v/>
      </c>
      <c r="BN21" s="163">
        <f>IFERROR(VLOOKUP(BK21,'Master List'!$A:$D,3,0),0)</f>
        <v/>
      </c>
      <c r="BO21" s="163">
        <f>IFERROR(VLOOKUP(BK21,'Master List'!$A:$D,4,0),0)</f>
        <v/>
      </c>
      <c r="BP21" s="163" t="n"/>
      <c r="BQ21" s="163">
        <f>IFERROR(BN21/BO21,0)</f>
        <v/>
      </c>
      <c r="BR21" s="163">
        <f>IFERROR(IF(BP21&lt;((1/2*BO21*BQ21^2)*2),1/2*BO21*SQRT((BP21/2)*2/BO21)^2,1/2*BO21*BQ21^2),0)</f>
        <v/>
      </c>
      <c r="BS21" s="163">
        <f>IFERROR(IF(BP21-BR21-BT21&lt;=0,0,BP21-BR21-BT21),0)</f>
        <v/>
      </c>
      <c r="BT21" s="163">
        <f>BR21</f>
        <v/>
      </c>
      <c r="BU21" s="163">
        <f>IFERROR(IF(BP21&lt;((1/2*BO21*BQ21^2)*2),SQRT((BP21/2)*2/BO21),BQ21),0)</f>
        <v/>
      </c>
      <c r="BV21" s="163">
        <f>IFERROR(BS21/BN21,0)</f>
        <v/>
      </c>
      <c r="BW21" s="163">
        <f>BU21</f>
        <v/>
      </c>
      <c r="BX21" s="163">
        <f>IF(BM21&gt;0,BM21,SUM(BU21:BW21))</f>
        <v/>
      </c>
      <c r="BY21" s="163" t="n">
        <v>1</v>
      </c>
      <c r="BZ21" s="163">
        <f>BX21*BY21</f>
        <v/>
      </c>
      <c r="CB21" s="160">
        <f>CB20+1</f>
        <v/>
      </c>
      <c r="CC21" s="161" t="n"/>
      <c r="CD21" s="162" t="n"/>
      <c r="CE21" s="163">
        <f>IFERROR(VLOOKUP(CC21,'Master List'!$A:$D,2,0),0)</f>
        <v/>
      </c>
      <c r="CF21" s="163">
        <f>IFERROR(VLOOKUP(CC21,'Master List'!$A:$D,3,0),0)</f>
        <v/>
      </c>
      <c r="CG21" s="163">
        <f>IFERROR(VLOOKUP(CC21,'Master List'!$A:$D,4,0),0)</f>
        <v/>
      </c>
      <c r="CH21" s="163" t="n"/>
      <c r="CI21" s="163">
        <f>IFERROR(CF21/CG21,0)</f>
        <v/>
      </c>
      <c r="CJ21" s="163">
        <f>IFERROR(IF(CH21&lt;((1/2*CG21*CI21^2)*2),1/2*CG21*SQRT((CH21/2)*2/CG21)^2,1/2*CG21*CI21^2),0)</f>
        <v/>
      </c>
      <c r="CK21" s="163">
        <f>IFERROR(IF(CH21-CJ21-CL21&lt;=0,0,CH21-CJ21-CL21),0)</f>
        <v/>
      </c>
      <c r="CL21" s="163">
        <f>CJ21</f>
        <v/>
      </c>
      <c r="CM21" s="163">
        <f>IFERROR(IF(CH21&lt;((1/2*CG21*CI21^2)*2),SQRT((CH21/2)*2/CG21),CI21),0)</f>
        <v/>
      </c>
      <c r="CN21" s="163">
        <f>IFERROR(CK21/CF21,0)</f>
        <v/>
      </c>
      <c r="CO21" s="163">
        <f>CM21</f>
        <v/>
      </c>
      <c r="CP21" s="163">
        <f>IF(CE21&gt;0,CE21,SUM(CM21:CO21))</f>
        <v/>
      </c>
      <c r="CQ21" s="163" t="n"/>
      <c r="CR21" s="163">
        <f>CP21*CQ21</f>
        <v/>
      </c>
    </row>
    <row r="22">
      <c r="E22" s="44">
        <f>SUM(E18:E21)</f>
        <v/>
      </c>
      <c r="H22" s="160">
        <f>H21+1</f>
        <v/>
      </c>
      <c r="I22" s="161" t="n"/>
      <c r="J22" s="162" t="n"/>
      <c r="K22" s="163">
        <f>IFERROR(VLOOKUP(I22,'Master List'!$A:$D,2,0),0)</f>
        <v/>
      </c>
      <c r="L22" s="163">
        <f>IFERROR(VLOOKUP(I22,'Master List'!$A:$D,3,0),0)</f>
        <v/>
      </c>
      <c r="M22" s="163">
        <f>IFERROR(VLOOKUP(I22,'Master List'!$A:$D,4,0),0)</f>
        <v/>
      </c>
      <c r="N22" s="163" t="n"/>
      <c r="O22" s="163">
        <f>IFERROR(L22/M22,0)</f>
        <v/>
      </c>
      <c r="P22" s="163">
        <f>IFERROR(IF(N22&lt;((1/2*M22*O22^2)*2),1/2*M22*SQRT((N22/2)*2/M22)^2,1/2*M22*O22^2),0)</f>
        <v/>
      </c>
      <c r="Q22" s="163">
        <f>IFERROR(IF(N22-P22-R22&lt;=0,0,N22-P22-R22),0)</f>
        <v/>
      </c>
      <c r="R22" s="163">
        <f>P22</f>
        <v/>
      </c>
      <c r="S22" s="163">
        <f>IFERROR(IF(N22&lt;((1/2*M22*O22^2)*2),SQRT((N22/2)*2/M22),O22),0)</f>
        <v/>
      </c>
      <c r="T22" s="163">
        <f>IFERROR(Q22/L22,0)</f>
        <v/>
      </c>
      <c r="U22" s="163">
        <f>S22</f>
        <v/>
      </c>
      <c r="V22" s="163">
        <f>IF(K22&gt;0,K22,SUM(S22:U22))</f>
        <v/>
      </c>
      <c r="W22" s="163" t="n">
        <v>1</v>
      </c>
      <c r="X22" s="163">
        <f>V22*W22</f>
        <v/>
      </c>
      <c r="Z22" s="160">
        <f>Z21+1</f>
        <v/>
      </c>
      <c r="AA22" s="161" t="n"/>
      <c r="AB22" s="162" t="n"/>
      <c r="AC22" s="163">
        <f>IFERROR(VLOOKUP(AA22,'Master List'!$A:$D,2,0),0)</f>
        <v/>
      </c>
      <c r="AD22" s="163">
        <f>IFERROR(VLOOKUP(AA22,'Master List'!$A:$D,3,0),0)</f>
        <v/>
      </c>
      <c r="AE22" s="163">
        <f>IFERROR(VLOOKUP(AA22,'Master List'!$A:$D,4,0),0)</f>
        <v/>
      </c>
      <c r="AF22" s="163" t="n"/>
      <c r="AG22" s="163">
        <f>IFERROR(AD22/AE22,0)</f>
        <v/>
      </c>
      <c r="AH22" s="163">
        <f>IFERROR(IF(AF22&lt;((1/2*AE22*AG22^2)*2),1/2*AE22*SQRT((AF22/2)*2/AE22)^2,1/2*AE22*AG22^2),0)</f>
        <v/>
      </c>
      <c r="AI22" s="163">
        <f>IFERROR(IF(AF22-AH22-AJ22&lt;=0,0,AF22-AH22-AJ22),0)</f>
        <v/>
      </c>
      <c r="AJ22" s="163">
        <f>AH22</f>
        <v/>
      </c>
      <c r="AK22" s="163">
        <f>IFERROR(IF(AF22&lt;((1/2*AE22*AG22^2)*2),SQRT((AF22/2)*2/AE22),AG22),0)</f>
        <v/>
      </c>
      <c r="AL22" s="163">
        <f>IFERROR(AI22/AD22,0)</f>
        <v/>
      </c>
      <c r="AM22" s="163">
        <f>AK22</f>
        <v/>
      </c>
      <c r="AN22" s="163">
        <f>IF(AC22&gt;0,AC22,SUM(AK22:AM22))</f>
        <v/>
      </c>
      <c r="AO22" s="163" t="n">
        <v>1</v>
      </c>
      <c r="AP22" s="163">
        <f>AN22*AO22</f>
        <v/>
      </c>
      <c r="AR22" s="160">
        <f>AR21+1</f>
        <v/>
      </c>
      <c r="AS22" s="161" t="n"/>
      <c r="AT22" s="162" t="n"/>
      <c r="AU22" s="163">
        <f>IFERROR(VLOOKUP(AS22,'Master List'!$A:$D,2,0),0)</f>
        <v/>
      </c>
      <c r="AV22" s="163">
        <f>IFERROR(VLOOKUP(AS22,'Master List'!$A:$D,3,0),0)</f>
        <v/>
      </c>
      <c r="AW22" s="163">
        <f>IFERROR(VLOOKUP(AS22,'Master List'!$A:$D,4,0),0)</f>
        <v/>
      </c>
      <c r="AX22" s="163" t="n"/>
      <c r="AY22" s="163">
        <f>IFERROR(AV22/AW22,0)</f>
        <v/>
      </c>
      <c r="AZ22" s="163">
        <f>IFERROR(IF(AX22&lt;((1/2*AW22*AY22^2)*2),1/2*AW22*SQRT((AX22/2)*2/AW22)^2,1/2*AW22*AY22^2),0)</f>
        <v/>
      </c>
      <c r="BA22" s="163">
        <f>IFERROR(IF(AX22-AZ22-BB22&lt;=0,0,AX22-AZ22-BB22),0)</f>
        <v/>
      </c>
      <c r="BB22" s="163">
        <f>AZ22</f>
        <v/>
      </c>
      <c r="BC22" s="163">
        <f>IFERROR(IF(AX22&lt;((1/2*AW22*AY22^2)*2),SQRT((AX22/2)*2/AW22),AY22),0)</f>
        <v/>
      </c>
      <c r="BD22" s="163">
        <f>IFERROR(BA22/AV22,0)</f>
        <v/>
      </c>
      <c r="BE22" s="163">
        <f>BC22</f>
        <v/>
      </c>
      <c r="BF22" s="163">
        <f>IF(AU22&gt;0,AU22,SUM(BC22:BE22))</f>
        <v/>
      </c>
      <c r="BG22" s="163" t="n">
        <v>1</v>
      </c>
      <c r="BH22" s="163">
        <f>BF22*BG22</f>
        <v/>
      </c>
      <c r="BJ22" s="160">
        <f>BJ21+1</f>
        <v/>
      </c>
      <c r="BK22" s="161" t="n"/>
      <c r="BL22" s="162" t="n"/>
      <c r="BM22" s="163">
        <f>IFERROR(VLOOKUP(BK22,'Master List'!$A:$D,2,0),0)</f>
        <v/>
      </c>
      <c r="BN22" s="163">
        <f>IFERROR(VLOOKUP(BK22,'Master List'!$A:$D,3,0),0)</f>
        <v/>
      </c>
      <c r="BO22" s="163">
        <f>IFERROR(VLOOKUP(BK22,'Master List'!$A:$D,4,0),0)</f>
        <v/>
      </c>
      <c r="BP22" s="163" t="n"/>
      <c r="BQ22" s="163">
        <f>IFERROR(BN22/BO22,0)</f>
        <v/>
      </c>
      <c r="BR22" s="163">
        <f>IFERROR(IF(BP22&lt;((1/2*BO22*BQ22^2)*2),1/2*BO22*SQRT((BP22/2)*2/BO22)^2,1/2*BO22*BQ22^2),0)</f>
        <v/>
      </c>
      <c r="BS22" s="163">
        <f>IFERROR(IF(BP22-BR22-BT22&lt;=0,0,BP22-BR22-BT22),0)</f>
        <v/>
      </c>
      <c r="BT22" s="163">
        <f>BR22</f>
        <v/>
      </c>
      <c r="BU22" s="163">
        <f>IFERROR(IF(BP22&lt;((1/2*BO22*BQ22^2)*2),SQRT((BP22/2)*2/BO22),BQ22),0)</f>
        <v/>
      </c>
      <c r="BV22" s="163">
        <f>IFERROR(BS22/BN22,0)</f>
        <v/>
      </c>
      <c r="BW22" s="163">
        <f>BU22</f>
        <v/>
      </c>
      <c r="BX22" s="163">
        <f>IF(BM22&gt;0,BM22,SUM(BU22:BW22))</f>
        <v/>
      </c>
      <c r="BY22" s="163" t="n">
        <v>1</v>
      </c>
      <c r="BZ22" s="163">
        <f>BX22*BY22</f>
        <v/>
      </c>
      <c r="CB22" s="160">
        <f>CB21+1</f>
        <v/>
      </c>
      <c r="CC22" s="161" t="n"/>
      <c r="CD22" s="162" t="n"/>
      <c r="CE22" s="163">
        <f>IFERROR(VLOOKUP(CC22,'Master List'!$A:$D,2,0),0)</f>
        <v/>
      </c>
      <c r="CF22" s="163">
        <f>IFERROR(VLOOKUP(CC22,'Master List'!$A:$D,3,0),0)</f>
        <v/>
      </c>
      <c r="CG22" s="163">
        <f>IFERROR(VLOOKUP(CC22,'Master List'!$A:$D,4,0),0)</f>
        <v/>
      </c>
      <c r="CH22" s="163" t="n"/>
      <c r="CI22" s="163">
        <f>IFERROR(CF22/CG22,0)</f>
        <v/>
      </c>
      <c r="CJ22" s="163">
        <f>IFERROR(IF(CH22&lt;((1/2*CG22*CI22^2)*2),1/2*CG22*SQRT((CH22/2)*2/CG22)^2,1/2*CG22*CI22^2),0)</f>
        <v/>
      </c>
      <c r="CK22" s="163">
        <f>IFERROR(IF(CH22-CJ22-CL22&lt;=0,0,CH22-CJ22-CL22),0)</f>
        <v/>
      </c>
      <c r="CL22" s="163">
        <f>CJ22</f>
        <v/>
      </c>
      <c r="CM22" s="163">
        <f>IFERROR(IF(CH22&lt;((1/2*CG22*CI22^2)*2),SQRT((CH22/2)*2/CG22),CI22),0)</f>
        <v/>
      </c>
      <c r="CN22" s="163">
        <f>IFERROR(CK22/CF22,0)</f>
        <v/>
      </c>
      <c r="CO22" s="163">
        <f>CM22</f>
        <v/>
      </c>
      <c r="CP22" s="163">
        <f>IF(CE22&gt;0,CE22,SUM(CM22:CO22))</f>
        <v/>
      </c>
      <c r="CQ22" s="163" t="n"/>
      <c r="CR22" s="163">
        <f>CP22*CQ22</f>
        <v/>
      </c>
    </row>
    <row r="23">
      <c r="A23" s="30" t="inlineStr">
        <is>
          <t>Combined cycle next location distance m</t>
        </is>
      </c>
      <c r="B23" s="533">
        <f>B15*5%</f>
        <v/>
      </c>
      <c r="C23" s="47" t="n"/>
      <c r="H23" s="160">
        <f>H22+1</f>
        <v/>
      </c>
      <c r="I23" s="161" t="n"/>
      <c r="J23" s="162" t="n"/>
      <c r="K23" s="163">
        <f>IFERROR(VLOOKUP(I23,'Master List'!$A:$D,2,0),0)</f>
        <v/>
      </c>
      <c r="L23" s="163">
        <f>IFERROR(VLOOKUP(I23,'Master List'!$A:$D,3,0),0)</f>
        <v/>
      </c>
      <c r="M23" s="163">
        <f>IFERROR(VLOOKUP(I23,'Master List'!$A:$D,4,0),0)</f>
        <v/>
      </c>
      <c r="N23" s="163" t="n"/>
      <c r="O23" s="163">
        <f>IFERROR(L23/M23,0)</f>
        <v/>
      </c>
      <c r="P23" s="163">
        <f>IFERROR(IF(N23&lt;((1/2*M23*O23^2)*2),1/2*M23*SQRT((N23/2)*2/M23)^2,1/2*M23*O23^2),0)</f>
        <v/>
      </c>
      <c r="Q23" s="163">
        <f>IFERROR(IF(N23-P23-R23&lt;=0,0,N23-P23-R23),0)</f>
        <v/>
      </c>
      <c r="R23" s="163">
        <f>P23</f>
        <v/>
      </c>
      <c r="S23" s="163">
        <f>IFERROR(IF(N23&lt;((1/2*M23*O23^2)*2),SQRT((N23/2)*2/M23),O23),0)</f>
        <v/>
      </c>
      <c r="T23" s="163">
        <f>IFERROR(Q23/L23,0)</f>
        <v/>
      </c>
      <c r="U23" s="163">
        <f>S23</f>
        <v/>
      </c>
      <c r="V23" s="163">
        <f>IF(K23&gt;0,K23,SUM(S23:U23))</f>
        <v/>
      </c>
      <c r="W23" s="163" t="n">
        <v>1</v>
      </c>
      <c r="X23" s="163">
        <f>V23*W23</f>
        <v/>
      </c>
      <c r="Z23" s="160">
        <f>Z22+1</f>
        <v/>
      </c>
      <c r="AA23" s="161" t="n"/>
      <c r="AB23" s="162" t="n"/>
      <c r="AC23" s="163">
        <f>IFERROR(VLOOKUP(AA23,'Master List'!$A:$D,2,0),0)</f>
        <v/>
      </c>
      <c r="AD23" s="163">
        <f>IFERROR(VLOOKUP(AA23,'Master List'!$A:$D,3,0),0)</f>
        <v/>
      </c>
      <c r="AE23" s="163">
        <f>IFERROR(VLOOKUP(AA23,'Master List'!$A:$D,4,0),0)</f>
        <v/>
      </c>
      <c r="AF23" s="163" t="n"/>
      <c r="AG23" s="163">
        <f>IFERROR(AD23/AE23,0)</f>
        <v/>
      </c>
      <c r="AH23" s="163">
        <f>IFERROR(IF(AF23&lt;((1/2*AE23*AG23^2)*2),1/2*AE23*SQRT((AF23/2)*2/AE23)^2,1/2*AE23*AG23^2),0)</f>
        <v/>
      </c>
      <c r="AI23" s="163">
        <f>IFERROR(IF(AF23-AH23-AJ23&lt;=0,0,AF23-AH23-AJ23),0)</f>
        <v/>
      </c>
      <c r="AJ23" s="163">
        <f>AH23</f>
        <v/>
      </c>
      <c r="AK23" s="163">
        <f>IFERROR(IF(AF23&lt;((1/2*AE23*AG23^2)*2),SQRT((AF23/2)*2/AE23),AG23),0)</f>
        <v/>
      </c>
      <c r="AL23" s="163">
        <f>IFERROR(AI23/AD23,0)</f>
        <v/>
      </c>
      <c r="AM23" s="163">
        <f>AK23</f>
        <v/>
      </c>
      <c r="AN23" s="163">
        <f>IF(AC23&gt;0,AC23,SUM(AK23:AM23))</f>
        <v/>
      </c>
      <c r="AO23" s="163" t="n">
        <v>1</v>
      </c>
      <c r="AP23" s="163">
        <f>AN23*AO23</f>
        <v/>
      </c>
      <c r="AR23" s="160">
        <f>AR22+1</f>
        <v/>
      </c>
      <c r="AS23" s="161" t="n"/>
      <c r="AT23" s="162" t="n"/>
      <c r="AU23" s="163">
        <f>IFERROR(VLOOKUP(AS23,'Master List'!$A:$D,2,0),0)</f>
        <v/>
      </c>
      <c r="AV23" s="163">
        <f>IFERROR(VLOOKUP(AS23,'Master List'!$A:$D,3,0),0)</f>
        <v/>
      </c>
      <c r="AW23" s="163">
        <f>IFERROR(VLOOKUP(AS23,'Master List'!$A:$D,4,0),0)</f>
        <v/>
      </c>
      <c r="AX23" s="163" t="n"/>
      <c r="AY23" s="163">
        <f>IFERROR(AV23/AW23,0)</f>
        <v/>
      </c>
      <c r="AZ23" s="163">
        <f>IFERROR(IF(AX23&lt;((1/2*AW23*AY23^2)*2),1/2*AW23*SQRT((AX23/2)*2/AW23)^2,1/2*AW23*AY23^2),0)</f>
        <v/>
      </c>
      <c r="BA23" s="163">
        <f>IFERROR(IF(AX23-AZ23-BB23&lt;=0,0,AX23-AZ23-BB23),0)</f>
        <v/>
      </c>
      <c r="BB23" s="163">
        <f>AZ23</f>
        <v/>
      </c>
      <c r="BC23" s="163">
        <f>IFERROR(IF(AX23&lt;((1/2*AW23*AY23^2)*2),SQRT((AX23/2)*2/AW23),AY23),0)</f>
        <v/>
      </c>
      <c r="BD23" s="163">
        <f>IFERROR(BA23/AV23,0)</f>
        <v/>
      </c>
      <c r="BE23" s="163">
        <f>BC23</f>
        <v/>
      </c>
      <c r="BF23" s="163">
        <f>IF(AU23&gt;0,AU23,SUM(BC23:BE23))</f>
        <v/>
      </c>
      <c r="BG23" s="163" t="n">
        <v>1</v>
      </c>
      <c r="BH23" s="163">
        <f>BF23*BG23</f>
        <v/>
      </c>
      <c r="BJ23" s="160">
        <f>BJ22+1</f>
        <v/>
      </c>
      <c r="BK23" s="161" t="n"/>
      <c r="BL23" s="162" t="n"/>
      <c r="BM23" s="163">
        <f>IFERROR(VLOOKUP(BK23,'Master List'!$A:$D,2,0),0)</f>
        <v/>
      </c>
      <c r="BN23" s="163">
        <f>IFERROR(VLOOKUP(BK23,'Master List'!$A:$D,3,0),0)</f>
        <v/>
      </c>
      <c r="BO23" s="163">
        <f>IFERROR(VLOOKUP(BK23,'Master List'!$A:$D,4,0),0)</f>
        <v/>
      </c>
      <c r="BP23" s="163" t="n"/>
      <c r="BQ23" s="163">
        <f>IFERROR(BN23/BO23,0)</f>
        <v/>
      </c>
      <c r="BR23" s="163">
        <f>IFERROR(IF(BP23&lt;((1/2*BO23*BQ23^2)*2),1/2*BO23*SQRT((BP23/2)*2/BO23)^2,1/2*BO23*BQ23^2),0)</f>
        <v/>
      </c>
      <c r="BS23" s="163">
        <f>IFERROR(IF(BP23-BR23-BT23&lt;=0,0,BP23-BR23-BT23),0)</f>
        <v/>
      </c>
      <c r="BT23" s="163">
        <f>BR23</f>
        <v/>
      </c>
      <c r="BU23" s="163">
        <f>IFERROR(IF(BP23&lt;((1/2*BO23*BQ23^2)*2),SQRT((BP23/2)*2/BO23),BQ23),0)</f>
        <v/>
      </c>
      <c r="BV23" s="163">
        <f>IFERROR(BS23/BN23,0)</f>
        <v/>
      </c>
      <c r="BW23" s="163">
        <f>BU23</f>
        <v/>
      </c>
      <c r="BX23" s="163">
        <f>IF(BM23&gt;0,BM23,SUM(BU23:BW23))</f>
        <v/>
      </c>
      <c r="BY23" s="163" t="n">
        <v>1</v>
      </c>
      <c r="BZ23" s="163">
        <f>BX23*BY23</f>
        <v/>
      </c>
      <c r="CB23" s="160">
        <f>CB22+1</f>
        <v/>
      </c>
      <c r="CC23" s="161" t="n"/>
      <c r="CD23" s="162" t="n"/>
      <c r="CE23" s="163">
        <f>IFERROR(VLOOKUP(CC23,'Master List'!$A:$D,2,0),0)</f>
        <v/>
      </c>
      <c r="CF23" s="163">
        <f>IFERROR(VLOOKUP(CC23,'Master List'!$A:$D,3,0),0)</f>
        <v/>
      </c>
      <c r="CG23" s="163">
        <f>IFERROR(VLOOKUP(CC23,'Master List'!$A:$D,4,0),0)</f>
        <v/>
      </c>
      <c r="CH23" s="163" t="n"/>
      <c r="CI23" s="163">
        <f>IFERROR(CF23/CG23,0)</f>
        <v/>
      </c>
      <c r="CJ23" s="163">
        <f>IFERROR(IF(CH23&lt;((1/2*CG23*CI23^2)*2),1/2*CG23*SQRT((CH23/2)*2/CG23)^2,1/2*CG23*CI23^2),0)</f>
        <v/>
      </c>
      <c r="CK23" s="163">
        <f>IFERROR(IF(CH23-CJ23-CL23&lt;=0,0,CH23-CJ23-CL23),0)</f>
        <v/>
      </c>
      <c r="CL23" s="163">
        <f>CJ23</f>
        <v/>
      </c>
      <c r="CM23" s="163">
        <f>IFERROR(IF(CH23&lt;((1/2*CG23*CI23^2)*2),SQRT((CH23/2)*2/CG23),CI23),0)</f>
        <v/>
      </c>
      <c r="CN23" s="163">
        <f>IFERROR(CK23/CF23,0)</f>
        <v/>
      </c>
      <c r="CO23" s="163">
        <f>CM23</f>
        <v/>
      </c>
      <c r="CP23" s="163">
        <f>IF(CE23&gt;0,CE23,SUM(CM23:CO23))</f>
        <v/>
      </c>
      <c r="CQ23" s="163" t="n"/>
      <c r="CR23" s="163">
        <f>CP23*CQ23</f>
        <v/>
      </c>
    </row>
    <row r="24">
      <c r="A24" s="30" t="inlineStr">
        <is>
          <t>Reshuffling cycle travel distance m</t>
        </is>
      </c>
      <c r="B24" s="533">
        <f>B15*15%</f>
        <v/>
      </c>
      <c r="H24" s="160">
        <f>H23+1</f>
        <v/>
      </c>
      <c r="I24" s="161" t="n"/>
      <c r="J24" s="162" t="n"/>
      <c r="K24" s="163">
        <f>IFERROR(VLOOKUP(I24,'Master List'!$A:$D,2,0),0)</f>
        <v/>
      </c>
      <c r="L24" s="163">
        <f>IFERROR(VLOOKUP(I24,'Master List'!$A:$D,3,0),0)</f>
        <v/>
      </c>
      <c r="M24" s="163">
        <f>IFERROR(VLOOKUP(I24,'Master List'!$A:$D,4,0),0)</f>
        <v/>
      </c>
      <c r="N24" s="163" t="n"/>
      <c r="O24" s="163">
        <f>IFERROR(L24/M24,0)</f>
        <v/>
      </c>
      <c r="P24" s="163">
        <f>IFERROR(IF(N24&lt;((1/2*M24*O24^2)*2),1/2*M24*SQRT((N24/2)*2/M24)^2,1/2*M24*O24^2),0)</f>
        <v/>
      </c>
      <c r="Q24" s="163">
        <f>IFERROR(IF(N24-P24-R24&lt;=0,0,N24-P24-R24),0)</f>
        <v/>
      </c>
      <c r="R24" s="163">
        <f>P24</f>
        <v/>
      </c>
      <c r="S24" s="163">
        <f>IFERROR(IF(N24&lt;((1/2*M24*O24^2)*2),SQRT((N24/2)*2/M24),O24),0)</f>
        <v/>
      </c>
      <c r="T24" s="163">
        <f>IFERROR(Q24/L24,0)</f>
        <v/>
      </c>
      <c r="U24" s="163">
        <f>S24</f>
        <v/>
      </c>
      <c r="V24" s="163">
        <f>IF(K24&gt;0,K24,SUM(S24:U24))</f>
        <v/>
      </c>
      <c r="W24" s="163" t="n"/>
      <c r="X24" s="163">
        <f>V24*W24</f>
        <v/>
      </c>
      <c r="Z24" s="160">
        <f>Z23+1</f>
        <v/>
      </c>
      <c r="AA24" s="161" t="n"/>
      <c r="AB24" s="162" t="n"/>
      <c r="AC24" s="163">
        <f>IFERROR(VLOOKUP(AA24,'Master List'!$A:$D,2,0),0)</f>
        <v/>
      </c>
      <c r="AD24" s="163">
        <f>IFERROR(VLOOKUP(AA24,'Master List'!$A:$D,3,0),0)</f>
        <v/>
      </c>
      <c r="AE24" s="163">
        <f>IFERROR(VLOOKUP(AA24,'Master List'!$A:$D,4,0),0)</f>
        <v/>
      </c>
      <c r="AF24" s="163" t="n"/>
      <c r="AG24" s="163">
        <f>IFERROR(AD24/AE24,0)</f>
        <v/>
      </c>
      <c r="AH24" s="163">
        <f>IFERROR(IF(AF24&lt;((1/2*AE24*AG24^2)*2),1/2*AE24*SQRT((AF24/2)*2/AE24)^2,1/2*AE24*AG24^2),0)</f>
        <v/>
      </c>
      <c r="AI24" s="163">
        <f>IFERROR(IF(AF24-AH24-AJ24&lt;=0,0,AF24-AH24-AJ24),0)</f>
        <v/>
      </c>
      <c r="AJ24" s="163">
        <f>AH24</f>
        <v/>
      </c>
      <c r="AK24" s="163">
        <f>IFERROR(IF(AF24&lt;((1/2*AE24*AG24^2)*2),SQRT((AF24/2)*2/AE24),AG24),0)</f>
        <v/>
      </c>
      <c r="AL24" s="163">
        <f>IFERROR(AI24/AD24,0)</f>
        <v/>
      </c>
      <c r="AM24" s="163">
        <f>AK24</f>
        <v/>
      </c>
      <c r="AN24" s="163">
        <f>IF(AC24&gt;0,AC24,SUM(AK24:AM24))</f>
        <v/>
      </c>
      <c r="AO24" s="163" t="n">
        <v>1</v>
      </c>
      <c r="AP24" s="163">
        <f>AN24*AO24</f>
        <v/>
      </c>
      <c r="AR24" s="160">
        <f>AR23+1</f>
        <v/>
      </c>
      <c r="AS24" s="161" t="n"/>
      <c r="AT24" s="162" t="n"/>
      <c r="AU24" s="163">
        <f>IFERROR(VLOOKUP(AS24,'Master List'!$A:$D,2,0),0)</f>
        <v/>
      </c>
      <c r="AV24" s="163">
        <f>IFERROR(VLOOKUP(AS24,'Master List'!$A:$D,3,0),0)</f>
        <v/>
      </c>
      <c r="AW24" s="163">
        <f>IFERROR(VLOOKUP(AS24,'Master List'!$A:$D,4,0),0)</f>
        <v/>
      </c>
      <c r="AX24" s="163" t="n"/>
      <c r="AY24" s="163">
        <f>IFERROR(AV24/AW24,0)</f>
        <v/>
      </c>
      <c r="AZ24" s="163">
        <f>IFERROR(IF(AX24&lt;((1/2*AW24*AY24^2)*2),1/2*AW24*SQRT((AX24/2)*2/AW24)^2,1/2*AW24*AY24^2),0)</f>
        <v/>
      </c>
      <c r="BA24" s="163">
        <f>IFERROR(IF(AX24-AZ24-BB24&lt;=0,0,AX24-AZ24-BB24),0)</f>
        <v/>
      </c>
      <c r="BB24" s="163">
        <f>AZ24</f>
        <v/>
      </c>
      <c r="BC24" s="163">
        <f>IFERROR(IF(AX24&lt;((1/2*AW24*AY24^2)*2),SQRT((AX24/2)*2/AW24),AY24),0)</f>
        <v/>
      </c>
      <c r="BD24" s="163">
        <f>IFERROR(BA24/AV24,0)</f>
        <v/>
      </c>
      <c r="BE24" s="163">
        <f>BC24</f>
        <v/>
      </c>
      <c r="BF24" s="163">
        <f>IF(AU24&gt;0,AU24,SUM(BC24:BE24))</f>
        <v/>
      </c>
      <c r="BG24" s="163" t="n">
        <v>1</v>
      </c>
      <c r="BH24" s="163">
        <f>BF24*BG24</f>
        <v/>
      </c>
      <c r="BJ24" s="160">
        <f>BJ23+1</f>
        <v/>
      </c>
      <c r="BK24" s="161" t="n"/>
      <c r="BL24" s="162" t="n"/>
      <c r="BM24" s="163">
        <f>IFERROR(VLOOKUP(BK24,'Master List'!$A:$D,2,0),0)</f>
        <v/>
      </c>
      <c r="BN24" s="163">
        <f>IFERROR(VLOOKUP(BK24,'Master List'!$A:$D,3,0),0)</f>
        <v/>
      </c>
      <c r="BO24" s="163">
        <f>IFERROR(VLOOKUP(BK24,'Master List'!$A:$D,4,0),0)</f>
        <v/>
      </c>
      <c r="BP24" s="163" t="n"/>
      <c r="BQ24" s="163">
        <f>IFERROR(BN24/BO24,0)</f>
        <v/>
      </c>
      <c r="BR24" s="163">
        <f>IFERROR(IF(BP24&lt;((1/2*BO24*BQ24^2)*2),1/2*BO24*SQRT((BP24/2)*2/BO24)^2,1/2*BO24*BQ24^2),0)</f>
        <v/>
      </c>
      <c r="BS24" s="163">
        <f>IFERROR(IF(BP24-BR24-BT24&lt;=0,0,BP24-BR24-BT24),0)</f>
        <v/>
      </c>
      <c r="BT24" s="163">
        <f>BR24</f>
        <v/>
      </c>
      <c r="BU24" s="163">
        <f>IFERROR(IF(BP24&lt;((1/2*BO24*BQ24^2)*2),SQRT((BP24/2)*2/BO24),BQ24),0)</f>
        <v/>
      </c>
      <c r="BV24" s="163">
        <f>IFERROR(BS24/BN24,0)</f>
        <v/>
      </c>
      <c r="BW24" s="163">
        <f>BU24</f>
        <v/>
      </c>
      <c r="BX24" s="163">
        <f>IF(BM24&gt;0,BM24,SUM(BU24:BW24))</f>
        <v/>
      </c>
      <c r="BY24" s="163" t="n">
        <v>1</v>
      </c>
      <c r="BZ24" s="163">
        <f>BX24*BY24</f>
        <v/>
      </c>
      <c r="CB24" s="160">
        <f>CB23+1</f>
        <v/>
      </c>
      <c r="CC24" s="161" t="n"/>
      <c r="CD24" s="162" t="n"/>
      <c r="CE24" s="163">
        <f>IFERROR(VLOOKUP(CC24,'Master List'!$A:$D,2,0),0)</f>
        <v/>
      </c>
      <c r="CF24" s="163">
        <f>IFERROR(VLOOKUP(CC24,'Master List'!$A:$D,3,0),0)</f>
        <v/>
      </c>
      <c r="CG24" s="163">
        <f>IFERROR(VLOOKUP(CC24,'Master List'!$A:$D,4,0),0)</f>
        <v/>
      </c>
      <c r="CH24" s="163" t="n"/>
      <c r="CI24" s="163">
        <f>IFERROR(CF24/CG24,0)</f>
        <v/>
      </c>
      <c r="CJ24" s="163">
        <f>IFERROR(IF(CH24&lt;((1/2*CG24*CI24^2)*2),1/2*CG24*SQRT((CH24/2)*2/CG24)^2,1/2*CG24*CI24^2),0)</f>
        <v/>
      </c>
      <c r="CK24" s="163">
        <f>IFERROR(IF(CH24-CJ24-CL24&lt;=0,0,CH24-CJ24-CL24),0)</f>
        <v/>
      </c>
      <c r="CL24" s="163">
        <f>CJ24</f>
        <v/>
      </c>
      <c r="CM24" s="163">
        <f>IFERROR(IF(CH24&lt;((1/2*CG24*CI24^2)*2),SQRT((CH24/2)*2/CG24),CI24),0)</f>
        <v/>
      </c>
      <c r="CN24" s="163">
        <f>IFERROR(CK24/CF24,0)</f>
        <v/>
      </c>
      <c r="CO24" s="163">
        <f>CM24</f>
        <v/>
      </c>
      <c r="CP24" s="163">
        <f>IF(CE24&gt;0,CE24,SUM(CM24:CO24))</f>
        <v/>
      </c>
      <c r="CQ24" s="163" t="n"/>
      <c r="CR24" s="163">
        <f>CP24*CQ24</f>
        <v/>
      </c>
    </row>
    <row r="25">
      <c r="H25" s="160">
        <f>H24+1</f>
        <v/>
      </c>
      <c r="I25" s="161" t="n"/>
      <c r="J25" s="162" t="n"/>
      <c r="K25" s="163">
        <f>IFERROR(VLOOKUP(I25,'Master List'!$A:$D,2,0),0)</f>
        <v/>
      </c>
      <c r="L25" s="163">
        <f>IFERROR(VLOOKUP(I25,'Master List'!$A:$D,3,0),0)</f>
        <v/>
      </c>
      <c r="M25" s="163">
        <f>IFERROR(VLOOKUP(I25,'Master List'!$A:$D,4,0),0)</f>
        <v/>
      </c>
      <c r="N25" s="163" t="n"/>
      <c r="O25" s="163">
        <f>IFERROR(L25/M25,0)</f>
        <v/>
      </c>
      <c r="P25" s="163">
        <f>IFERROR(IF(N25&lt;((1/2*M25*O25^2)*2),1/2*M25*SQRT((N25/2)*2/M25)^2,1/2*M25*O25^2),0)</f>
        <v/>
      </c>
      <c r="Q25" s="163">
        <f>IFERROR(IF(N25-P25-R25&lt;=0,0,N25-P25-R25),0)</f>
        <v/>
      </c>
      <c r="R25" s="163">
        <f>P25</f>
        <v/>
      </c>
      <c r="S25" s="163">
        <f>IFERROR(IF(N25&lt;((1/2*M25*O25^2)*2),SQRT((N25/2)*2/M25),O25),0)</f>
        <v/>
      </c>
      <c r="T25" s="163">
        <f>IFERROR(Q25/L25,0)</f>
        <v/>
      </c>
      <c r="U25" s="163">
        <f>S25</f>
        <v/>
      </c>
      <c r="V25" s="163">
        <f>IF(K25&gt;0,K25,SUM(S25:U25))</f>
        <v/>
      </c>
      <c r="W25" s="163" t="n"/>
      <c r="X25" s="163">
        <f>V25*W25</f>
        <v/>
      </c>
      <c r="Z25" s="160">
        <f>Z24+1</f>
        <v/>
      </c>
      <c r="AA25" s="161" t="n"/>
      <c r="AB25" s="162" t="n"/>
      <c r="AC25" s="163">
        <f>IFERROR(VLOOKUP(AA25,'Master List'!$A:$D,2,0),0)</f>
        <v/>
      </c>
      <c r="AD25" s="163">
        <f>IFERROR(VLOOKUP(AA25,'Master List'!$A:$D,3,0),0)</f>
        <v/>
      </c>
      <c r="AE25" s="163">
        <f>IFERROR(VLOOKUP(AA25,'Master List'!$A:$D,4,0),0)</f>
        <v/>
      </c>
      <c r="AF25" s="163" t="n"/>
      <c r="AG25" s="163">
        <f>IFERROR(AD25/AE25,0)</f>
        <v/>
      </c>
      <c r="AH25" s="163">
        <f>IFERROR(IF(AF25&lt;((1/2*AE25*AG25^2)*2),1/2*AE25*SQRT((AF25/2)*2/AE25)^2,1/2*AE25*AG25^2),0)</f>
        <v/>
      </c>
      <c r="AI25" s="163">
        <f>IFERROR(IF(AF25-AH25-AJ25&lt;=0,0,AF25-AH25-AJ25),0)</f>
        <v/>
      </c>
      <c r="AJ25" s="163">
        <f>AH25</f>
        <v/>
      </c>
      <c r="AK25" s="163">
        <f>IFERROR(IF(AF25&lt;((1/2*AE25*AG25^2)*2),SQRT((AF25/2)*2/AE25),AG25),0)</f>
        <v/>
      </c>
      <c r="AL25" s="163">
        <f>IFERROR(AI25/AD25,0)</f>
        <v/>
      </c>
      <c r="AM25" s="163">
        <f>AK25</f>
        <v/>
      </c>
      <c r="AN25" s="163">
        <f>IF(AC25&gt;0,AC25,SUM(AK25:AM25))</f>
        <v/>
      </c>
      <c r="AO25" s="163" t="n">
        <v>1</v>
      </c>
      <c r="AP25" s="163">
        <f>AN25*AO25</f>
        <v/>
      </c>
      <c r="AR25" s="160">
        <f>AR24+1</f>
        <v/>
      </c>
      <c r="AS25" s="161" t="n"/>
      <c r="AT25" s="162" t="n"/>
      <c r="AU25" s="163">
        <f>IFERROR(VLOOKUP(AS25,'Master List'!$A:$D,2,0),0)</f>
        <v/>
      </c>
      <c r="AV25" s="163">
        <f>IFERROR(VLOOKUP(AS25,'Master List'!$A:$D,3,0),0)</f>
        <v/>
      </c>
      <c r="AW25" s="163">
        <f>IFERROR(VLOOKUP(AS25,'Master List'!$A:$D,4,0),0)</f>
        <v/>
      </c>
      <c r="AX25" s="163" t="n"/>
      <c r="AY25" s="163">
        <f>IFERROR(AV25/AW25,0)</f>
        <v/>
      </c>
      <c r="AZ25" s="163">
        <f>IFERROR(IF(AX25&lt;((1/2*AW25*AY25^2)*2),1/2*AW25*SQRT((AX25/2)*2/AW25)^2,1/2*AW25*AY25^2),0)</f>
        <v/>
      </c>
      <c r="BA25" s="163">
        <f>IFERROR(IF(AX25-AZ25-BB25&lt;=0,0,AX25-AZ25-BB25),0)</f>
        <v/>
      </c>
      <c r="BB25" s="163">
        <f>AZ25</f>
        <v/>
      </c>
      <c r="BC25" s="163">
        <f>IFERROR(IF(AX25&lt;((1/2*AW25*AY25^2)*2),SQRT((AX25/2)*2/AW25),AY25),0)</f>
        <v/>
      </c>
      <c r="BD25" s="163">
        <f>IFERROR(BA25/AV25,0)</f>
        <v/>
      </c>
      <c r="BE25" s="163">
        <f>BC25</f>
        <v/>
      </c>
      <c r="BF25" s="163">
        <f>IF(AU25&gt;0,AU25,SUM(BC25:BE25))</f>
        <v/>
      </c>
      <c r="BG25" s="163" t="n">
        <v>1</v>
      </c>
      <c r="BH25" s="163">
        <f>BF25*BG25</f>
        <v/>
      </c>
      <c r="BJ25" s="160">
        <f>BJ24+1</f>
        <v/>
      </c>
      <c r="BK25" s="161" t="n"/>
      <c r="BL25" s="162" t="n"/>
      <c r="BM25" s="163">
        <f>IFERROR(VLOOKUP(BK25,'Master List'!$A:$D,2,0),0)</f>
        <v/>
      </c>
      <c r="BN25" s="163">
        <f>IFERROR(VLOOKUP(BK25,'Master List'!$A:$D,3,0),0)</f>
        <v/>
      </c>
      <c r="BO25" s="163">
        <f>IFERROR(VLOOKUP(BK25,'Master List'!$A:$D,4,0),0)</f>
        <v/>
      </c>
      <c r="BP25" s="163" t="n"/>
      <c r="BQ25" s="163">
        <f>IFERROR(BN25/BO25,0)</f>
        <v/>
      </c>
      <c r="BR25" s="163">
        <f>IFERROR(IF(BP25&lt;((1/2*BO25*BQ25^2)*2),1/2*BO25*SQRT((BP25/2)*2/BO25)^2,1/2*BO25*BQ25^2),0)</f>
        <v/>
      </c>
      <c r="BS25" s="163">
        <f>IFERROR(IF(BP25-BR25-BT25&lt;=0,0,BP25-BR25-BT25),0)</f>
        <v/>
      </c>
      <c r="BT25" s="163">
        <f>BR25</f>
        <v/>
      </c>
      <c r="BU25" s="163">
        <f>IFERROR(IF(BP25&lt;((1/2*BO25*BQ25^2)*2),SQRT((BP25/2)*2/BO25),BQ25),0)</f>
        <v/>
      </c>
      <c r="BV25" s="163">
        <f>IFERROR(BS25/BN25,0)</f>
        <v/>
      </c>
      <c r="BW25" s="163">
        <f>BU25</f>
        <v/>
      </c>
      <c r="BX25" s="163">
        <f>IF(BM25&gt;0,BM25,SUM(BU25:BW25))</f>
        <v/>
      </c>
      <c r="BY25" s="163" t="n">
        <v>1</v>
      </c>
      <c r="BZ25" s="163">
        <f>BX25*BY25</f>
        <v/>
      </c>
      <c r="CB25" s="160">
        <f>CB24+1</f>
        <v/>
      </c>
      <c r="CC25" s="161" t="n"/>
      <c r="CD25" s="162" t="n"/>
      <c r="CE25" s="163">
        <f>IFERROR(VLOOKUP(CC25,'Master List'!$A:$D,2,0),0)</f>
        <v/>
      </c>
      <c r="CF25" s="163">
        <f>IFERROR(VLOOKUP(CC25,'Master List'!$A:$D,3,0),0)</f>
        <v/>
      </c>
      <c r="CG25" s="163">
        <f>IFERROR(VLOOKUP(CC25,'Master List'!$A:$D,4,0),0)</f>
        <v/>
      </c>
      <c r="CH25" s="163" t="n"/>
      <c r="CI25" s="163">
        <f>IFERROR(CF25/CG25,0)</f>
        <v/>
      </c>
      <c r="CJ25" s="163">
        <f>IFERROR(IF(CH25&lt;((1/2*CG25*CI25^2)*2),1/2*CG25*SQRT((CH25/2)*2/CG25)^2,1/2*CG25*CI25^2),0)</f>
        <v/>
      </c>
      <c r="CK25" s="163">
        <f>IFERROR(IF(CH25-CJ25-CL25&lt;=0,0,CH25-CJ25-CL25),0)</f>
        <v/>
      </c>
      <c r="CL25" s="163">
        <f>CJ25</f>
        <v/>
      </c>
      <c r="CM25" s="163">
        <f>IFERROR(IF(CH25&lt;((1/2*CG25*CI25^2)*2),SQRT((CH25/2)*2/CG25),CI25),0)</f>
        <v/>
      </c>
      <c r="CN25" s="163">
        <f>IFERROR(CK25/CF25,0)</f>
        <v/>
      </c>
      <c r="CO25" s="163">
        <f>CM25</f>
        <v/>
      </c>
      <c r="CP25" s="163">
        <f>IF(CE25&gt;0,CE25,SUM(CM25:CO25))</f>
        <v/>
      </c>
      <c r="CQ25" s="163" t="n"/>
      <c r="CR25" s="163">
        <f>CP25*CQ25</f>
        <v/>
      </c>
    </row>
    <row r="26">
      <c r="H26" s="160">
        <f>H25+1</f>
        <v/>
      </c>
      <c r="I26" s="165" t="n"/>
      <c r="J26" s="162" t="n"/>
      <c r="K26" s="163">
        <f>IFERROR(VLOOKUP(I26,'Master List'!$A:$D,2,0),0)</f>
        <v/>
      </c>
      <c r="L26" s="163">
        <f>IFERROR(VLOOKUP(I26,'Master List'!$A:$D,3,0),0)</f>
        <v/>
      </c>
      <c r="M26" s="163">
        <f>IFERROR(VLOOKUP(I26,'Master List'!$A:$D,4,0),0)</f>
        <v/>
      </c>
      <c r="N26" s="163" t="n"/>
      <c r="O26" s="163">
        <f>IFERROR(L26/M26,0)</f>
        <v/>
      </c>
      <c r="P26" s="163">
        <f>IFERROR(IF(N26&lt;((1/2*M26*O26^2)*2),1/2*M26*SQRT((N26/2)*2/M26)^2,1/2*M26*O26^2),0)</f>
        <v/>
      </c>
      <c r="Q26" s="163">
        <f>IFERROR(IF(N26-P26-R26&lt;=0,0,N26-P26-R26),0)</f>
        <v/>
      </c>
      <c r="R26" s="163">
        <f>P26</f>
        <v/>
      </c>
      <c r="S26" s="163">
        <f>IFERROR(IF(N26&lt;((1/2*M26*O26^2)*2),SQRT((N26/2)*2/M26),O26),0)</f>
        <v/>
      </c>
      <c r="T26" s="163">
        <f>IFERROR(Q26/L26,0)</f>
        <v/>
      </c>
      <c r="U26" s="163">
        <f>S26</f>
        <v/>
      </c>
      <c r="V26" s="163">
        <f>IF(K26&gt;0,K26,SUM(S26:U26))</f>
        <v/>
      </c>
      <c r="W26" s="163" t="n"/>
      <c r="X26" s="163">
        <f>V26*W26</f>
        <v/>
      </c>
      <c r="Z26" s="160">
        <f>Z25+1</f>
        <v/>
      </c>
      <c r="AA26" s="165" t="n"/>
      <c r="AB26" s="162" t="n"/>
      <c r="AC26" s="163">
        <f>IFERROR(VLOOKUP(AA26,'Master List'!$A:$D,2,0),0)</f>
        <v/>
      </c>
      <c r="AD26" s="163">
        <f>IFERROR(VLOOKUP(AA26,'Master List'!$A:$D,3,0),0)</f>
        <v/>
      </c>
      <c r="AE26" s="163">
        <f>IFERROR(VLOOKUP(AA26,'Master List'!$A:$D,4,0),0)</f>
        <v/>
      </c>
      <c r="AF26" s="163" t="n"/>
      <c r="AG26" s="163">
        <f>IFERROR(AD26/AE26,0)</f>
        <v/>
      </c>
      <c r="AH26" s="163">
        <f>IFERROR(IF(AF26&lt;((1/2*AE26*AG26^2)*2),1/2*AE26*SQRT((AF26/2)*2/AE26)^2,1/2*AE26*AG26^2),0)</f>
        <v/>
      </c>
      <c r="AI26" s="163">
        <f>IFERROR(IF(AF26-AH26-AJ26&lt;=0,0,AF26-AH26-AJ26),0)</f>
        <v/>
      </c>
      <c r="AJ26" s="163">
        <f>AH26</f>
        <v/>
      </c>
      <c r="AK26" s="163">
        <f>IFERROR(IF(AF26&lt;((1/2*AE26*AG26^2)*2),SQRT((AF26/2)*2/AE26),AG26),0)</f>
        <v/>
      </c>
      <c r="AL26" s="163">
        <f>IFERROR(AI26/AD26,0)</f>
        <v/>
      </c>
      <c r="AM26" s="163">
        <f>AK26</f>
        <v/>
      </c>
      <c r="AN26" s="163">
        <f>IF(AC26&gt;0,AC26,SUM(AK26:AM26))</f>
        <v/>
      </c>
      <c r="AO26" s="163" t="n">
        <v>1</v>
      </c>
      <c r="AP26" s="163">
        <f>AN26*AO26</f>
        <v/>
      </c>
      <c r="AR26" s="160">
        <f>AR25+1</f>
        <v/>
      </c>
      <c r="AS26" s="165" t="n"/>
      <c r="AT26" s="162" t="n"/>
      <c r="AU26" s="163">
        <f>IFERROR(VLOOKUP(AS26,'Master List'!$A:$D,2,0),0)</f>
        <v/>
      </c>
      <c r="AV26" s="163">
        <f>IFERROR(VLOOKUP(AS26,'Master List'!$A:$D,3,0),0)</f>
        <v/>
      </c>
      <c r="AW26" s="163">
        <f>IFERROR(VLOOKUP(AS26,'Master List'!$A:$D,4,0),0)</f>
        <v/>
      </c>
      <c r="AX26" s="163" t="n"/>
      <c r="AY26" s="163">
        <f>IFERROR(AV26/AW26,0)</f>
        <v/>
      </c>
      <c r="AZ26" s="163">
        <f>IFERROR(IF(AX26&lt;((1/2*AW26*AY26^2)*2),1/2*AW26*SQRT((AX26/2)*2/AW26)^2,1/2*AW26*AY26^2),0)</f>
        <v/>
      </c>
      <c r="BA26" s="163">
        <f>IFERROR(IF(AX26-AZ26-BB26&lt;=0,0,AX26-AZ26-BB26),0)</f>
        <v/>
      </c>
      <c r="BB26" s="163">
        <f>AZ26</f>
        <v/>
      </c>
      <c r="BC26" s="163">
        <f>IFERROR(IF(AX26&lt;((1/2*AW26*AY26^2)*2),SQRT((AX26/2)*2/AW26),AY26),0)</f>
        <v/>
      </c>
      <c r="BD26" s="163">
        <f>IFERROR(BA26/AV26,0)</f>
        <v/>
      </c>
      <c r="BE26" s="163">
        <f>BC26</f>
        <v/>
      </c>
      <c r="BF26" s="163">
        <f>IF(AU26&gt;0,AU26,SUM(BC26:BE26))</f>
        <v/>
      </c>
      <c r="BG26" s="163" t="n">
        <v>1</v>
      </c>
      <c r="BH26" s="163">
        <f>BF26*BG26</f>
        <v/>
      </c>
      <c r="BJ26" s="160">
        <f>BJ25+1</f>
        <v/>
      </c>
      <c r="BK26" s="165" t="n"/>
      <c r="BL26" s="162" t="n"/>
      <c r="BM26" s="163">
        <f>IFERROR(VLOOKUP(BK26,'Master List'!$A:$D,2,0),0)</f>
        <v/>
      </c>
      <c r="BN26" s="163">
        <f>IFERROR(VLOOKUP(BK26,'Master List'!$A:$D,3,0),0)</f>
        <v/>
      </c>
      <c r="BO26" s="163">
        <f>IFERROR(VLOOKUP(BK26,'Master List'!$A:$D,4,0),0)</f>
        <v/>
      </c>
      <c r="BP26" s="163" t="n"/>
      <c r="BQ26" s="163">
        <f>IFERROR(BN26/BO26,0)</f>
        <v/>
      </c>
      <c r="BR26" s="163">
        <f>IFERROR(IF(BP26&lt;((1/2*BO26*BQ26^2)*2),1/2*BO26*SQRT((BP26/2)*2/BO26)^2,1/2*BO26*BQ26^2),0)</f>
        <v/>
      </c>
      <c r="BS26" s="163">
        <f>IFERROR(IF(BP26-BR26-BT26&lt;=0,0,BP26-BR26-BT26),0)</f>
        <v/>
      </c>
      <c r="BT26" s="163">
        <f>BR26</f>
        <v/>
      </c>
      <c r="BU26" s="163">
        <f>IFERROR(IF(BP26&lt;((1/2*BO26*BQ26^2)*2),SQRT((BP26/2)*2/BO26),BQ26),0)</f>
        <v/>
      </c>
      <c r="BV26" s="163">
        <f>IFERROR(BS26/BN26,0)</f>
        <v/>
      </c>
      <c r="BW26" s="163">
        <f>BU26</f>
        <v/>
      </c>
      <c r="BX26" s="163">
        <f>IF(BM26&gt;0,BM26,SUM(BU26:BW26))</f>
        <v/>
      </c>
      <c r="BY26" s="163" t="n">
        <v>1</v>
      </c>
      <c r="BZ26" s="163">
        <f>BX26*BY26</f>
        <v/>
      </c>
      <c r="CB26" s="160">
        <f>CB25+1</f>
        <v/>
      </c>
      <c r="CC26" s="165" t="n"/>
      <c r="CD26" s="162" t="n"/>
      <c r="CE26" s="163">
        <f>IFERROR(VLOOKUP(CC26,'Master List'!$A:$D,2,0),0)</f>
        <v/>
      </c>
      <c r="CF26" s="163">
        <f>IFERROR(VLOOKUP(CC26,'Master List'!$A:$D,3,0),0)</f>
        <v/>
      </c>
      <c r="CG26" s="163">
        <f>IFERROR(VLOOKUP(CC26,'Master List'!$A:$D,4,0),0)</f>
        <v/>
      </c>
      <c r="CH26" s="163" t="n"/>
      <c r="CI26" s="163">
        <f>IFERROR(CF26/CG26,0)</f>
        <v/>
      </c>
      <c r="CJ26" s="163">
        <f>IFERROR(IF(CH26&lt;((1/2*CG26*CI26^2)*2),1/2*CG26*SQRT((CH26/2)*2/CG26)^2,1/2*CG26*CI26^2),0)</f>
        <v/>
      </c>
      <c r="CK26" s="163">
        <f>IFERROR(IF(CH26-CJ26-CL26&lt;=0,0,CH26-CJ26-CL26),0)</f>
        <v/>
      </c>
      <c r="CL26" s="163">
        <f>CJ26</f>
        <v/>
      </c>
      <c r="CM26" s="163">
        <f>IFERROR(IF(CH26&lt;((1/2*CG26*CI26^2)*2),SQRT((CH26/2)*2/CG26),CI26),0)</f>
        <v/>
      </c>
      <c r="CN26" s="163">
        <f>IFERROR(CK26/CF26,0)</f>
        <v/>
      </c>
      <c r="CO26" s="163">
        <f>CM26</f>
        <v/>
      </c>
      <c r="CP26" s="163">
        <f>IF(CE26&gt;0,CE26,SUM(CM26:CO26))</f>
        <v/>
      </c>
      <c r="CQ26" s="163" t="n"/>
      <c r="CR26" s="163">
        <f>CP26*CQ26</f>
        <v/>
      </c>
    </row>
    <row r="27">
      <c r="H27" s="160">
        <f>H26+1</f>
        <v/>
      </c>
      <c r="I27" s="165" t="n"/>
      <c r="J27" s="162" t="n"/>
      <c r="K27" s="163">
        <f>IFERROR(VLOOKUP(I27,'Master List'!$A:$D,2,0),0)</f>
        <v/>
      </c>
      <c r="L27" s="163">
        <f>IFERROR(VLOOKUP(I27,'Master List'!$A:$D,3,0),0)</f>
        <v/>
      </c>
      <c r="M27" s="163">
        <f>IFERROR(VLOOKUP(I27,'Master List'!$A:$D,4,0),0)</f>
        <v/>
      </c>
      <c r="N27" s="163" t="n"/>
      <c r="O27" s="163">
        <f>IFERROR(L27/M27,0)</f>
        <v/>
      </c>
      <c r="P27" s="163">
        <f>IFERROR(IF(N27&lt;((1/2*M27*O27^2)*2),1/2*M27*SQRT((N27/2)*2/M27)^2,1/2*M27*O27^2),0)</f>
        <v/>
      </c>
      <c r="Q27" s="163">
        <f>IFERROR(IF(N27-P27-R27&lt;=0,0,N27-P27-R27),0)</f>
        <v/>
      </c>
      <c r="R27" s="163">
        <f>P27</f>
        <v/>
      </c>
      <c r="S27" s="163">
        <f>IFERROR(IF(N27&lt;((1/2*M27*O27^2)*2),SQRT((N27/2)*2/M27),O27),0)</f>
        <v/>
      </c>
      <c r="T27" s="163">
        <f>IFERROR(Q27/L27,0)</f>
        <v/>
      </c>
      <c r="U27" s="163">
        <f>S27</f>
        <v/>
      </c>
      <c r="V27" s="163">
        <f>IF(K27&gt;0,K27,SUM(S27:U27))</f>
        <v/>
      </c>
      <c r="W27" s="163" t="n"/>
      <c r="X27" s="163">
        <f>V27*W27</f>
        <v/>
      </c>
      <c r="Z27" s="160">
        <f>Z26+1</f>
        <v/>
      </c>
      <c r="AA27" s="165" t="n"/>
      <c r="AB27" s="162" t="n"/>
      <c r="AC27" s="163">
        <f>IFERROR(VLOOKUP(AA27,'Master List'!$A:$D,2,0),0)</f>
        <v/>
      </c>
      <c r="AD27" s="163">
        <f>IFERROR(VLOOKUP(AA27,'Master List'!$A:$D,3,0),0)</f>
        <v/>
      </c>
      <c r="AE27" s="163">
        <f>IFERROR(VLOOKUP(AA27,'Master List'!$A:$D,4,0),0)</f>
        <v/>
      </c>
      <c r="AF27" s="163" t="n"/>
      <c r="AG27" s="163">
        <f>IFERROR(AD27/AE27,0)</f>
        <v/>
      </c>
      <c r="AH27" s="163">
        <f>IFERROR(IF(AF27&lt;((1/2*AE27*AG27^2)*2),1/2*AE27*SQRT((AF27/2)*2/AE27)^2,1/2*AE27*AG27^2),0)</f>
        <v/>
      </c>
      <c r="AI27" s="163">
        <f>IFERROR(IF(AF27-AH27-AJ27&lt;=0,0,AF27-AH27-AJ27),0)</f>
        <v/>
      </c>
      <c r="AJ27" s="163">
        <f>AH27</f>
        <v/>
      </c>
      <c r="AK27" s="163">
        <f>IFERROR(IF(AF27&lt;((1/2*AE27*AG27^2)*2),SQRT((AF27/2)*2/AE27),AG27),0)</f>
        <v/>
      </c>
      <c r="AL27" s="163">
        <f>IFERROR(AI27/AD27,0)</f>
        <v/>
      </c>
      <c r="AM27" s="163">
        <f>AK27</f>
        <v/>
      </c>
      <c r="AN27" s="163">
        <f>IF(AC27&gt;0,AC27,SUM(AK27:AM27))</f>
        <v/>
      </c>
      <c r="AO27" s="163" t="n">
        <v>1</v>
      </c>
      <c r="AP27" s="163">
        <f>AN27*AO27</f>
        <v/>
      </c>
      <c r="AR27" s="160">
        <f>AR26+1</f>
        <v/>
      </c>
      <c r="AS27" s="165" t="n"/>
      <c r="AT27" s="162" t="n"/>
      <c r="AU27" s="163">
        <f>IFERROR(VLOOKUP(AS27,'Master List'!$A:$D,2,0),0)</f>
        <v/>
      </c>
      <c r="AV27" s="163">
        <f>IFERROR(VLOOKUP(AS27,'Master List'!$A:$D,3,0),0)</f>
        <v/>
      </c>
      <c r="AW27" s="163">
        <f>IFERROR(VLOOKUP(AS27,'Master List'!$A:$D,4,0),0)</f>
        <v/>
      </c>
      <c r="AX27" s="163" t="n"/>
      <c r="AY27" s="163">
        <f>IFERROR(AV27/AW27,0)</f>
        <v/>
      </c>
      <c r="AZ27" s="163">
        <f>IFERROR(IF(AX27&lt;((1/2*AW27*AY27^2)*2),1/2*AW27*SQRT((AX27/2)*2/AW27)^2,1/2*AW27*AY27^2),0)</f>
        <v/>
      </c>
      <c r="BA27" s="163">
        <f>IFERROR(IF(AX27-AZ27-BB27&lt;=0,0,AX27-AZ27-BB27),0)</f>
        <v/>
      </c>
      <c r="BB27" s="163">
        <f>AZ27</f>
        <v/>
      </c>
      <c r="BC27" s="163">
        <f>IFERROR(IF(AX27&lt;((1/2*AW27*AY27^2)*2),SQRT((AX27/2)*2/AW27),AY27),0)</f>
        <v/>
      </c>
      <c r="BD27" s="163">
        <f>IFERROR(BA27/AV27,0)</f>
        <v/>
      </c>
      <c r="BE27" s="163">
        <f>BC27</f>
        <v/>
      </c>
      <c r="BF27" s="163">
        <f>IF(AU27&gt;0,AU27,SUM(BC27:BE27))</f>
        <v/>
      </c>
      <c r="BG27" s="163" t="n">
        <v>1</v>
      </c>
      <c r="BH27" s="163">
        <f>BF27*BG27</f>
        <v/>
      </c>
      <c r="BJ27" s="160">
        <f>BJ26+1</f>
        <v/>
      </c>
      <c r="BK27" s="165" t="n"/>
      <c r="BL27" s="162" t="n"/>
      <c r="BM27" s="163">
        <f>IFERROR(VLOOKUP(BK27,'Master List'!$A:$D,2,0),0)</f>
        <v/>
      </c>
      <c r="BN27" s="163">
        <f>IFERROR(VLOOKUP(BK27,'Master List'!$A:$D,3,0),0)</f>
        <v/>
      </c>
      <c r="BO27" s="163">
        <f>IFERROR(VLOOKUP(BK27,'Master List'!$A:$D,4,0),0)</f>
        <v/>
      </c>
      <c r="BP27" s="163" t="n"/>
      <c r="BQ27" s="163">
        <f>IFERROR(BN27/BO27,0)</f>
        <v/>
      </c>
      <c r="BR27" s="163">
        <f>IFERROR(IF(BP27&lt;((1/2*BO27*BQ27^2)*2),1/2*BO27*SQRT((BP27/2)*2/BO27)^2,1/2*BO27*BQ27^2),0)</f>
        <v/>
      </c>
      <c r="BS27" s="163">
        <f>IFERROR(IF(BP27-BR27-BT27&lt;=0,0,BP27-BR27-BT27),0)</f>
        <v/>
      </c>
      <c r="BT27" s="163">
        <f>BR27</f>
        <v/>
      </c>
      <c r="BU27" s="163">
        <f>IFERROR(IF(BP27&lt;((1/2*BO27*BQ27^2)*2),SQRT((BP27/2)*2/BO27),BQ27),0)</f>
        <v/>
      </c>
      <c r="BV27" s="163">
        <f>IFERROR(BS27/BN27,0)</f>
        <v/>
      </c>
      <c r="BW27" s="163">
        <f>BU27</f>
        <v/>
      </c>
      <c r="BX27" s="163">
        <f>IF(BM27&gt;0,BM27,SUM(BU27:BW27))</f>
        <v/>
      </c>
      <c r="BY27" s="163" t="n">
        <v>1</v>
      </c>
      <c r="BZ27" s="163">
        <f>BX27*BY27</f>
        <v/>
      </c>
      <c r="CB27" s="160">
        <f>CB26+1</f>
        <v/>
      </c>
      <c r="CC27" s="165" t="n"/>
      <c r="CD27" s="162" t="n"/>
      <c r="CE27" s="163">
        <f>IFERROR(VLOOKUP(CC27,'Master List'!$A:$D,2,0),0)</f>
        <v/>
      </c>
      <c r="CF27" s="163">
        <f>IFERROR(VLOOKUP(CC27,'Master List'!$A:$D,3,0),0)</f>
        <v/>
      </c>
      <c r="CG27" s="163">
        <f>IFERROR(VLOOKUP(CC27,'Master List'!$A:$D,4,0),0)</f>
        <v/>
      </c>
      <c r="CH27" s="163" t="n"/>
      <c r="CI27" s="163">
        <f>IFERROR(CF27/CG27,0)</f>
        <v/>
      </c>
      <c r="CJ27" s="163">
        <f>IFERROR(IF(CH27&lt;((1/2*CG27*CI27^2)*2),1/2*CG27*SQRT((CH27/2)*2/CG27)^2,1/2*CG27*CI27^2),0)</f>
        <v/>
      </c>
      <c r="CK27" s="163">
        <f>IFERROR(IF(CH27-CJ27-CL27&lt;=0,0,CH27-CJ27-CL27),0)</f>
        <v/>
      </c>
      <c r="CL27" s="163">
        <f>CJ27</f>
        <v/>
      </c>
      <c r="CM27" s="163">
        <f>IFERROR(IF(CH27&lt;((1/2*CG27*CI27^2)*2),SQRT((CH27/2)*2/CG27),CI27),0)</f>
        <v/>
      </c>
      <c r="CN27" s="163">
        <f>IFERROR(CK27/CF27,0)</f>
        <v/>
      </c>
      <c r="CO27" s="163">
        <f>CM27</f>
        <v/>
      </c>
      <c r="CP27" s="163">
        <f>IF(CE27&gt;0,CE27,SUM(CM27:CO27))</f>
        <v/>
      </c>
      <c r="CQ27" s="163" t="n"/>
      <c r="CR27" s="163">
        <f>CP27*CQ27</f>
        <v/>
      </c>
    </row>
    <row r="28">
      <c r="H28" s="160">
        <f>H27+1</f>
        <v/>
      </c>
      <c r="I28" s="165" t="n"/>
      <c r="J28" s="162" t="n"/>
      <c r="K28" s="163">
        <f>IFERROR(VLOOKUP(I28,'Master List'!$A:$D,2,0),0)</f>
        <v/>
      </c>
      <c r="L28" s="163">
        <f>IFERROR(VLOOKUP(I28,'Master List'!$A:$D,3,0),0)</f>
        <v/>
      </c>
      <c r="M28" s="163">
        <f>IFERROR(VLOOKUP(I28,'Master List'!$A:$D,4,0),0)</f>
        <v/>
      </c>
      <c r="N28" s="163" t="n"/>
      <c r="O28" s="163">
        <f>IFERROR(L28/M28,0)</f>
        <v/>
      </c>
      <c r="P28" s="163">
        <f>IFERROR(IF(N28&lt;((1/2*M28*O28^2)*2),1/2*M28*SQRT((N28/2)*2/M28)^2,1/2*M28*O28^2),0)</f>
        <v/>
      </c>
      <c r="Q28" s="163">
        <f>IFERROR(IF(N28-P28-R28&lt;=0,0,N28-P28-R28),0)</f>
        <v/>
      </c>
      <c r="R28" s="163">
        <f>P28</f>
        <v/>
      </c>
      <c r="S28" s="163">
        <f>IFERROR(IF(N28&lt;((1/2*M28*O28^2)*2),SQRT((N28/2)*2/M28),O28),0)</f>
        <v/>
      </c>
      <c r="T28" s="163">
        <f>IFERROR(Q28/L28,0)</f>
        <v/>
      </c>
      <c r="U28" s="163">
        <f>S28</f>
        <v/>
      </c>
      <c r="V28" s="163">
        <f>IF(K28&gt;0,K28,SUM(S28:U28))</f>
        <v/>
      </c>
      <c r="W28" s="163" t="n"/>
      <c r="X28" s="163">
        <f>V28*W28</f>
        <v/>
      </c>
      <c r="Z28" s="160">
        <f>Z27+1</f>
        <v/>
      </c>
      <c r="AA28" s="165" t="n"/>
      <c r="AB28" s="162" t="n"/>
      <c r="AC28" s="163">
        <f>IFERROR(VLOOKUP(AA28,'Master List'!$A:$D,2,0),0)</f>
        <v/>
      </c>
      <c r="AD28" s="163">
        <f>IFERROR(VLOOKUP(AA28,'Master List'!$A:$D,3,0),0)</f>
        <v/>
      </c>
      <c r="AE28" s="163">
        <f>IFERROR(VLOOKUP(AA28,'Master List'!$A:$D,4,0),0)</f>
        <v/>
      </c>
      <c r="AF28" s="163" t="n"/>
      <c r="AG28" s="163">
        <f>IFERROR(AD28/AE28,0)</f>
        <v/>
      </c>
      <c r="AH28" s="163">
        <f>IFERROR(IF(AF28&lt;((1/2*AE28*AG28^2)*2),1/2*AE28*SQRT((AF28/2)*2/AE28)^2,1/2*AE28*AG28^2),0)</f>
        <v/>
      </c>
      <c r="AI28" s="163">
        <f>IFERROR(IF(AF28-AH28-AJ28&lt;=0,0,AF28-AH28-AJ28),0)</f>
        <v/>
      </c>
      <c r="AJ28" s="163">
        <f>AH28</f>
        <v/>
      </c>
      <c r="AK28" s="163">
        <f>IFERROR(IF(AF28&lt;((1/2*AE28*AG28^2)*2),SQRT((AF28/2)*2/AE28),AG28),0)</f>
        <v/>
      </c>
      <c r="AL28" s="163">
        <f>IFERROR(AI28/AD28,0)</f>
        <v/>
      </c>
      <c r="AM28" s="163">
        <f>AK28</f>
        <v/>
      </c>
      <c r="AN28" s="163">
        <f>IF(AC28&gt;0,AC28,SUM(AK28:AM28))</f>
        <v/>
      </c>
      <c r="AO28" s="163" t="n">
        <v>1</v>
      </c>
      <c r="AP28" s="163">
        <f>AN28*AO28</f>
        <v/>
      </c>
      <c r="AR28" s="160">
        <f>AR27+1</f>
        <v/>
      </c>
      <c r="AS28" s="165" t="n"/>
      <c r="AT28" s="162" t="n"/>
      <c r="AU28" s="163">
        <f>IFERROR(VLOOKUP(AS28,'Master List'!$A:$D,2,0),0)</f>
        <v/>
      </c>
      <c r="AV28" s="163">
        <f>IFERROR(VLOOKUP(AS28,'Master List'!$A:$D,3,0),0)</f>
        <v/>
      </c>
      <c r="AW28" s="163">
        <f>IFERROR(VLOOKUP(AS28,'Master List'!$A:$D,4,0),0)</f>
        <v/>
      </c>
      <c r="AX28" s="163" t="n"/>
      <c r="AY28" s="163">
        <f>IFERROR(AV28/AW28,0)</f>
        <v/>
      </c>
      <c r="AZ28" s="163">
        <f>IFERROR(IF(AX28&lt;((1/2*AW28*AY28^2)*2),1/2*AW28*SQRT((AX28/2)*2/AW28)^2,1/2*AW28*AY28^2),0)</f>
        <v/>
      </c>
      <c r="BA28" s="163">
        <f>IFERROR(IF(AX28-AZ28-BB28&lt;=0,0,AX28-AZ28-BB28),0)</f>
        <v/>
      </c>
      <c r="BB28" s="163">
        <f>AZ28</f>
        <v/>
      </c>
      <c r="BC28" s="163">
        <f>IFERROR(IF(AX28&lt;((1/2*AW28*AY28^2)*2),SQRT((AX28/2)*2/AW28),AY28),0)</f>
        <v/>
      </c>
      <c r="BD28" s="163">
        <f>IFERROR(BA28/AV28,0)</f>
        <v/>
      </c>
      <c r="BE28" s="163">
        <f>BC28</f>
        <v/>
      </c>
      <c r="BF28" s="163">
        <f>IF(AU28&gt;0,AU28,SUM(BC28:BE28))</f>
        <v/>
      </c>
      <c r="BG28" s="163" t="n">
        <v>1</v>
      </c>
      <c r="BH28" s="163">
        <f>BF28*BG28</f>
        <v/>
      </c>
      <c r="BJ28" s="160">
        <f>BJ27+1</f>
        <v/>
      </c>
      <c r="BK28" s="165" t="n"/>
      <c r="BL28" s="162" t="n"/>
      <c r="BM28" s="163">
        <f>IFERROR(VLOOKUP(BK28,'Master List'!$A:$D,2,0),0)</f>
        <v/>
      </c>
      <c r="BN28" s="163">
        <f>IFERROR(VLOOKUP(BK28,'Master List'!$A:$D,3,0),0)</f>
        <v/>
      </c>
      <c r="BO28" s="163">
        <f>IFERROR(VLOOKUP(BK28,'Master List'!$A:$D,4,0),0)</f>
        <v/>
      </c>
      <c r="BP28" s="163" t="n"/>
      <c r="BQ28" s="163">
        <f>IFERROR(BN28/BO28,0)</f>
        <v/>
      </c>
      <c r="BR28" s="163">
        <f>IFERROR(IF(BP28&lt;((1/2*BO28*BQ28^2)*2),1/2*BO28*SQRT((BP28/2)*2/BO28)^2,1/2*BO28*BQ28^2),0)</f>
        <v/>
      </c>
      <c r="BS28" s="163">
        <f>IFERROR(IF(BP28-BR28-BT28&lt;=0,0,BP28-BR28-BT28),0)</f>
        <v/>
      </c>
      <c r="BT28" s="163">
        <f>BR28</f>
        <v/>
      </c>
      <c r="BU28" s="163">
        <f>IFERROR(IF(BP28&lt;((1/2*BO28*BQ28^2)*2),SQRT((BP28/2)*2/BO28),BQ28),0)</f>
        <v/>
      </c>
      <c r="BV28" s="163">
        <f>IFERROR(BS28/BN28,0)</f>
        <v/>
      </c>
      <c r="BW28" s="163">
        <f>BU28</f>
        <v/>
      </c>
      <c r="BX28" s="163">
        <f>IF(BM28&gt;0,BM28,SUM(BU28:BW28))</f>
        <v/>
      </c>
      <c r="BY28" s="163" t="n">
        <v>1</v>
      </c>
      <c r="BZ28" s="163">
        <f>BX28*BY28</f>
        <v/>
      </c>
      <c r="CB28" s="160">
        <f>CB27+1</f>
        <v/>
      </c>
      <c r="CC28" s="165" t="n"/>
      <c r="CD28" s="162" t="n"/>
      <c r="CE28" s="163">
        <f>IFERROR(VLOOKUP(CC28,'Master List'!$A:$D,2,0),0)</f>
        <v/>
      </c>
      <c r="CF28" s="163">
        <f>IFERROR(VLOOKUP(CC28,'Master List'!$A:$D,3,0),0)</f>
        <v/>
      </c>
      <c r="CG28" s="163">
        <f>IFERROR(VLOOKUP(CC28,'Master List'!$A:$D,4,0),0)</f>
        <v/>
      </c>
      <c r="CH28" s="163" t="n"/>
      <c r="CI28" s="163">
        <f>IFERROR(CF28/CG28,0)</f>
        <v/>
      </c>
      <c r="CJ28" s="163">
        <f>IFERROR(IF(CH28&lt;((1/2*CG28*CI28^2)*2),1/2*CG28*SQRT((CH28/2)*2/CG28)^2,1/2*CG28*CI28^2),0)</f>
        <v/>
      </c>
      <c r="CK28" s="163">
        <f>IFERROR(IF(CH28-CJ28-CL28&lt;=0,0,CH28-CJ28-CL28),0)</f>
        <v/>
      </c>
      <c r="CL28" s="163">
        <f>CJ28</f>
        <v/>
      </c>
      <c r="CM28" s="163">
        <f>IFERROR(IF(CH28&lt;((1/2*CG28*CI28^2)*2),SQRT((CH28/2)*2/CG28),CI28),0)</f>
        <v/>
      </c>
      <c r="CN28" s="163">
        <f>IFERROR(CK28/CF28,0)</f>
        <v/>
      </c>
      <c r="CO28" s="163">
        <f>CM28</f>
        <v/>
      </c>
      <c r="CP28" s="163">
        <f>IF(CE28&gt;0,CE28,SUM(CM28:CO28))</f>
        <v/>
      </c>
      <c r="CQ28" s="163" t="n"/>
      <c r="CR28" s="163">
        <f>CP28*CQ28</f>
        <v/>
      </c>
    </row>
    <row r="29">
      <c r="H29" s="160">
        <f>H28+1</f>
        <v/>
      </c>
      <c r="I29" s="165" t="n"/>
      <c r="J29" s="162" t="n"/>
      <c r="K29" s="163">
        <f>IFERROR(VLOOKUP(I29,'Master List'!$A:$D,2,0),0)</f>
        <v/>
      </c>
      <c r="L29" s="163">
        <f>IFERROR(VLOOKUP(I29,'Master List'!$A:$D,3,0),0)</f>
        <v/>
      </c>
      <c r="M29" s="163">
        <f>IFERROR(VLOOKUP(I29,'Master List'!$A:$D,4,0),0)</f>
        <v/>
      </c>
      <c r="N29" s="163" t="n"/>
      <c r="O29" s="163">
        <f>IFERROR(L29/M29,0)</f>
        <v/>
      </c>
      <c r="P29" s="163">
        <f>IFERROR(IF(N29&lt;((1/2*M29*O29^2)*2),1/2*M29*SQRT((N29/2)*2/M29)^2,1/2*M29*O29^2),0)</f>
        <v/>
      </c>
      <c r="Q29" s="163">
        <f>IFERROR(IF(N29-P29-R29&lt;=0,0,N29-P29-R29),0)</f>
        <v/>
      </c>
      <c r="R29" s="163">
        <f>P29</f>
        <v/>
      </c>
      <c r="S29" s="163">
        <f>IFERROR(IF(N29&lt;((1/2*M29*O29^2)*2),SQRT((N29/2)*2/M29),O29),0)</f>
        <v/>
      </c>
      <c r="T29" s="163">
        <f>IFERROR(Q29/L29,0)</f>
        <v/>
      </c>
      <c r="U29" s="163">
        <f>S29</f>
        <v/>
      </c>
      <c r="V29" s="163">
        <f>IF(K29&gt;0,K29,SUM(S29:U29))</f>
        <v/>
      </c>
      <c r="W29" s="163" t="n"/>
      <c r="X29" s="163">
        <f>V29*W29</f>
        <v/>
      </c>
      <c r="Z29" s="160">
        <f>Z28+1</f>
        <v/>
      </c>
      <c r="AA29" s="165" t="n"/>
      <c r="AB29" s="162" t="n"/>
      <c r="AC29" s="163">
        <f>IFERROR(VLOOKUP(AA29,'Master List'!$A:$D,2,0),0)</f>
        <v/>
      </c>
      <c r="AD29" s="163">
        <f>IFERROR(VLOOKUP(AA29,'Master List'!$A:$D,3,0),0)</f>
        <v/>
      </c>
      <c r="AE29" s="163">
        <f>IFERROR(VLOOKUP(AA29,'Master List'!$A:$D,4,0),0)</f>
        <v/>
      </c>
      <c r="AF29" s="163" t="n"/>
      <c r="AG29" s="163">
        <f>IFERROR(AD29/AE29,0)</f>
        <v/>
      </c>
      <c r="AH29" s="163">
        <f>IFERROR(IF(AF29&lt;((1/2*AE29*AG29^2)*2),1/2*AE29*SQRT((AF29/2)*2/AE29)^2,1/2*AE29*AG29^2),0)</f>
        <v/>
      </c>
      <c r="AI29" s="163">
        <f>IFERROR(IF(AF29-AH29-AJ29&lt;=0,0,AF29-AH29-AJ29),0)</f>
        <v/>
      </c>
      <c r="AJ29" s="163">
        <f>AH29</f>
        <v/>
      </c>
      <c r="AK29" s="163">
        <f>IFERROR(IF(AF29&lt;((1/2*AE29*AG29^2)*2),SQRT((AF29/2)*2/AE29),AG29),0)</f>
        <v/>
      </c>
      <c r="AL29" s="163">
        <f>IFERROR(AI29/AD29,0)</f>
        <v/>
      </c>
      <c r="AM29" s="163">
        <f>AK29</f>
        <v/>
      </c>
      <c r="AN29" s="163">
        <f>IF(AC29&gt;0,AC29,SUM(AK29:AM29))</f>
        <v/>
      </c>
      <c r="AO29" s="163" t="n"/>
      <c r="AP29" s="163">
        <f>AN29*AO29</f>
        <v/>
      </c>
      <c r="AR29" s="160">
        <f>AR28+1</f>
        <v/>
      </c>
      <c r="AS29" s="165" t="n"/>
      <c r="AT29" s="162" t="n"/>
      <c r="AU29" s="163">
        <f>IFERROR(VLOOKUP(AS29,'Master List'!$A:$D,2,0),0)</f>
        <v/>
      </c>
      <c r="AV29" s="163">
        <f>IFERROR(VLOOKUP(AS29,'Master List'!$A:$D,3,0),0)</f>
        <v/>
      </c>
      <c r="AW29" s="163">
        <f>IFERROR(VLOOKUP(AS29,'Master List'!$A:$D,4,0),0)</f>
        <v/>
      </c>
      <c r="AX29" s="163" t="n"/>
      <c r="AY29" s="163">
        <f>IFERROR(AV29/AW29,0)</f>
        <v/>
      </c>
      <c r="AZ29" s="163">
        <f>IFERROR(IF(AX29&lt;((1/2*AW29*AY29^2)*2),1/2*AW29*SQRT((AX29/2)*2/AW29)^2,1/2*AW29*AY29^2),0)</f>
        <v/>
      </c>
      <c r="BA29" s="163">
        <f>IFERROR(IF(AX29-AZ29-BB29&lt;=0,0,AX29-AZ29-BB29),0)</f>
        <v/>
      </c>
      <c r="BB29" s="163">
        <f>AZ29</f>
        <v/>
      </c>
      <c r="BC29" s="163">
        <f>IFERROR(IF(AX29&lt;((1/2*AW29*AY29^2)*2),SQRT((AX29/2)*2/AW29),AY29),0)</f>
        <v/>
      </c>
      <c r="BD29" s="163">
        <f>IFERROR(BA29/AV29,0)</f>
        <v/>
      </c>
      <c r="BE29" s="163">
        <f>BC29</f>
        <v/>
      </c>
      <c r="BF29" s="163">
        <f>IF(AU29&gt;0,AU29,SUM(BC29:BE29))</f>
        <v/>
      </c>
      <c r="BG29" s="163" t="n"/>
      <c r="BH29" s="163">
        <f>BF29*BG29</f>
        <v/>
      </c>
      <c r="BJ29" s="160">
        <f>BJ28+1</f>
        <v/>
      </c>
      <c r="BK29" s="165" t="n"/>
      <c r="BL29" s="162" t="n"/>
      <c r="BM29" s="163">
        <f>IFERROR(VLOOKUP(BK29,'Master List'!$A:$D,2,0),0)</f>
        <v/>
      </c>
      <c r="BN29" s="163">
        <f>IFERROR(VLOOKUP(BK29,'Master List'!$A:$D,3,0),0)</f>
        <v/>
      </c>
      <c r="BO29" s="163">
        <f>IFERROR(VLOOKUP(BK29,'Master List'!$A:$D,4,0),0)</f>
        <v/>
      </c>
      <c r="BP29" s="163" t="n"/>
      <c r="BQ29" s="163">
        <f>IFERROR(BN29/BO29,0)</f>
        <v/>
      </c>
      <c r="BR29" s="163">
        <f>IFERROR(IF(BP29&lt;((1/2*BO29*BQ29^2)*2),1/2*BO29*SQRT((BP29/2)*2/BO29)^2,1/2*BO29*BQ29^2),0)</f>
        <v/>
      </c>
      <c r="BS29" s="163">
        <f>IFERROR(IF(BP29-BR29-BT29&lt;=0,0,BP29-BR29-BT29),0)</f>
        <v/>
      </c>
      <c r="BT29" s="163">
        <f>BR29</f>
        <v/>
      </c>
      <c r="BU29" s="163">
        <f>IFERROR(IF(BP29&lt;((1/2*BO29*BQ29^2)*2),SQRT((BP29/2)*2/BO29),BQ29),0)</f>
        <v/>
      </c>
      <c r="BV29" s="163">
        <f>IFERROR(BS29/BN29,0)</f>
        <v/>
      </c>
      <c r="BW29" s="163">
        <f>BU29</f>
        <v/>
      </c>
      <c r="BX29" s="163">
        <f>IF(BM29&gt;0,BM29,SUM(BU29:BW29))</f>
        <v/>
      </c>
      <c r="BY29" s="163" t="n">
        <v>1</v>
      </c>
      <c r="BZ29" s="163">
        <f>BX29*BY29</f>
        <v/>
      </c>
      <c r="CB29" s="160">
        <f>CB28+1</f>
        <v/>
      </c>
      <c r="CC29" s="165" t="n"/>
      <c r="CD29" s="162" t="n"/>
      <c r="CE29" s="163">
        <f>IFERROR(VLOOKUP(CC29,'Master List'!$A:$D,2,0),0)</f>
        <v/>
      </c>
      <c r="CF29" s="163">
        <f>IFERROR(VLOOKUP(CC29,'Master List'!$A:$D,3,0),0)</f>
        <v/>
      </c>
      <c r="CG29" s="163">
        <f>IFERROR(VLOOKUP(CC29,'Master List'!$A:$D,4,0),0)</f>
        <v/>
      </c>
      <c r="CH29" s="163" t="n"/>
      <c r="CI29" s="163">
        <f>IFERROR(CF29/CG29,0)</f>
        <v/>
      </c>
      <c r="CJ29" s="163">
        <f>IFERROR(IF(CH29&lt;((1/2*CG29*CI29^2)*2),1/2*CG29*SQRT((CH29/2)*2/CG29)^2,1/2*CG29*CI29^2),0)</f>
        <v/>
      </c>
      <c r="CK29" s="163">
        <f>IFERROR(IF(CH29-CJ29-CL29&lt;=0,0,CH29-CJ29-CL29),0)</f>
        <v/>
      </c>
      <c r="CL29" s="163">
        <f>CJ29</f>
        <v/>
      </c>
      <c r="CM29" s="163">
        <f>IFERROR(IF(CH29&lt;((1/2*CG29*CI29^2)*2),SQRT((CH29/2)*2/CG29),CI29),0)</f>
        <v/>
      </c>
      <c r="CN29" s="163">
        <f>IFERROR(CK29/CF29,0)</f>
        <v/>
      </c>
      <c r="CO29" s="163">
        <f>CM29</f>
        <v/>
      </c>
      <c r="CP29" s="163">
        <f>IF(CE29&gt;0,CE29,SUM(CM29:CO29))</f>
        <v/>
      </c>
      <c r="CQ29" s="163" t="n"/>
      <c r="CR29" s="163">
        <f>CP29*CQ29</f>
        <v/>
      </c>
    </row>
    <row r="30">
      <c r="H30" s="160">
        <f>H29+1</f>
        <v/>
      </c>
      <c r="I30" s="165" t="n"/>
      <c r="J30" s="162" t="n"/>
      <c r="K30" s="163">
        <f>IFERROR(VLOOKUP(I30,'Master List'!$A:$D,2,0),0)</f>
        <v/>
      </c>
      <c r="L30" s="163">
        <f>IFERROR(VLOOKUP(I30,'Master List'!$A:$D,3,0),0)</f>
        <v/>
      </c>
      <c r="M30" s="163">
        <f>IFERROR(VLOOKUP(I30,'Master List'!$A:$D,4,0),0)</f>
        <v/>
      </c>
      <c r="N30" s="163" t="n"/>
      <c r="O30" s="163">
        <f>IFERROR(L30/M30,0)</f>
        <v/>
      </c>
      <c r="P30" s="163">
        <f>IFERROR(IF(N30&lt;((1/2*M30*O30^2)*2),1/2*M30*SQRT((N30/2)*2/M30)^2,1/2*M30*O30^2),0)</f>
        <v/>
      </c>
      <c r="Q30" s="163">
        <f>IFERROR(IF(N30-P30-R30&lt;=0,0,N30-P30-R30),0)</f>
        <v/>
      </c>
      <c r="R30" s="163">
        <f>P30</f>
        <v/>
      </c>
      <c r="S30" s="163">
        <f>IFERROR(IF(N30&lt;((1/2*M30*O30^2)*2),SQRT((N30/2)*2/M30),O30),0)</f>
        <v/>
      </c>
      <c r="T30" s="163">
        <f>IFERROR(Q30/L30,0)</f>
        <v/>
      </c>
      <c r="U30" s="163">
        <f>S30</f>
        <v/>
      </c>
      <c r="V30" s="163">
        <f>IF(K30&gt;0,K30,SUM(S30:U30))</f>
        <v/>
      </c>
      <c r="W30" s="163" t="n"/>
      <c r="X30" s="163">
        <f>V30*W30</f>
        <v/>
      </c>
      <c r="Z30" s="160">
        <f>Z29+1</f>
        <v/>
      </c>
      <c r="AA30" s="165" t="n"/>
      <c r="AB30" s="162" t="n"/>
      <c r="AC30" s="163">
        <f>IFERROR(VLOOKUP(AA30,'Master List'!$A:$D,2,0),0)</f>
        <v/>
      </c>
      <c r="AD30" s="163">
        <f>IFERROR(VLOOKUP(AA30,'Master List'!$A:$D,3,0),0)</f>
        <v/>
      </c>
      <c r="AE30" s="163">
        <f>IFERROR(VLOOKUP(AA30,'Master List'!$A:$D,4,0),0)</f>
        <v/>
      </c>
      <c r="AF30" s="163" t="n"/>
      <c r="AG30" s="163">
        <f>IFERROR(AD30/AE30,0)</f>
        <v/>
      </c>
      <c r="AH30" s="163">
        <f>IFERROR(IF(AF30&lt;((1/2*AE30*AG30^2)*2),1/2*AE30*SQRT((AF30/2)*2/AE30)^2,1/2*AE30*AG30^2),0)</f>
        <v/>
      </c>
      <c r="AI30" s="163">
        <f>IFERROR(IF(AF30-AH30-AJ30&lt;=0,0,AF30-AH30-AJ30),0)</f>
        <v/>
      </c>
      <c r="AJ30" s="163">
        <f>AH30</f>
        <v/>
      </c>
      <c r="AK30" s="163">
        <f>IFERROR(IF(AF30&lt;((1/2*AE30*AG30^2)*2),SQRT((AF30/2)*2/AE30),AG30),0)</f>
        <v/>
      </c>
      <c r="AL30" s="163">
        <f>IFERROR(AI30/AD30,0)</f>
        <v/>
      </c>
      <c r="AM30" s="163">
        <f>AK30</f>
        <v/>
      </c>
      <c r="AN30" s="163">
        <f>IF(AC30&gt;0,AC30,SUM(AK30:AM30))</f>
        <v/>
      </c>
      <c r="AO30" s="163" t="n"/>
      <c r="AP30" s="163">
        <f>AN30*AO30</f>
        <v/>
      </c>
      <c r="AR30" s="160">
        <f>AR29+1</f>
        <v/>
      </c>
      <c r="AS30" s="165" t="n"/>
      <c r="AT30" s="162" t="n"/>
      <c r="AU30" s="163">
        <f>IFERROR(VLOOKUP(AS30,'Master List'!$A:$D,2,0),0)</f>
        <v/>
      </c>
      <c r="AV30" s="163">
        <f>IFERROR(VLOOKUP(AS30,'Master List'!$A:$D,3,0),0)</f>
        <v/>
      </c>
      <c r="AW30" s="163">
        <f>IFERROR(VLOOKUP(AS30,'Master List'!$A:$D,4,0),0)</f>
        <v/>
      </c>
      <c r="AX30" s="163" t="n"/>
      <c r="AY30" s="163">
        <f>IFERROR(AV30/AW30,0)</f>
        <v/>
      </c>
      <c r="AZ30" s="163">
        <f>IFERROR(IF(AX30&lt;((1/2*AW30*AY30^2)*2),1/2*AW30*SQRT((AX30/2)*2/AW30)^2,1/2*AW30*AY30^2),0)</f>
        <v/>
      </c>
      <c r="BA30" s="163">
        <f>IFERROR(IF(AX30-AZ30-BB30&lt;=0,0,AX30-AZ30-BB30),0)</f>
        <v/>
      </c>
      <c r="BB30" s="163">
        <f>AZ30</f>
        <v/>
      </c>
      <c r="BC30" s="163">
        <f>IFERROR(IF(AX30&lt;((1/2*AW30*AY30^2)*2),SQRT((AX30/2)*2/AW30),AY30),0)</f>
        <v/>
      </c>
      <c r="BD30" s="163">
        <f>IFERROR(BA30/AV30,0)</f>
        <v/>
      </c>
      <c r="BE30" s="163">
        <f>BC30</f>
        <v/>
      </c>
      <c r="BF30" s="163">
        <f>IF(AU30&gt;0,AU30,SUM(BC30:BE30))</f>
        <v/>
      </c>
      <c r="BG30" s="163" t="n"/>
      <c r="BH30" s="163">
        <f>BF30*BG30</f>
        <v/>
      </c>
      <c r="BJ30" s="160">
        <f>BJ29+1</f>
        <v/>
      </c>
      <c r="BK30" s="165" t="n"/>
      <c r="BL30" s="162" t="n"/>
      <c r="BM30" s="163">
        <f>IFERROR(VLOOKUP(BK30,'Master List'!$A:$D,2,0),0)</f>
        <v/>
      </c>
      <c r="BN30" s="163">
        <f>IFERROR(VLOOKUP(BK30,'Master List'!$A:$D,3,0),0)</f>
        <v/>
      </c>
      <c r="BO30" s="163">
        <f>IFERROR(VLOOKUP(BK30,'Master List'!$A:$D,4,0),0)</f>
        <v/>
      </c>
      <c r="BP30" s="163" t="n"/>
      <c r="BQ30" s="163">
        <f>IFERROR(BN30/BO30,0)</f>
        <v/>
      </c>
      <c r="BR30" s="163">
        <f>IFERROR(IF(BP30&lt;((1/2*BO30*BQ30^2)*2),1/2*BO30*SQRT((BP30/2)*2/BO30)^2,1/2*BO30*BQ30^2),0)</f>
        <v/>
      </c>
      <c r="BS30" s="163">
        <f>IFERROR(IF(BP30-BR30-BT30&lt;=0,0,BP30-BR30-BT30),0)</f>
        <v/>
      </c>
      <c r="BT30" s="163">
        <f>BR30</f>
        <v/>
      </c>
      <c r="BU30" s="163">
        <f>IFERROR(IF(BP30&lt;((1/2*BO30*BQ30^2)*2),SQRT((BP30/2)*2/BO30),BQ30),0)</f>
        <v/>
      </c>
      <c r="BV30" s="163">
        <f>IFERROR(BS30/BN30,0)</f>
        <v/>
      </c>
      <c r="BW30" s="163">
        <f>BU30</f>
        <v/>
      </c>
      <c r="BX30" s="163">
        <f>IF(BM30&gt;0,BM30,SUM(BU30:BW30))</f>
        <v/>
      </c>
      <c r="BY30" s="163" t="n">
        <v>1</v>
      </c>
      <c r="BZ30" s="163">
        <f>BX30*BY30</f>
        <v/>
      </c>
      <c r="CB30" s="160">
        <f>CB29+1</f>
        <v/>
      </c>
      <c r="CC30" s="165" t="n"/>
      <c r="CD30" s="162" t="n"/>
      <c r="CE30" s="163">
        <f>IFERROR(VLOOKUP(CC30,'Master List'!$A:$D,2,0),0)</f>
        <v/>
      </c>
      <c r="CF30" s="163">
        <f>IFERROR(VLOOKUP(CC30,'Master List'!$A:$D,3,0),0)</f>
        <v/>
      </c>
      <c r="CG30" s="163">
        <f>IFERROR(VLOOKUP(CC30,'Master List'!$A:$D,4,0),0)</f>
        <v/>
      </c>
      <c r="CH30" s="163" t="n"/>
      <c r="CI30" s="163">
        <f>IFERROR(CF30/CG30,0)</f>
        <v/>
      </c>
      <c r="CJ30" s="163">
        <f>IFERROR(IF(CH30&lt;((1/2*CG30*CI30^2)*2),1/2*CG30*SQRT((CH30/2)*2/CG30)^2,1/2*CG30*CI30^2),0)</f>
        <v/>
      </c>
      <c r="CK30" s="163">
        <f>IFERROR(IF(CH30-CJ30-CL30&lt;=0,0,CH30-CJ30-CL30),0)</f>
        <v/>
      </c>
      <c r="CL30" s="163">
        <f>CJ30</f>
        <v/>
      </c>
      <c r="CM30" s="163">
        <f>IFERROR(IF(CH30&lt;((1/2*CG30*CI30^2)*2),SQRT((CH30/2)*2/CG30),CI30),0)</f>
        <v/>
      </c>
      <c r="CN30" s="163">
        <f>IFERROR(CK30/CF30,0)</f>
        <v/>
      </c>
      <c r="CO30" s="163">
        <f>CM30</f>
        <v/>
      </c>
      <c r="CP30" s="163">
        <f>IF(CE30&gt;0,CE30,SUM(CM30:CO30))</f>
        <v/>
      </c>
      <c r="CQ30" s="163" t="n"/>
      <c r="CR30" s="163">
        <f>CP30*CQ30</f>
        <v/>
      </c>
    </row>
    <row r="31">
      <c r="BP31" s="219" t="n"/>
    </row>
    <row r="33" ht="15" customHeight="1" s="516">
      <c r="G33" s="69" t="n"/>
    </row>
    <row r="34" ht="15" customHeight="1" s="516">
      <c r="G34" s="69" t="n"/>
    </row>
    <row r="35" ht="15" customHeight="1" s="516">
      <c r="G35" s="69" t="n"/>
    </row>
    <row r="36" ht="15" customHeight="1" s="516">
      <c r="G36" s="69" t="n"/>
      <c r="H36" s="216" t="n"/>
      <c r="I36" s="216" t="n"/>
      <c r="J36" s="216" t="n"/>
    </row>
    <row r="37" ht="15" customHeight="1" s="516">
      <c r="G37" s="69" t="n"/>
      <c r="H37" s="216" t="n"/>
      <c r="I37" s="216" t="n"/>
      <c r="J37" s="216" t="n"/>
    </row>
    <row r="38" ht="15" customHeight="1" s="516">
      <c r="G38" s="69" t="n"/>
      <c r="H38" s="216" t="n"/>
      <c r="I38" s="216" t="n"/>
      <c r="J38" s="216" t="n"/>
    </row>
    <row r="39" ht="15" customHeight="1" s="516">
      <c r="G39" s="69" t="n"/>
      <c r="H39" s="216" t="n"/>
      <c r="I39" s="216" t="n"/>
      <c r="J39" s="216" t="n"/>
    </row>
    <row r="40" ht="15" customHeight="1" s="516">
      <c r="G40" s="69" t="n"/>
      <c r="H40" s="216" t="n"/>
      <c r="I40" s="216" t="n"/>
      <c r="J40" s="216" t="n"/>
    </row>
    <row r="41" ht="15" customHeight="1" s="516">
      <c r="G41" s="69" t="n"/>
      <c r="H41" s="216" t="n"/>
      <c r="I41" s="216" t="n"/>
      <c r="J41" s="216" t="n"/>
    </row>
    <row r="42" ht="15" customHeight="1" s="516">
      <c r="G42" s="69" t="n"/>
      <c r="H42" s="216" t="n"/>
      <c r="I42" s="216" t="n"/>
      <c r="J42" s="216" t="n"/>
    </row>
    <row r="43" ht="15" customHeight="1" s="516">
      <c r="G43" s="69" t="n"/>
      <c r="H43" s="216" t="n"/>
      <c r="I43" s="216" t="n"/>
      <c r="J43" s="216" t="n"/>
    </row>
    <row r="44" ht="15" customHeight="1" s="516">
      <c r="G44" s="69" t="n"/>
      <c r="H44" s="216" t="n"/>
      <c r="I44" s="216" t="n"/>
      <c r="J44" s="216" t="n"/>
    </row>
    <row r="45" ht="15" customHeight="1" s="516">
      <c r="H45" s="216" t="n"/>
      <c r="I45" s="216" t="n"/>
      <c r="J45" s="216" t="n"/>
    </row>
    <row r="46" ht="15" customHeight="1" s="516">
      <c r="H46" s="216" t="n"/>
      <c r="I46" s="216" t="n"/>
      <c r="J46" s="216" t="n"/>
    </row>
    <row r="47" ht="15" customHeight="1" s="516">
      <c r="H47" s="216" t="n"/>
      <c r="I47" s="216" t="n"/>
      <c r="J47" s="216" t="n"/>
    </row>
  </sheetData>
  <sheetProtection selectLockedCells="0" selectUnlockedCells="0" algorithmName="SHA-512" sheet="1" objects="1" insertRows="1" insertHyperlinks="1" autoFilter="1" scenarios="1" formatColumns="1" deleteColumns="1" insertColumns="1" pivotTables="1" deleteRows="1" formatCells="1" saltValue="PwDiPuqrwg4WAKLKTr7a9Q==" formatRows="1" sort="1" spinCount="100000" hashValue="+zVnJcjBF+gTTCBZe7x7ogcHerBj/Vzj1TUZSmgCi8TYst63CH/fdpUc+vvzNlDPEGaq2JA/dS4jqwJ7NFKzwQ=="/>
  <mergeCells count="30">
    <mergeCell ref="AR3:BH3"/>
    <mergeCell ref="AA6:AO6"/>
    <mergeCell ref="AR4:AR8"/>
    <mergeCell ref="I7:W7"/>
    <mergeCell ref="CC6:CQ6"/>
    <mergeCell ref="AA5:AO5"/>
    <mergeCell ref="AS6:BG6"/>
    <mergeCell ref="Z4:Z8"/>
    <mergeCell ref="AA4:AO4"/>
    <mergeCell ref="BK4:BY4"/>
    <mergeCell ref="CC4:CQ4"/>
    <mergeCell ref="AA7:AO7"/>
    <mergeCell ref="AS7:BG7"/>
    <mergeCell ref="CB4:CB8"/>
    <mergeCell ref="CC7:CQ7"/>
    <mergeCell ref="I5:W5"/>
    <mergeCell ref="CB3:CR3"/>
    <mergeCell ref="BK5:BY5"/>
    <mergeCell ref="I4:W4"/>
    <mergeCell ref="H4:H8"/>
    <mergeCell ref="Z3:AP3"/>
    <mergeCell ref="BJ4:BJ8"/>
    <mergeCell ref="BK7:BY7"/>
    <mergeCell ref="AS5:BG5"/>
    <mergeCell ref="CC5:CQ5"/>
    <mergeCell ref="I6:W6"/>
    <mergeCell ref="H3:X3"/>
    <mergeCell ref="BK6:BY6"/>
    <mergeCell ref="BJ3:BZ3"/>
    <mergeCell ref="AS4:BG4"/>
  </mergeCells>
  <conditionalFormatting sqref="B7:C10">
    <cfRule type="cellIs" priority="2" operator="lessThan" dxfId="1">
      <formula>$B$36</formula>
    </cfRule>
  </conditionalFormatting>
  <conditionalFormatting sqref="E22">
    <cfRule type="cellIs" priority="1" operator="notEqual" dxfId="0">
      <formula>1</formula>
    </cfRule>
  </conditionalFormatting>
  <pageMargins left="0.7" right="0.7" top="0.75" bottom="0.75" header="0.3" footer="0.3"/>
  <pageSetup orientation="portrait"/>
  <drawing r:id="rId1"/>
</worksheet>
</file>

<file path=xl/worksheets/sheet22.xml><?xml version="1.0" encoding="utf-8"?>
<worksheet xmlns:r="http://schemas.openxmlformats.org/officeDocument/2006/relationships" xmlns="http://schemas.openxmlformats.org/spreadsheetml/2006/main">
  <sheetPr codeName="Sheet23">
    <tabColor rgb="FFFFC000"/>
    <outlinePr summaryBelow="1" summaryRight="1"/>
    <pageSetUpPr/>
  </sheetPr>
  <dimension ref="A1:Q87"/>
  <sheetViews>
    <sheetView showGridLines="0" zoomScale="85" zoomScaleNormal="85" workbookViewId="0">
      <selection activeCell="CQ11" sqref="CQ11"/>
    </sheetView>
  </sheetViews>
  <sheetFormatPr baseColWidth="10" defaultColWidth="8.83203125" defaultRowHeight="15"/>
  <cols>
    <col width="67.1640625" bestFit="1" customWidth="1" style="258" min="1" max="1"/>
    <col width="17.33203125" bestFit="1" customWidth="1" style="258" min="2" max="2"/>
    <col width="13.33203125" customWidth="1" style="258" min="3" max="3"/>
    <col width="38.33203125" customWidth="1" style="258" min="4" max="4"/>
    <col width="13.33203125" customWidth="1" style="258" min="5" max="5"/>
    <col width="14.1640625" bestFit="1" customWidth="1" style="258" min="6" max="6"/>
    <col width="13.33203125" customWidth="1" style="258" min="7" max="7"/>
    <col width="6.6640625" bestFit="1" customWidth="1" style="258" min="8" max="8"/>
    <col width="7.5" bestFit="1" customWidth="1" style="258" min="9" max="9"/>
    <col width="28.1640625" customWidth="1" style="258" min="10" max="10"/>
    <col width="8.6640625" customWidth="1" style="258" min="11" max="12"/>
    <col width="7.1640625" bestFit="1" customWidth="1" style="258" min="13" max="13"/>
    <col width="10.83203125" customWidth="1" style="258" min="14" max="14"/>
    <col width="10.33203125" customWidth="1" style="258" min="15" max="15"/>
    <col width="26.6640625" customWidth="1" style="258" min="16" max="16"/>
    <col width="16.6640625" bestFit="1" customWidth="1" style="258" min="17" max="17"/>
    <col width="8.83203125" customWidth="1" style="258" min="18" max="18"/>
    <col width="16.6640625" bestFit="1" customWidth="1" style="258" min="19" max="19"/>
    <col width="8.83203125" customWidth="1" style="258" min="20" max="20"/>
    <col width="8.83203125" customWidth="1" style="258" min="21" max="16384"/>
  </cols>
  <sheetData>
    <row r="1" ht="47.75" customHeight="1" s="516">
      <c r="B1" s="1">
        <f>'Master List'!$F$2</f>
        <v/>
      </c>
    </row>
    <row r="3" ht="25" customHeight="1" s="516" thickBot="1">
      <c r="A3" s="259" t="inlineStr">
        <is>
          <t>Max totes that can be stored</t>
        </is>
      </c>
      <c r="B3" s="260">
        <f>((B64*B49*B37*E15) + (B64*B50*B37*E16))*B26</f>
        <v/>
      </c>
    </row>
    <row r="4" ht="20" customHeight="1" s="516" thickBot="1">
      <c r="A4" s="267" t="inlineStr">
        <is>
          <t>Remaining area m^2</t>
        </is>
      </c>
      <c r="B4" s="268">
        <f>B5*B6</f>
        <v/>
      </c>
      <c r="D4" s="261" t="inlineStr">
        <is>
          <t>Tote inputs</t>
        </is>
      </c>
      <c r="E4" s="262" t="inlineStr">
        <is>
          <t>Value</t>
        </is>
      </c>
      <c r="F4" s="263" t="inlineStr">
        <is>
          <t>UOM</t>
        </is>
      </c>
      <c r="G4" s="264" t="inlineStr">
        <is>
          <t>Value</t>
        </is>
      </c>
      <c r="H4" s="265" t="inlineStr">
        <is>
          <t>UOM</t>
        </is>
      </c>
      <c r="M4" s="266" t="inlineStr">
        <is>
          <t>Value</t>
        </is>
      </c>
      <c r="N4" s="266" t="inlineStr">
        <is>
          <t>UOM</t>
        </is>
      </c>
      <c r="O4" s="266" t="inlineStr">
        <is>
          <t>Value</t>
        </is>
      </c>
      <c r="P4" s="266" t="inlineStr">
        <is>
          <t>UOM</t>
        </is>
      </c>
    </row>
    <row r="5">
      <c r="A5" s="271" t="inlineStr">
        <is>
          <t>Length of remaining area M</t>
        </is>
      </c>
      <c r="B5" s="275">
        <f>M11</f>
        <v/>
      </c>
      <c r="D5" s="269" t="inlineStr">
        <is>
          <t>Tote depth (in the forking direction)</t>
        </is>
      </c>
      <c r="E5" s="410">
        <f>'Quadron Input Output'!B22</f>
        <v/>
      </c>
      <c r="F5" s="271" t="inlineStr">
        <is>
          <t>mm</t>
        </is>
      </c>
      <c r="G5" s="410">
        <f>'Quadron Input Output'!D22</f>
        <v/>
      </c>
      <c r="H5" s="273" t="inlineStr">
        <is>
          <t>Ft</t>
        </is>
      </c>
      <c r="I5" s="258">
        <f>CONVERT(G5,"ft","mm")</f>
        <v/>
      </c>
      <c r="J5" s="565" t="inlineStr">
        <is>
          <t>Input values in either Milimeters mm (Column E) or in Feet Ft in (Column G)</t>
        </is>
      </c>
      <c r="M5" s="271">
        <f>MAX(E5,I5)</f>
        <v/>
      </c>
      <c r="N5" s="271" t="inlineStr">
        <is>
          <t>mm</t>
        </is>
      </c>
      <c r="O5" s="274">
        <f>M5/1000</f>
        <v/>
      </c>
      <c r="P5" s="271" t="inlineStr">
        <is>
          <t>M</t>
        </is>
      </c>
    </row>
    <row r="6">
      <c r="A6" s="271" t="inlineStr">
        <is>
          <t>Width of remaining area M</t>
        </is>
      </c>
      <c r="B6" s="275">
        <f>M12-(B26*(B25/1000))</f>
        <v/>
      </c>
      <c r="D6" s="269" t="inlineStr">
        <is>
          <t>Tote width (in the crane travel direction)</t>
        </is>
      </c>
      <c r="E6" s="410">
        <f>'Quadron Input Output'!B23</f>
        <v/>
      </c>
      <c r="F6" s="271" t="inlineStr">
        <is>
          <t>mm</t>
        </is>
      </c>
      <c r="G6" s="410">
        <f>'Quadron Input Output'!D23</f>
        <v/>
      </c>
      <c r="H6" s="273" t="inlineStr">
        <is>
          <t>Ft</t>
        </is>
      </c>
      <c r="I6" s="258">
        <f>CONVERT(G6,"ft","mm")</f>
        <v/>
      </c>
      <c r="J6" s="566" t="n"/>
      <c r="M6" s="271">
        <f>MAX(E6,I6)</f>
        <v/>
      </c>
      <c r="N6" s="271" t="inlineStr">
        <is>
          <t>mm</t>
        </is>
      </c>
      <c r="O6" s="274">
        <f>M6/1000</f>
        <v/>
      </c>
      <c r="P6" s="271" t="inlineStr">
        <is>
          <t>M</t>
        </is>
      </c>
    </row>
    <row r="7" ht="16" customHeight="1" s="516" thickBot="1">
      <c r="D7" s="278" t="inlineStr">
        <is>
          <t>Tote height</t>
        </is>
      </c>
      <c r="E7" s="410">
        <f>'Quadron Input Output'!B24</f>
        <v/>
      </c>
      <c r="F7" s="279" t="inlineStr">
        <is>
          <t>mm</t>
        </is>
      </c>
      <c r="G7" s="410">
        <f>'Quadron Input Output'!D24</f>
        <v/>
      </c>
      <c r="H7" s="281" t="inlineStr">
        <is>
          <t>Ft</t>
        </is>
      </c>
      <c r="I7" s="258">
        <f>CONVERT(G7,"ft","mm")</f>
        <v/>
      </c>
      <c r="J7" s="567" t="n"/>
      <c r="M7" s="271">
        <f>MAX(E7,I7)</f>
        <v/>
      </c>
      <c r="N7" s="271" t="inlineStr">
        <is>
          <t>mm</t>
        </is>
      </c>
      <c r="O7" s="274">
        <f>M7/1000</f>
        <v/>
      </c>
      <c r="P7" s="271" t="inlineStr">
        <is>
          <t>M</t>
        </is>
      </c>
    </row>
    <row r="8" ht="16" customHeight="1" s="516" thickBot="1">
      <c r="A8" s="271" t="inlineStr">
        <is>
          <t>Effective Width of storage</t>
        </is>
      </c>
      <c r="B8" s="275">
        <f>(M12*1000)</f>
        <v/>
      </c>
    </row>
    <row r="9" ht="16" customHeight="1" s="516" thickBot="1">
      <c r="D9" s="261" t="inlineStr">
        <is>
          <t>Field Inputs</t>
        </is>
      </c>
      <c r="E9" s="262" t="inlineStr">
        <is>
          <t>Value</t>
        </is>
      </c>
      <c r="F9" s="263" t="inlineStr">
        <is>
          <t>UOM</t>
        </is>
      </c>
      <c r="G9" s="264" t="inlineStr">
        <is>
          <t>Value</t>
        </is>
      </c>
      <c r="H9" s="265" t="inlineStr">
        <is>
          <t>UOM</t>
        </is>
      </c>
      <c r="M9" s="266" t="inlineStr">
        <is>
          <t>Value</t>
        </is>
      </c>
      <c r="N9" s="266" t="inlineStr">
        <is>
          <t>UOM</t>
        </is>
      </c>
    </row>
    <row r="10">
      <c r="A10" s="266" t="inlineStr">
        <is>
          <t>Throughput required</t>
        </is>
      </c>
      <c r="B10" s="266" t="inlineStr">
        <is>
          <t>Totes/ Hr</t>
        </is>
      </c>
      <c r="D10" s="269" t="inlineStr">
        <is>
          <t>Clear height (After Lightings, sprinklers etc.)</t>
        </is>
      </c>
      <c r="E10" s="410">
        <f>'Quadron Input Output'!B27</f>
        <v/>
      </c>
      <c r="F10" s="271" t="inlineStr">
        <is>
          <t>M</t>
        </is>
      </c>
      <c r="G10" s="410">
        <f>'Quadron Input Output'!D27</f>
        <v/>
      </c>
      <c r="H10" s="273" t="inlineStr">
        <is>
          <t>Ft</t>
        </is>
      </c>
      <c r="I10" s="258">
        <f>CONVERT(G10,"ft","m")</f>
        <v/>
      </c>
      <c r="J10" s="565" t="inlineStr">
        <is>
          <t>Input values in either Meters M (Column E) or in Feet Ft in (Column G)</t>
        </is>
      </c>
      <c r="M10" s="271">
        <f>MAX(E10,I10)</f>
        <v/>
      </c>
      <c r="N10" s="271" t="inlineStr">
        <is>
          <t>M</t>
        </is>
      </c>
    </row>
    <row r="11">
      <c r="A11" s="271" t="inlineStr">
        <is>
          <t>Throughput/ Hr</t>
        </is>
      </c>
      <c r="B11" s="275">
        <f>MAX(E20:E21)*2</f>
        <v/>
      </c>
      <c r="D11" s="269" t="inlineStr">
        <is>
          <t>Length mm</t>
        </is>
      </c>
      <c r="E11" s="410">
        <f>'Quadron Input Output'!B28</f>
        <v/>
      </c>
      <c r="F11" s="271" t="inlineStr">
        <is>
          <t>M</t>
        </is>
      </c>
      <c r="G11" s="410">
        <f>'Quadron Input Output'!D28</f>
        <v/>
      </c>
      <c r="H11" s="273" t="inlineStr">
        <is>
          <t>Ft</t>
        </is>
      </c>
      <c r="I11" s="258">
        <f>CONVERT(G11,"ft","m")</f>
        <v/>
      </c>
      <c r="J11" s="566" t="n"/>
      <c r="M11" s="271">
        <f>MAX(E11,I11)</f>
        <v/>
      </c>
      <c r="N11" s="271" t="inlineStr">
        <is>
          <t>M</t>
        </is>
      </c>
    </row>
    <row r="12" ht="16" customHeight="1" s="516" thickBot="1">
      <c r="D12" s="278" t="inlineStr">
        <is>
          <t>Width mm</t>
        </is>
      </c>
      <c r="E12" s="410">
        <f>'Quadron Input Output'!B29</f>
        <v/>
      </c>
      <c r="F12" s="279" t="inlineStr">
        <is>
          <t>M</t>
        </is>
      </c>
      <c r="G12" s="410">
        <f>'Quadron Input Output'!D29</f>
        <v/>
      </c>
      <c r="H12" s="281" t="inlineStr">
        <is>
          <t>Ft</t>
        </is>
      </c>
      <c r="I12" s="258">
        <f>CONVERT(G12,"ft","m")</f>
        <v/>
      </c>
      <c r="J12" s="567" t="n"/>
      <c r="M12" s="271">
        <f>MAX(E12,I12)</f>
        <v/>
      </c>
      <c r="N12" s="271" t="inlineStr">
        <is>
          <t>M</t>
        </is>
      </c>
    </row>
    <row r="13" ht="16" customHeight="1" s="516" thickBot="1">
      <c r="A13" s="266" t="inlineStr">
        <is>
          <t>Max lift throughput capacity (Totes/ Hr)</t>
        </is>
      </c>
      <c r="B13" s="310">
        <f>E22</f>
        <v/>
      </c>
    </row>
    <row r="14">
      <c r="A14" s="271" t="inlineStr">
        <is>
          <t xml:space="preserve"># lifts required </t>
        </is>
      </c>
      <c r="B14" s="271">
        <f>B11/B13</f>
        <v/>
      </c>
      <c r="D14" s="261" t="inlineStr">
        <is>
          <t>Configuration Inputs</t>
        </is>
      </c>
      <c r="E14" s="263" t="inlineStr">
        <is>
          <t>Value</t>
        </is>
      </c>
      <c r="F14" s="265" t="inlineStr">
        <is>
          <t>UOM</t>
        </is>
      </c>
    </row>
    <row r="15">
      <c r="A15" s="271" t="inlineStr">
        <is>
          <t>No of tracks as per throughput requirement</t>
        </is>
      </c>
      <c r="B15" s="274">
        <f>ROUNDUP(B14/2,0)</f>
        <v/>
      </c>
      <c r="D15" s="269" t="inlineStr">
        <is>
          <t>Deep on the left side of track</t>
        </is>
      </c>
      <c r="E15" s="271">
        <f>'Quadron Input Output'!B32</f>
        <v/>
      </c>
      <c r="F15" s="273" t="inlineStr">
        <is>
          <t>Nos</t>
        </is>
      </c>
    </row>
    <row r="16">
      <c r="D16" s="269" t="inlineStr">
        <is>
          <t>Deep on the right side of track</t>
        </is>
      </c>
      <c r="E16" s="271">
        <f>'Quadron Input Output'!B33</f>
        <v/>
      </c>
      <c r="F16" s="273" t="inlineStr">
        <is>
          <t>Nos</t>
        </is>
      </c>
    </row>
    <row r="17" ht="16" customHeight="1" s="516" thickBot="1">
      <c r="A17" s="271" t="inlineStr">
        <is>
          <t>Effective length of  tote - forking direction</t>
        </is>
      </c>
      <c r="B17" s="271">
        <f>(O5*1000)+(B39/2)</f>
        <v/>
      </c>
      <c r="D17" s="278" t="inlineStr">
        <is>
          <t>Number of totes in one bay one level</t>
        </is>
      </c>
      <c r="E17" s="279">
        <f>'Quadron Input Output'!B34</f>
        <v/>
      </c>
      <c r="F17" s="281" t="inlineStr">
        <is>
          <t>Nos</t>
        </is>
      </c>
    </row>
    <row r="18" ht="16" customHeight="1" s="516" thickBot="1"/>
    <row r="19">
      <c r="A19" s="288" t="inlineStr">
        <is>
          <t>No of tracks calculation</t>
        </is>
      </c>
      <c r="B19" s="288" t="inlineStr">
        <is>
          <t>Nos.</t>
        </is>
      </c>
      <c r="D19" s="261" t="inlineStr">
        <is>
          <t xml:space="preserve">Throughput </t>
        </is>
      </c>
      <c r="E19" s="263" t="inlineStr">
        <is>
          <t>Value</t>
        </is>
      </c>
      <c r="F19" s="265" t="inlineStr">
        <is>
          <t>UOM</t>
        </is>
      </c>
    </row>
    <row r="20">
      <c r="A20" s="271" t="inlineStr">
        <is>
          <t>Left side of the track</t>
        </is>
      </c>
      <c r="B20" s="271">
        <f>(B17*E15)+(B29/2)+(B34/2)+B30</f>
        <v/>
      </c>
      <c r="D20" s="269" t="inlineStr">
        <is>
          <t>Inbound throughput</t>
        </is>
      </c>
      <c r="E20" s="271">
        <f>'Quadron Input Output'!B7</f>
        <v/>
      </c>
      <c r="F20" s="273" t="inlineStr">
        <is>
          <t>Totes per hour</t>
        </is>
      </c>
    </row>
    <row r="21" ht="16" customHeight="1" s="516" thickBot="1">
      <c r="A21" s="271" t="inlineStr">
        <is>
          <t>Right side of the track</t>
        </is>
      </c>
      <c r="B21" s="271">
        <f>(B17*E16)+(B29/2)+(B34/2)+B30</f>
        <v/>
      </c>
      <c r="D21" s="269" t="inlineStr">
        <is>
          <t>Outbound throughput</t>
        </is>
      </c>
      <c r="E21" s="271">
        <f>'Quadron Input Output'!B8</f>
        <v/>
      </c>
      <c r="F21" s="329" t="inlineStr">
        <is>
          <t>Totes per hour</t>
        </is>
      </c>
      <c r="N21" s="330" t="n"/>
    </row>
    <row r="22" ht="37.25" customHeight="1" s="516" thickBot="1">
      <c r="A22" s="271" t="inlineStr">
        <is>
          <t>Total width</t>
        </is>
      </c>
      <c r="B22" s="271">
        <f>SUM(B20:B21)</f>
        <v/>
      </c>
      <c r="D22" s="325" t="inlineStr">
        <is>
          <t>Max Lift productivity (Totes per Hr) After all utilizations</t>
        </is>
      </c>
      <c r="E22" s="413" t="n">
        <v>350</v>
      </c>
      <c r="F22" s="574">
        <f>IF(B15&gt;B26,(INT((B15-B26)*B25)/1000)&amp;"m "&amp;"more width required to deliver required throughput","Lift underutilized")</f>
        <v/>
      </c>
      <c r="G22" s="575" t="n"/>
      <c r="H22" s="576" t="n"/>
    </row>
    <row r="23" ht="16" customHeight="1" s="516" thickBot="1">
      <c r="A23" s="271" t="inlineStr">
        <is>
          <t>Effective left side depth with theoretical fencing</t>
        </is>
      </c>
      <c r="B23" s="271">
        <f>(B17*E15)+(B29/2)+(B36/2)+B30</f>
        <v/>
      </c>
    </row>
    <row r="24">
      <c r="A24" s="271" t="inlineStr">
        <is>
          <t>Effective right side depth with theoretical fencing</t>
        </is>
      </c>
      <c r="B24" s="271">
        <f>(B17*E16)+(B29/2)+(B36/2)+B30</f>
        <v/>
      </c>
      <c r="D24" s="563" t="inlineStr">
        <is>
          <t>Other Key Outputs</t>
        </is>
      </c>
      <c r="E24" s="564" t="n"/>
      <c r="Q24" s="300" t="n"/>
    </row>
    <row r="25">
      <c r="A25" s="271" t="inlineStr">
        <is>
          <t>Effective total width</t>
        </is>
      </c>
      <c r="B25" s="271">
        <f>SUM(B23:B24)</f>
        <v/>
      </c>
      <c r="D25" s="289" t="inlineStr">
        <is>
          <t>Inbound Lift utilization</t>
        </is>
      </c>
      <c r="E25" s="332">
        <f>(E20/E22)/ROUNDUP(E20/E22,0)</f>
        <v/>
      </c>
    </row>
    <row r="26">
      <c r="A26" s="296" t="inlineStr">
        <is>
          <t># of tracks</t>
        </is>
      </c>
      <c r="B26" s="296">
        <f>ROUNDDOWN(B8/B25,0)</f>
        <v/>
      </c>
      <c r="D26" s="289" t="inlineStr">
        <is>
          <t>Outbound Lift utilization</t>
        </is>
      </c>
      <c r="E26" s="332">
        <f>(E21/E22)/ROUNDUP(E21/E22,0)</f>
        <v/>
      </c>
    </row>
    <row r="27" ht="14.5" customHeight="1" s="516">
      <c r="D27" s="289" t="inlineStr">
        <is>
          <t>No. of carton shuttle tracks</t>
        </is>
      </c>
      <c r="E27" s="290">
        <f>B26</f>
        <v/>
      </c>
    </row>
    <row r="28">
      <c r="A28" s="266" t="inlineStr">
        <is>
          <t>Track dimensions</t>
        </is>
      </c>
      <c r="B28" s="266" t="inlineStr">
        <is>
          <t>Dimension in mm</t>
        </is>
      </c>
      <c r="D28" s="289" t="inlineStr">
        <is>
          <t>No. of bays per track on one side</t>
        </is>
      </c>
      <c r="E28" s="290">
        <f>B49</f>
        <v/>
      </c>
    </row>
    <row r="29">
      <c r="A29" s="271" t="inlineStr">
        <is>
          <t>Track width</t>
        </is>
      </c>
      <c r="B29" s="271" t="n">
        <v>840</v>
      </c>
      <c r="D29" s="333" t="inlineStr">
        <is>
          <t>No. of tracks required by throughput</t>
        </is>
      </c>
      <c r="E29" s="334">
        <f>ROUNDUP(MAX(E20:E21)/E22,0)</f>
        <v/>
      </c>
    </row>
    <row r="30" ht="16" customHeight="1" s="516" thickBot="1">
      <c r="A30" s="271" t="inlineStr">
        <is>
          <t>First tote from edge of the track</t>
        </is>
      </c>
      <c r="B30" s="271" t="n">
        <v>55</v>
      </c>
      <c r="D30" s="292" t="inlineStr">
        <is>
          <t>Levels in storage</t>
        </is>
      </c>
      <c r="E30" s="293">
        <f>B64</f>
        <v/>
      </c>
    </row>
    <row r="32">
      <c r="A32" s="288" t="inlineStr">
        <is>
          <t>No of Bays calculation</t>
        </is>
      </c>
      <c r="B32" s="288" t="inlineStr">
        <is>
          <t>Dimension in mm</t>
        </is>
      </c>
    </row>
    <row r="33">
      <c r="A33" s="271" t="inlineStr">
        <is>
          <t>Upright</t>
        </is>
      </c>
      <c r="B33" s="271" t="n">
        <v>90</v>
      </c>
    </row>
    <row r="34">
      <c r="A34" s="271" t="inlineStr">
        <is>
          <t>Fencing outside storage</t>
        </is>
      </c>
      <c r="B34" s="271" t="n">
        <v>450</v>
      </c>
    </row>
    <row r="35">
      <c r="A35" s="271" t="inlineStr">
        <is>
          <t xml:space="preserve">fencing at the end </t>
        </is>
      </c>
      <c r="B35" s="271" t="n">
        <v>290</v>
      </c>
    </row>
    <row r="36">
      <c r="A36" s="271" t="inlineStr">
        <is>
          <t xml:space="preserve">Effective fencing dimension </t>
        </is>
      </c>
      <c r="B36" s="271">
        <f>(((ROUNDDOWN(B8/B22,0)*B34)-B34)+B35)/(ROUNDDOWN(B8/B22,0))</f>
        <v/>
      </c>
    </row>
    <row r="37">
      <c r="A37" s="271" t="inlineStr">
        <is>
          <t>Number of totes in one bay pick face</t>
        </is>
      </c>
      <c r="B37" s="275">
        <f>E17</f>
        <v/>
      </c>
      <c r="M37" s="300" t="n"/>
    </row>
    <row r="38">
      <c r="A38" s="271" t="inlineStr">
        <is>
          <t>Tote to tote distance - in direction of Shuttle travel</t>
        </is>
      </c>
      <c r="B38" s="271" t="n">
        <v>120</v>
      </c>
    </row>
    <row r="39">
      <c r="A39" s="271" t="inlineStr">
        <is>
          <t>Tote to tote distance - in direction of forking</t>
        </is>
      </c>
      <c r="B39" s="271" t="n">
        <v>150</v>
      </c>
    </row>
    <row r="40">
      <c r="A40" s="266" t="inlineStr">
        <is>
          <t>Dimension of a bay in Left side of the track</t>
        </is>
      </c>
      <c r="B40" s="271" t="n"/>
    </row>
    <row r="41">
      <c r="A41" s="271" t="inlineStr">
        <is>
          <t>Width of a bay - In direction of Shuttle travel</t>
        </is>
      </c>
      <c r="B41" s="271">
        <f>B33+(B37*(O6*1000))+((B37+1)*B38)</f>
        <v/>
      </c>
    </row>
    <row r="42">
      <c r="A42" s="271" t="inlineStr">
        <is>
          <t>Length of a bay - In direction of Forking</t>
        </is>
      </c>
      <c r="B42" s="271">
        <f>(B29/2)+B30+(B17*E15)+(B34/2)</f>
        <v/>
      </c>
    </row>
    <row r="43">
      <c r="A43" s="296" t="inlineStr">
        <is>
          <t>Bay dimension in m^2</t>
        </is>
      </c>
      <c r="B43" s="296">
        <f>CONVERT((B41*B42),"mm^2","m^2")</f>
        <v/>
      </c>
    </row>
    <row r="44">
      <c r="A44" s="266" t="inlineStr">
        <is>
          <t>Dimension of a bay in Right side of the track</t>
        </is>
      </c>
      <c r="B44" s="271" t="n"/>
    </row>
    <row r="45">
      <c r="A45" s="271" t="inlineStr">
        <is>
          <t>Width of a bay - In direction of Shuttle travel</t>
        </is>
      </c>
      <c r="B45" s="271">
        <f>B33+(B37*(O6*1000))+((B37+1)*B38)</f>
        <v/>
      </c>
    </row>
    <row r="46">
      <c r="A46" s="271" t="inlineStr">
        <is>
          <t>Length of a bay - In direction of Forking</t>
        </is>
      </c>
      <c r="B46" s="271">
        <f>(B29/2)+B30+(B17*E16)+(B34/2)</f>
        <v/>
      </c>
    </row>
    <row r="47">
      <c r="A47" s="296" t="inlineStr">
        <is>
          <t>Bay dimension in m^2</t>
        </is>
      </c>
      <c r="B47" s="296">
        <f>CONVERT((B45*B46),"mm^2","m^2")</f>
        <v/>
      </c>
    </row>
    <row r="48">
      <c r="A48" s="271" t="inlineStr">
        <is>
          <t>Max aisle length from first to last pallet</t>
        </is>
      </c>
      <c r="B48" s="275">
        <f>(M11*1000)-B67-B68-B69</f>
        <v/>
      </c>
    </row>
    <row r="49">
      <c r="A49" s="296" t="inlineStr">
        <is>
          <t># bays in storage Left side of the track</t>
        </is>
      </c>
      <c r="B49" s="296">
        <f>ROUNDDOWN(B48/B41,0)</f>
        <v/>
      </c>
    </row>
    <row r="50">
      <c r="A50" s="296" t="inlineStr">
        <is>
          <t># bays in storage Right side of the track</t>
        </is>
      </c>
      <c r="B50" s="296">
        <f>ROUNDDOWN(B48/B45,0)</f>
        <v/>
      </c>
    </row>
    <row r="52">
      <c r="A52" s="288" t="inlineStr">
        <is>
          <t>Level calculation bay dimensions</t>
        </is>
      </c>
      <c r="B52" s="288" t="inlineStr">
        <is>
          <t>Dimension in mm</t>
        </is>
      </c>
    </row>
    <row r="53">
      <c r="A53" s="299" t="inlineStr">
        <is>
          <t>Plinth level to bottom of first pallet</t>
        </is>
      </c>
      <c r="B53" s="271" t="n">
        <v>610</v>
      </c>
    </row>
    <row r="54" ht="15" customHeight="1" s="516">
      <c r="A54" s="271" t="inlineStr">
        <is>
          <t>Tote lift top (Top tote)</t>
        </is>
      </c>
      <c r="B54" s="271" t="n">
        <v>580</v>
      </c>
    </row>
    <row r="55">
      <c r="A55" s="271" t="inlineStr">
        <is>
          <t>Distance between top of pallet to bottom of above pallet</t>
        </is>
      </c>
      <c r="B55" s="271" t="n">
        <v>150</v>
      </c>
    </row>
    <row r="56">
      <c r="A56" s="296" t="inlineStr">
        <is>
          <t>Effective height available</t>
        </is>
      </c>
      <c r="B56" s="296">
        <f>(M10*1000)-B53-B60</f>
        <v/>
      </c>
    </row>
    <row r="57">
      <c r="A57" s="271" t="inlineStr">
        <is>
          <t>Extra height for ESFR and cross beam</t>
        </is>
      </c>
      <c r="B57" s="271" t="n">
        <v>200</v>
      </c>
    </row>
    <row r="58">
      <c r="A58" s="271" t="inlineStr">
        <is>
          <t>Cross beam after every</t>
        </is>
      </c>
      <c r="B58" s="271" t="n">
        <v>2800</v>
      </c>
    </row>
    <row r="59">
      <c r="A59" s="271" t="inlineStr">
        <is>
          <t># of ESFR levels</t>
        </is>
      </c>
      <c r="B59" s="271">
        <f>ROUNDDOWN((M10*1000)/B58,0)-1</f>
        <v/>
      </c>
    </row>
    <row r="60">
      <c r="A60" s="271" t="inlineStr">
        <is>
          <t>Height occupied by Cross beam</t>
        </is>
      </c>
      <c r="B60" s="271">
        <f>B57*B59</f>
        <v/>
      </c>
      <c r="M60" s="323" t="n"/>
    </row>
    <row r="61">
      <c r="A61" s="296" t="inlineStr">
        <is>
          <t>Pallet height plus clear height</t>
        </is>
      </c>
      <c r="B61" s="296">
        <f>B55+(O7*1000)</f>
        <v/>
      </c>
    </row>
    <row r="62">
      <c r="A62" s="271" t="inlineStr">
        <is>
          <t>Effective clear height between pallet (Theortical)</t>
        </is>
      </c>
      <c r="B62" s="271">
        <f>(((ROUNDDOWN(B56/B61,0)*B55)-B55)+B54)/ROUNDDOWN(B56/B61,0)</f>
        <v/>
      </c>
    </row>
    <row r="63">
      <c r="A63" s="271" t="inlineStr">
        <is>
          <t>Effective height of a level</t>
        </is>
      </c>
      <c r="B63" s="271">
        <f>(O7*1000)+B62</f>
        <v/>
      </c>
    </row>
    <row r="64">
      <c r="A64" s="296" t="inlineStr">
        <is>
          <t>Levels</t>
        </is>
      </c>
      <c r="B64" s="296">
        <f>ROUNDDOWN(B56/B63,0)</f>
        <v/>
      </c>
    </row>
    <row r="65">
      <c r="F65" s="323" t="n"/>
      <c r="G65" s="323" t="n"/>
    </row>
    <row r="66">
      <c r="A66" s="288" t="inlineStr">
        <is>
          <t xml:space="preserve">Other dimensions outside storage area </t>
        </is>
      </c>
      <c r="B66" s="288" t="inlineStr">
        <is>
          <t>Dimension in mm</t>
        </is>
      </c>
    </row>
    <row r="67">
      <c r="A67" s="271" t="inlineStr">
        <is>
          <t>Buffer conveyor and lift length</t>
        </is>
      </c>
      <c r="B67" s="271" t="n">
        <v>2500</v>
      </c>
    </row>
    <row r="68">
      <c r="A68" s="271" t="inlineStr">
        <is>
          <t>Maintenance mezzanine front including conveyors</t>
        </is>
      </c>
      <c r="B68" s="271" t="n">
        <v>2700</v>
      </c>
      <c r="E68" s="323" t="n"/>
    </row>
    <row r="69">
      <c r="A69" s="271" t="inlineStr">
        <is>
          <t>Maintenance Mezzanine Back</t>
        </is>
      </c>
      <c r="B69" s="271" t="n">
        <v>4000</v>
      </c>
    </row>
    <row r="73">
      <c r="N73" s="305" t="n"/>
    </row>
    <row r="74">
      <c r="N74" s="305" t="n"/>
    </row>
    <row r="75">
      <c r="M75" s="323" t="n"/>
      <c r="N75" s="97" t="n"/>
      <c r="O75" s="97" t="n"/>
    </row>
    <row r="76">
      <c r="C76" s="300" t="n"/>
      <c r="F76" s="300" t="n"/>
      <c r="G76" s="300" t="n"/>
      <c r="H76" s="300" t="n"/>
      <c r="I76" s="300" t="n"/>
      <c r="J76" s="300" t="n"/>
      <c r="K76" s="300" t="n"/>
      <c r="L76" s="300" t="n"/>
      <c r="M76" s="97" t="n"/>
    </row>
    <row r="79">
      <c r="D79" s="300" t="n"/>
      <c r="E79" s="300" t="n"/>
    </row>
    <row r="85" hidden="1" s="516"/>
    <row r="87">
      <c r="A87" s="258" t="inlineStr">
        <is>
          <t>Front - Clear length after mother child system for feeding conveyors</t>
        </is>
      </c>
      <c r="B87" s="258" t="n">
        <v>0</v>
      </c>
    </row>
  </sheetData>
  <sheetProtection selectLockedCells="0" selectUnlockedCells="0" algorithmName="SHA-512" sheet="1" objects="1" insertRows="1" insertHyperlinks="1" autoFilter="1" scenarios="1" formatColumns="1" deleteColumns="1" insertColumns="1" pivotTables="1" deleteRows="1" formatCells="1" saltValue="xPzuX3Tj6BoViTAxxEH8Bw==" formatRows="1" sort="1" spinCount="100000" hashValue="lfJiGa9SM0TCUk2s7m6lGDRcW9+oIomzQxjCyIxzErGopM+taJg6VFFoaBcjUTxA4YKAD18ohYY632CwY+gFpw=="/>
  <mergeCells count="4">
    <mergeCell ref="F22:H22"/>
    <mergeCell ref="J5:J7"/>
    <mergeCell ref="J10:J12"/>
    <mergeCell ref="D24:E24"/>
  </mergeCells>
  <conditionalFormatting sqref="B26">
    <cfRule type="cellIs" priority="1" operator="lessThan" dxfId="0">
      <formula>1</formula>
    </cfRule>
  </conditionalFormatting>
  <conditionalFormatting sqref="B43">
    <cfRule type="cellIs" priority="8" operator="lessThan" dxfId="0">
      <formula>1</formula>
    </cfRule>
  </conditionalFormatting>
  <conditionalFormatting sqref="B47">
    <cfRule type="cellIs" priority="7" operator="lessThan" dxfId="0">
      <formula>1</formula>
    </cfRule>
  </conditionalFormatting>
  <conditionalFormatting sqref="B49:B50">
    <cfRule type="cellIs" priority="3" operator="lessThan" dxfId="0">
      <formula>1</formula>
    </cfRule>
  </conditionalFormatting>
  <conditionalFormatting sqref="B56">
    <cfRule type="cellIs" priority="2" operator="lessThan" dxfId="0">
      <formula>1</formula>
    </cfRule>
  </conditionalFormatting>
  <conditionalFormatting sqref="B57:B58">
    <cfRule type="cellIs" priority="9" operator="greaterThan" dxfId="0">
      <formula>22000</formula>
    </cfRule>
  </conditionalFormatting>
  <conditionalFormatting sqref="B61">
    <cfRule type="cellIs" priority="6" operator="lessThan" dxfId="0">
      <formula>1</formula>
    </cfRule>
  </conditionalFormatting>
  <conditionalFormatting sqref="B64">
    <cfRule type="cellIs" priority="5" operator="lessThan" dxfId="0">
      <formula>1</formula>
    </cfRule>
  </conditionalFormatting>
  <dataValidations count="2">
    <dataValidation sqref="E15:F16" showDropDown="0" showInputMessage="1" showErrorMessage="1" allowBlank="1" type="list">
      <formula1>"1,2"</formula1>
    </dataValidation>
    <dataValidation sqref="N8" showDropDown="1" showInputMessage="1" showErrorMessage="1" allowBlank="1" errorTitle="Not feasible" error="Height can't be less than 175" type="decimal">
      <formula1>175</formula1>
      <formula2>1000</formula2>
    </dataValidation>
  </dataValidations>
  <pageMargins left="0.7" right="0.7" top="0.75" bottom="0.75" header="0.3" footer="0.3"/>
  <pageSetup orientation="portrait"/>
  <drawing r:id="rId1"/>
</worksheet>
</file>

<file path=xl/worksheets/sheet23.xml><?xml version="1.0" encoding="utf-8"?>
<worksheet xmlns:r="http://schemas.openxmlformats.org/officeDocument/2006/relationships" xmlns="http://schemas.openxmlformats.org/spreadsheetml/2006/main">
  <sheetPr codeName="Sheet24">
    <tabColor rgb="FFFFC000"/>
    <outlinePr summaryBelow="1" summaryRight="1"/>
    <pageSetUpPr fitToPage="1"/>
  </sheetPr>
  <dimension ref="A1:O53"/>
  <sheetViews>
    <sheetView showGridLines="0" zoomScale="85" zoomScaleNormal="85" workbookViewId="0">
      <selection activeCell="I28" sqref="I28"/>
    </sheetView>
  </sheetViews>
  <sheetFormatPr baseColWidth="10" defaultColWidth="8.6640625" defaultRowHeight="15"/>
  <cols>
    <col width="48.1640625" customWidth="1" style="99" min="1" max="1"/>
    <col width="29.1640625" customWidth="1" style="99" min="2" max="2"/>
    <col width="22.33203125" customWidth="1" style="99" min="3" max="3"/>
    <col width="12.1640625" bestFit="1" customWidth="1" style="99" min="4" max="4"/>
    <col width="8.6640625" customWidth="1" style="99" min="5" max="6"/>
    <col width="50.5" customWidth="1" style="99" min="7" max="7"/>
    <col width="17.6640625" customWidth="1" style="99" min="8" max="9"/>
    <col width="8.6640625" customWidth="1" style="99" min="10" max="10"/>
    <col width="17.1640625" customWidth="1" style="99" min="11" max="11"/>
    <col width="66.33203125" bestFit="1" customWidth="1" style="99" min="12" max="12"/>
    <col width="14.1640625" bestFit="1" customWidth="1" style="99" min="13" max="13"/>
    <col width="12.6640625" bestFit="1" customWidth="1" style="99" min="14" max="14"/>
    <col width="8" bestFit="1" customWidth="1" style="99" min="15" max="15"/>
    <col width="8.6640625" customWidth="1" style="99" min="16" max="16"/>
    <col width="8.6640625" customWidth="1" style="99" min="17" max="16384"/>
  </cols>
  <sheetData>
    <row r="1" ht="44.75" customHeight="1" s="516">
      <c r="A1" s="404" t="inlineStr">
        <is>
          <t>Quadron</t>
        </is>
      </c>
      <c r="B1" s="1">
        <f>'Master List'!$F$2</f>
        <v/>
      </c>
      <c r="C1" s="77" t="inlineStr">
        <is>
          <t>Utilization</t>
        </is>
      </c>
      <c r="D1" s="77">
        <f>'Quadron Double deep TP'!X6</f>
        <v/>
      </c>
    </row>
    <row r="2">
      <c r="A2" s="180" t="inlineStr">
        <is>
          <t>Project name</t>
        </is>
      </c>
      <c r="B2" s="181" t="inlineStr">
        <is>
          <t>Foxconn Chennai</t>
        </is>
      </c>
    </row>
    <row r="3" ht="16" customHeight="1" s="516">
      <c r="A3" s="180" t="inlineStr">
        <is>
          <t>Revision</t>
        </is>
      </c>
      <c r="B3" s="181" t="n"/>
      <c r="G3" s="356" t="inlineStr">
        <is>
          <t>Output</t>
        </is>
      </c>
      <c r="H3" s="343" t="n"/>
      <c r="I3" s="343" t="n"/>
      <c r="J3" s="343" t="n"/>
      <c r="K3" s="343" t="n"/>
      <c r="L3" s="343" t="n"/>
      <c r="M3" s="343" t="n"/>
      <c r="N3" s="343" t="n"/>
      <c r="O3" s="343" t="n"/>
    </row>
    <row r="4" ht="16" customHeight="1" s="516">
      <c r="A4" s="356" t="inlineStr">
        <is>
          <t>Input</t>
        </is>
      </c>
    </row>
    <row r="5" ht="17" customHeight="1" s="516" thickBot="1">
      <c r="A5" s="342" t="inlineStr">
        <is>
          <t>Throughput requirement</t>
        </is>
      </c>
      <c r="G5" s="342" t="inlineStr">
        <is>
          <t>Output  based on throughput requirement</t>
        </is>
      </c>
      <c r="H5" s="341" t="inlineStr">
        <is>
          <t>Std Cycle</t>
        </is>
      </c>
      <c r="I5" s="341" t="inlineStr">
        <is>
          <t>Reshuffling cycle</t>
        </is>
      </c>
      <c r="K5" s="342" t="inlineStr">
        <is>
          <t>Tentative BOM (Excluding controls)</t>
        </is>
      </c>
      <c r="L5" s="342" t="n"/>
      <c r="M5" s="342" t="n"/>
      <c r="N5" s="342" t="n"/>
      <c r="O5" s="342" t="n"/>
    </row>
    <row r="6">
      <c r="A6" s="346" t="inlineStr">
        <is>
          <t>Input</t>
        </is>
      </c>
      <c r="B6" s="347" t="inlineStr">
        <is>
          <t>Qty</t>
        </is>
      </c>
      <c r="C6" s="346" t="inlineStr">
        <is>
          <t>Cycles</t>
        </is>
      </c>
      <c r="D6" s="352" t="inlineStr">
        <is>
          <t>Totes per Hr</t>
        </is>
      </c>
      <c r="E6" s="347" t="inlineStr">
        <is>
          <t>%</t>
        </is>
      </c>
      <c r="G6" s="361" t="inlineStr">
        <is>
          <t>Cycles/ Hr</t>
        </is>
      </c>
      <c r="H6" s="362">
        <f>'Quadron Double deep TP'!B7</f>
        <v/>
      </c>
      <c r="I6" s="362">
        <f>'Quadron Double deep TP'!C7</f>
        <v/>
      </c>
      <c r="K6" s="372" t="inlineStr">
        <is>
          <t>Main Product</t>
        </is>
      </c>
      <c r="L6" s="372" t="inlineStr">
        <is>
          <t>Sub Product</t>
        </is>
      </c>
      <c r="M6" s="372" t="inlineStr">
        <is>
          <t>Mfg/ Boughtout</t>
        </is>
      </c>
      <c r="N6" s="372" t="inlineStr">
        <is>
          <t>UOM</t>
        </is>
      </c>
      <c r="O6" s="372" t="inlineStr">
        <is>
          <t>QTY</t>
        </is>
      </c>
    </row>
    <row r="7">
      <c r="A7" s="348" t="inlineStr">
        <is>
          <t>Inbound totes per hr</t>
        </is>
      </c>
      <c r="B7" s="349" t="n">
        <v>1000</v>
      </c>
      <c r="C7" s="348" t="inlineStr">
        <is>
          <t>Totes in combined cycle</t>
        </is>
      </c>
      <c r="D7" s="39">
        <f>MIN(B7:B8)*2</f>
        <v/>
      </c>
      <c r="E7" s="353">
        <f>D7/SUM($D$7:$D$8)</f>
        <v/>
      </c>
      <c r="G7" s="348" t="inlineStr">
        <is>
          <t>Totes/ Hr</t>
        </is>
      </c>
      <c r="H7" s="357">
        <f>'Quadron Double deep TP'!B8</f>
        <v/>
      </c>
      <c r="I7" s="357">
        <f>'Quadron Double deep TP'!C8</f>
        <v/>
      </c>
      <c r="K7" s="568" t="inlineStr">
        <is>
          <t>Carton_Shuttle</t>
        </is>
      </c>
      <c r="L7" s="378" t="inlineStr">
        <is>
          <t>Shuttle - Quadron 2 Way</t>
        </is>
      </c>
      <c r="M7" s="378" t="inlineStr">
        <is>
          <t>India Mfg</t>
        </is>
      </c>
      <c r="N7" s="378" t="inlineStr">
        <is>
          <t>Number</t>
        </is>
      </c>
      <c r="O7" s="364">
        <f>MAX(H9,(H22*H19))</f>
        <v/>
      </c>
    </row>
    <row r="8" ht="16" customHeight="1" s="516" thickBot="1">
      <c r="A8" s="348" t="inlineStr">
        <is>
          <t>Outbound totes per hr</t>
        </is>
      </c>
      <c r="B8" s="349" t="n">
        <v>900</v>
      </c>
      <c r="C8" s="350" t="inlineStr">
        <is>
          <t>Totes in single cycle</t>
        </is>
      </c>
      <c r="D8" s="354">
        <f>MAX(B7:B8)-MIN(B7:B8)</f>
        <v/>
      </c>
      <c r="E8" s="355">
        <f>D8/SUM($D$7:$D$8)</f>
        <v/>
      </c>
      <c r="G8" s="473" t="inlineStr">
        <is>
          <t>Quadrons required</t>
        </is>
      </c>
      <c r="H8" s="472">
        <f>'Quadron Double deep TP'!B9</f>
        <v/>
      </c>
      <c r="I8" s="472">
        <f>'Quadron Double deep TP'!C9</f>
        <v/>
      </c>
      <c r="K8" s="568" t="inlineStr">
        <is>
          <t>Carton_Shuttle</t>
        </is>
      </c>
      <c r="L8" s="378" t="inlineStr">
        <is>
          <t>Aisle Equipment - Quardon 2 Way</t>
        </is>
      </c>
      <c r="M8" s="378" t="inlineStr">
        <is>
          <t>Bought Out</t>
        </is>
      </c>
      <c r="N8" s="378" t="inlineStr">
        <is>
          <t>Mtr</t>
        </is>
      </c>
      <c r="O8" s="568">
        <f>(B9*O7)+(H33*O7)</f>
        <v/>
      </c>
    </row>
    <row r="9" ht="16" customHeight="1" s="516" thickBot="1">
      <c r="A9" s="350" t="inlineStr">
        <is>
          <t>Aisle length max M</t>
        </is>
      </c>
      <c r="B9" s="366" t="n">
        <v>48.8</v>
      </c>
      <c r="C9" s="99" t="inlineStr">
        <is>
          <t>Max length travelled by quadron in a level in meters</t>
        </is>
      </c>
      <c r="G9" s="361" t="inlineStr">
        <is>
          <t>Total Quadrons required (Roundup)</t>
        </is>
      </c>
      <c r="H9" s="573">
        <f>ROUNDUP(SUM(H8:I8),0)</f>
        <v/>
      </c>
      <c r="I9" s="572" t="n"/>
      <c r="K9" s="568" t="inlineStr">
        <is>
          <t>Carton_Shuttle</t>
        </is>
      </c>
      <c r="L9" s="378" t="inlineStr">
        <is>
          <t>Lift 12 High - two Crates - Quardon 2 Way</t>
        </is>
      </c>
      <c r="M9" s="378" t="inlineStr">
        <is>
          <t>Bought Out</t>
        </is>
      </c>
      <c r="N9" s="378" t="inlineStr">
        <is>
          <t>Number</t>
        </is>
      </c>
      <c r="O9" s="364">
        <f>IF(B33&lt;=16,SUM(H23:H24),0)</f>
        <v/>
      </c>
    </row>
    <row r="10" ht="16" customHeight="1" s="516" thickBot="1">
      <c r="G10" s="350" t="inlineStr">
        <is>
          <t>Effective totes or cartons per Hr per Quadron</t>
        </is>
      </c>
      <c r="H10" s="569">
        <f>SUM(B7:B8)/H9</f>
        <v/>
      </c>
      <c r="I10" s="570" t="n"/>
      <c r="K10" s="568" t="inlineStr">
        <is>
          <t>Carton_Shuttle</t>
        </is>
      </c>
      <c r="L10" s="378" t="inlineStr">
        <is>
          <t>Lift 16 High - two Crates - Quardon 2 Way</t>
        </is>
      </c>
      <c r="M10" s="378" t="inlineStr">
        <is>
          <t>Bought Out</t>
        </is>
      </c>
      <c r="N10" s="378" t="inlineStr">
        <is>
          <t>Number</t>
        </is>
      </c>
      <c r="O10" s="364">
        <f>IF(B33&gt;12,SUM(H23:H24),0)</f>
        <v/>
      </c>
    </row>
    <row r="11" ht="19" customHeight="1" s="516">
      <c r="A11" s="571" t="inlineStr">
        <is>
          <t>Reshuffling parameters</t>
        </is>
      </c>
      <c r="B11" s="572" t="n"/>
      <c r="K11" s="568" t="inlineStr">
        <is>
          <t>Carton_Shuttle</t>
        </is>
      </c>
      <c r="L11" s="378" t="inlineStr">
        <is>
          <t>Buffer Conveyer (per aisle Per level)- 2 Way</t>
        </is>
      </c>
      <c r="M11" s="378" t="inlineStr">
        <is>
          <t>India Mfg</t>
        </is>
      </c>
      <c r="N11" s="378" t="inlineStr">
        <is>
          <t>No of aisle</t>
        </is>
      </c>
      <c r="O11" s="364">
        <f>O7*H31</f>
        <v/>
      </c>
    </row>
    <row r="12" ht="17" customHeight="1" s="516" thickBot="1">
      <c r="A12" s="475" t="inlineStr">
        <is>
          <t>Reshuffling required?</t>
        </is>
      </c>
      <c r="B12" s="476" t="inlineStr">
        <is>
          <t>No</t>
        </is>
      </c>
      <c r="G12" s="342" t="inlineStr">
        <is>
          <t>Output  based on Storage requirement</t>
        </is>
      </c>
      <c r="K12" s="568" t="inlineStr">
        <is>
          <t>Carton_Shuttle</t>
        </is>
      </c>
      <c r="L12" s="378" t="inlineStr">
        <is>
          <t>Racks - Quardon 2 Way</t>
        </is>
      </c>
      <c r="M12" s="378" t="inlineStr">
        <is>
          <t>Bought Out</t>
        </is>
      </c>
      <c r="N12" s="378" t="inlineStr">
        <is>
          <t>No of bin position</t>
        </is>
      </c>
      <c r="O12" s="568">
        <f>H13</f>
        <v/>
      </c>
    </row>
    <row r="13">
      <c r="A13" s="269" t="inlineStr">
        <is>
          <t>Tote or carton posns in depth</t>
        </is>
      </c>
      <c r="B13" s="485" t="n">
        <v>4</v>
      </c>
      <c r="C13" t="inlineStr">
        <is>
          <t>To be less than 10</t>
        </is>
      </c>
      <c r="G13" s="361" t="inlineStr">
        <is>
          <t>Max totes that can be stored</t>
        </is>
      </c>
      <c r="H13" s="363">
        <f>'Quadron Area'!B3</f>
        <v/>
      </c>
      <c r="I13" s="470" t="n"/>
      <c r="K13" s="568" t="inlineStr">
        <is>
          <t>Fence</t>
        </is>
      </c>
      <c r="L13" s="378" t="inlineStr">
        <is>
          <t>Fence for carton shuttle system</t>
        </is>
      </c>
      <c r="M13" s="568" t="inlineStr">
        <is>
          <t>Bought Out</t>
        </is>
      </c>
      <c r="N13" s="568" t="inlineStr">
        <is>
          <t>Mtr</t>
        </is>
      </c>
      <c r="O13" s="364">
        <f>((B28+B28+(B29-H16)+(B29-H16)))*1.2</f>
        <v/>
      </c>
    </row>
    <row r="14">
      <c r="A14" s="460" t="inlineStr">
        <is>
          <t>SKUs per lane</t>
        </is>
      </c>
      <c r="B14" s="486" t="n">
        <v>2</v>
      </c>
      <c r="G14" s="348" t="inlineStr">
        <is>
          <t>Remaining area m^2</t>
        </is>
      </c>
      <c r="H14" s="359">
        <f>'Quadron Area'!B4</f>
        <v/>
      </c>
      <c r="I14" s="470" t="n"/>
      <c r="K14" s="568" t="inlineStr">
        <is>
          <t>Safety doors</t>
        </is>
      </c>
      <c r="L14" s="378" t="inlineStr">
        <is>
          <t>Safety doors for carton shuttle</t>
        </is>
      </c>
      <c r="M14" s="568" t="inlineStr">
        <is>
          <t>Bought Out</t>
        </is>
      </c>
      <c r="N14" s="568" t="inlineStr">
        <is>
          <t>Number</t>
        </is>
      </c>
      <c r="O14" s="364">
        <f>ROUNDUP(O7/H32,0)</f>
        <v/>
      </c>
    </row>
    <row r="15">
      <c r="A15" s="348" t="inlineStr">
        <is>
          <t>% Outbound throughput that requires reshuffling</t>
        </is>
      </c>
      <c r="B15" s="474">
        <f>100%</f>
        <v/>
      </c>
      <c r="G15" s="348" t="inlineStr">
        <is>
          <t>Length of remaining area M</t>
        </is>
      </c>
      <c r="H15" s="360">
        <f>'Quadron Area'!B5</f>
        <v/>
      </c>
      <c r="I15" s="478" t="n"/>
      <c r="K15" s="340" t="inlineStr">
        <is>
          <t>ROLLER_CONVEYOR</t>
        </is>
      </c>
      <c r="L15" s="378" t="inlineStr">
        <is>
          <t>ACCUMULATION - BF-660mm Zone Length 900 MM</t>
        </is>
      </c>
      <c r="M15" s="338" t="inlineStr">
        <is>
          <t>India Mfg</t>
        </is>
      </c>
      <c r="N15" s="340" t="inlineStr">
        <is>
          <t>Mtr</t>
        </is>
      </c>
      <c r="O15" s="364">
        <f>H28*H29*O9</f>
        <v/>
      </c>
    </row>
    <row r="16">
      <c r="A16" s="348" t="inlineStr">
        <is>
          <t>Totes or cartons per SKU per lane</t>
        </is>
      </c>
      <c r="B16" s="487">
        <f>ROUNDUP(B13/B14,0)</f>
        <v/>
      </c>
      <c r="G16" s="348" t="inlineStr">
        <is>
          <t>Width of remaining area M</t>
        </is>
      </c>
      <c r="H16" s="483">
        <f>'Quadron Area'!B6</f>
        <v/>
      </c>
      <c r="I16" s="478" t="n"/>
      <c r="K16" s="340" t="inlineStr">
        <is>
          <t>POP_UP_Divertor</t>
        </is>
      </c>
      <c r="L16" s="378" t="inlineStr">
        <is>
          <t>Itoh Denki Case pop-up: Type B (460MM) - F-RAT</t>
        </is>
      </c>
      <c r="M16" s="340" t="inlineStr">
        <is>
          <t>Bought Out</t>
        </is>
      </c>
      <c r="N16" s="338" t="inlineStr">
        <is>
          <t>Number</t>
        </is>
      </c>
      <c r="O16" s="364">
        <f>O9</f>
        <v/>
      </c>
    </row>
    <row r="17">
      <c r="A17" s="348" t="n"/>
      <c r="B17" s="353" t="n"/>
      <c r="G17" s="348" t="inlineStr">
        <is>
          <t>Inbound Lift utilization</t>
        </is>
      </c>
      <c r="H17" s="368">
        <f>'Quadron Area'!E25</f>
        <v/>
      </c>
      <c r="I17" s="479" t="n"/>
    </row>
    <row r="18" ht="16" customHeight="1" s="516" thickBot="1">
      <c r="A18" s="462" t="inlineStr">
        <is>
          <t>Total totes or cartons to reshuffle</t>
        </is>
      </c>
      <c r="B18" s="463">
        <f>SUM(F44:F53)</f>
        <v/>
      </c>
      <c r="G18" s="348" t="inlineStr">
        <is>
          <t>Outbound Lift utilization</t>
        </is>
      </c>
      <c r="H18" s="368">
        <f>'Quadron Area'!E26</f>
        <v/>
      </c>
      <c r="I18" s="479" t="n"/>
      <c r="K18" s="82" t="inlineStr">
        <is>
          <t>Calculations and outcomes of this sheet are valid for following conditions</t>
        </is>
      </c>
    </row>
    <row r="19">
      <c r="G19" s="348" t="inlineStr">
        <is>
          <t>No. of carton shuttle tracks</t>
        </is>
      </c>
      <c r="H19" s="369">
        <f>'Quadron Area'!E27</f>
        <v/>
      </c>
      <c r="I19" s="479" t="n"/>
      <c r="K19" s="568" t="n">
        <v>1</v>
      </c>
      <c r="L19" s="568" t="inlineStr">
        <is>
          <t>Tote weight dosent exceeds 30 KG</t>
        </is>
      </c>
      <c r="M19" s="552" t="n"/>
      <c r="N19" s="552" t="n"/>
      <c r="O19" s="553" t="n"/>
    </row>
    <row r="20" ht="17" customHeight="1" s="516" thickBot="1">
      <c r="A20" s="342" t="inlineStr">
        <is>
          <t>Storage requirement</t>
        </is>
      </c>
      <c r="C20" s="99" t="inlineStr">
        <is>
          <t>Input values either in metrics or imperial only</t>
        </is>
      </c>
      <c r="G20" s="348" t="inlineStr">
        <is>
          <t>No. of bays per track on one side</t>
        </is>
      </c>
      <c r="H20" s="369">
        <f>'Quadron Area'!E28</f>
        <v/>
      </c>
      <c r="I20" s="479" t="n"/>
      <c r="K20" s="568" t="n">
        <v>2</v>
      </c>
      <c r="L20" s="568" t="inlineStr">
        <is>
          <t>Storage system dimensions are for symmetrical rectangular layouts without pick tunnel</t>
        </is>
      </c>
      <c r="M20" s="552" t="n"/>
      <c r="N20" s="552" t="n"/>
      <c r="O20" s="553" t="n"/>
    </row>
    <row r="21">
      <c r="A21" s="261" t="inlineStr">
        <is>
          <t>Tote inputs</t>
        </is>
      </c>
      <c r="B21" s="262" t="inlineStr">
        <is>
          <t>Value</t>
        </is>
      </c>
      <c r="C21" s="263" t="inlineStr">
        <is>
          <t>UOM</t>
        </is>
      </c>
      <c r="D21" s="264" t="inlineStr">
        <is>
          <t>Value</t>
        </is>
      </c>
      <c r="E21" s="265" t="inlineStr">
        <is>
          <t>UOM</t>
        </is>
      </c>
      <c r="G21" s="348" t="inlineStr">
        <is>
          <t>No. of tracks required by throughput</t>
        </is>
      </c>
      <c r="H21" s="370">
        <f>'Quadron Area'!E29</f>
        <v/>
      </c>
      <c r="I21" s="479" t="n"/>
      <c r="K21" s="568" t="n">
        <v>3</v>
      </c>
      <c r="L21" s="568" t="inlineStr">
        <is>
          <t>Picking through GTP stations are not required</t>
        </is>
      </c>
      <c r="M21" s="552" t="n"/>
      <c r="N21" s="552" t="n"/>
      <c r="O21" s="553" t="n"/>
    </row>
    <row r="22">
      <c r="A22" s="269" t="inlineStr">
        <is>
          <t>Tote depth (in the forking direction)</t>
        </is>
      </c>
      <c r="B22" s="277" t="n"/>
      <c r="C22" s="271" t="inlineStr">
        <is>
          <t>mm</t>
        </is>
      </c>
      <c r="D22" s="272" t="n">
        <v>0</v>
      </c>
      <c r="E22" s="273" t="inlineStr">
        <is>
          <t>Ft</t>
        </is>
      </c>
      <c r="G22" s="348" t="inlineStr">
        <is>
          <t>Levels in storage</t>
        </is>
      </c>
      <c r="H22" s="370">
        <f>'Quadron Area'!E30</f>
        <v/>
      </c>
      <c r="I22" s="479" t="n"/>
      <c r="K22" s="568" t="n">
        <v>4</v>
      </c>
      <c r="L22" s="568" t="inlineStr">
        <is>
          <t>Only storage and retrival of full totes considered in system</t>
        </is>
      </c>
      <c r="M22" s="552" t="n"/>
      <c r="N22" s="552" t="n"/>
      <c r="O22" s="553" t="n"/>
    </row>
    <row r="23">
      <c r="A23" s="269" t="inlineStr">
        <is>
          <t>Tote width (in the crane travel direction)</t>
        </is>
      </c>
      <c r="B23" s="277" t="n"/>
      <c r="C23" s="271" t="inlineStr">
        <is>
          <t>mm</t>
        </is>
      </c>
      <c r="D23" s="272" t="n">
        <v>0</v>
      </c>
      <c r="E23" s="273" t="inlineStr">
        <is>
          <t>Ft</t>
        </is>
      </c>
      <c r="G23" s="348" t="inlineStr">
        <is>
          <t># lifts required for In (per track)</t>
        </is>
      </c>
      <c r="H23" s="370">
        <f>ROUNDUP(B7/B37,0)</f>
        <v/>
      </c>
      <c r="K23" s="568" t="n">
        <v>5</v>
      </c>
      <c r="L23" s="568" t="inlineStr">
        <is>
          <t>Only one size of tote is handled</t>
        </is>
      </c>
      <c r="M23" s="552" t="n"/>
      <c r="N23" s="552" t="n"/>
      <c r="O23" s="553" t="n"/>
    </row>
    <row r="24" ht="16" customHeight="1" s="516" thickBot="1">
      <c r="A24" s="278" t="inlineStr">
        <is>
          <t>Tote height</t>
        </is>
      </c>
      <c r="B24" s="344" t="n"/>
      <c r="C24" s="279" t="inlineStr">
        <is>
          <t>mm</t>
        </is>
      </c>
      <c r="D24" s="280" t="n">
        <v>0</v>
      </c>
      <c r="E24" s="281" t="inlineStr">
        <is>
          <t>Ft</t>
        </is>
      </c>
      <c r="G24" s="350" t="inlineStr">
        <is>
          <t># lifts required for Out (per track)</t>
        </is>
      </c>
      <c r="H24" s="371">
        <f>ROUNDUP(B8/B37,0)</f>
        <v/>
      </c>
      <c r="K24" s="568" t="n">
        <v>6</v>
      </c>
      <c r="L24" s="568" t="inlineStr">
        <is>
          <t>Number of aisles in Quadron storage are defined by storage, but number of Quadrons and aisle equipment are defined by throughput</t>
        </is>
      </c>
      <c r="M24" s="552" t="n"/>
      <c r="N24" s="552" t="n"/>
      <c r="O24" s="553" t="n"/>
    </row>
    <row r="25" ht="16" customHeight="1" s="516" thickBot="1"/>
    <row r="26">
      <c r="A26" s="261" t="inlineStr">
        <is>
          <t>Field Inputs</t>
        </is>
      </c>
      <c r="B26" s="262" t="inlineStr">
        <is>
          <t>Value</t>
        </is>
      </c>
      <c r="C26" s="263" t="inlineStr">
        <is>
          <t>UOM</t>
        </is>
      </c>
      <c r="D26" s="264" t="inlineStr">
        <is>
          <t>Value</t>
        </is>
      </c>
      <c r="E26" s="265" t="inlineStr">
        <is>
          <t>UOM</t>
        </is>
      </c>
      <c r="I26" s="471" t="n"/>
    </row>
    <row r="27">
      <c r="A27" s="269" t="inlineStr">
        <is>
          <t>Clear height (After Lightings, sprinklers etc.)</t>
        </is>
      </c>
      <c r="B27" s="277" t="n"/>
      <c r="C27" s="271" t="inlineStr">
        <is>
          <t>M</t>
        </is>
      </c>
      <c r="D27" s="272" t="n">
        <v>0</v>
      </c>
      <c r="E27" s="273" t="inlineStr">
        <is>
          <t>Ft</t>
        </is>
      </c>
      <c r="G27" s="341" t="inlineStr">
        <is>
          <t>Additional considerations in BOM</t>
        </is>
      </c>
      <c r="I27" s="480" t="n"/>
    </row>
    <row r="28">
      <c r="A28" s="269" t="inlineStr">
        <is>
          <t>Length mm</t>
        </is>
      </c>
      <c r="B28" s="277" t="n"/>
      <c r="C28" s="271" t="inlineStr">
        <is>
          <t>M</t>
        </is>
      </c>
      <c r="D28" s="272" t="n">
        <v>0</v>
      </c>
      <c r="E28" s="273" t="inlineStr">
        <is>
          <t>Ft</t>
        </is>
      </c>
      <c r="G28" s="568" t="inlineStr">
        <is>
          <t>Infeed and Outfeed conveyor per aisle to carton lift in M</t>
        </is>
      </c>
      <c r="H28" s="364" t="n">
        <v>2.4</v>
      </c>
      <c r="I28" s="480" t="n"/>
    </row>
    <row r="29" ht="16" customHeight="1" s="516" thickBot="1">
      <c r="A29" s="278" t="inlineStr">
        <is>
          <t>Width mm</t>
        </is>
      </c>
      <c r="B29" s="344" t="n"/>
      <c r="C29" s="279" t="inlineStr">
        <is>
          <t>M</t>
        </is>
      </c>
      <c r="D29" s="280" t="n">
        <v>0</v>
      </c>
      <c r="E29" s="281" t="inlineStr">
        <is>
          <t>Ft</t>
        </is>
      </c>
      <c r="G29" s="568" t="inlineStr">
        <is>
          <t>Infeed and Outfeed conveyor per aisle to carton lift in count</t>
        </is>
      </c>
      <c r="H29" s="568" t="n">
        <v>2</v>
      </c>
      <c r="I29" s="480" t="n"/>
    </row>
    <row r="30" ht="16" customHeight="1" s="516" thickBot="1">
      <c r="G30" s="568" t="inlineStr">
        <is>
          <t>Popups per aisle</t>
        </is>
      </c>
      <c r="H30" s="568" t="n">
        <v>2</v>
      </c>
      <c r="I30" s="480" t="n"/>
    </row>
    <row r="31">
      <c r="A31" s="261" t="inlineStr">
        <is>
          <t>Configuration Inputs</t>
        </is>
      </c>
      <c r="B31" s="263" t="inlineStr">
        <is>
          <t>Value</t>
        </is>
      </c>
      <c r="C31" s="265" t="inlineStr">
        <is>
          <t>UOM</t>
        </is>
      </c>
      <c r="E31" s="258" t="n"/>
      <c r="G31" s="568" t="inlineStr">
        <is>
          <t>Buffer conveyors per level in count</t>
        </is>
      </c>
      <c r="H31" s="568" t="n">
        <v>2</v>
      </c>
      <c r="I31" s="471" t="n"/>
    </row>
    <row r="32">
      <c r="A32" s="269" t="inlineStr">
        <is>
          <t>Deep on the left side of track</t>
        </is>
      </c>
      <c r="B32" s="324" t="n"/>
      <c r="C32" s="273" t="inlineStr">
        <is>
          <t>Nos</t>
        </is>
      </c>
      <c r="E32" s="258" t="n"/>
      <c r="G32" s="568" t="inlineStr">
        <is>
          <t>Safety doors for how many levels</t>
        </is>
      </c>
      <c r="H32" s="568" t="n">
        <v>5</v>
      </c>
    </row>
    <row r="33">
      <c r="A33" s="269" t="inlineStr">
        <is>
          <t>Deep on the right side of track</t>
        </is>
      </c>
      <c r="B33" s="324" t="n"/>
      <c r="C33" s="273" t="inlineStr">
        <is>
          <t>Nos</t>
        </is>
      </c>
      <c r="E33" s="258" t="n"/>
      <c r="G33" s="568" t="inlineStr">
        <is>
          <t>Additional busbar per track</t>
        </is>
      </c>
      <c r="H33" s="364" t="n">
        <v>1.4</v>
      </c>
    </row>
    <row r="34" ht="16" customHeight="1" s="516" thickBot="1">
      <c r="A34" s="278" t="inlineStr">
        <is>
          <t>Number of totes in one bay one level</t>
        </is>
      </c>
      <c r="B34" s="326" t="n"/>
      <c r="C34" s="281" t="inlineStr">
        <is>
          <t>Nos</t>
        </is>
      </c>
      <c r="E34" s="258" t="n"/>
    </row>
    <row r="35" ht="16" customHeight="1" s="516" thickBot="1">
      <c r="D35" s="258" t="n"/>
      <c r="E35" s="258" t="n"/>
    </row>
    <row r="36" ht="16" customHeight="1" s="516" thickBot="1">
      <c r="A36" s="261" t="inlineStr">
        <is>
          <t xml:space="preserve">Throughput </t>
        </is>
      </c>
      <c r="B36" s="263" t="inlineStr">
        <is>
          <t>Value</t>
        </is>
      </c>
      <c r="C36" s="265" t="inlineStr">
        <is>
          <t>UOM</t>
        </is>
      </c>
    </row>
    <row r="37" ht="17" customHeight="1" s="516" thickBot="1">
      <c r="A37" s="325" t="inlineStr">
        <is>
          <t>Max Lift productivity (Totes per Hr) After all utilizations</t>
        </is>
      </c>
      <c r="B37" s="331" t="n"/>
      <c r="C37" s="574">
        <f>'Quadron Area'!F22</f>
        <v/>
      </c>
      <c r="D37" s="575" t="n"/>
      <c r="E37" s="576" t="n"/>
    </row>
    <row r="42">
      <c r="A42" s="477" t="inlineStr">
        <is>
          <t>Calculations for reshuffling throughput</t>
        </is>
      </c>
      <c r="F42" s="341" t="n"/>
    </row>
    <row r="43" ht="96" customHeight="1" s="516">
      <c r="A43" s="464" t="inlineStr">
        <is>
          <t>Depth</t>
        </is>
      </c>
      <c r="B43" s="464" t="inlineStr">
        <is>
          <t>Multiplication factor (Extra totes or cases to be handled pick one tote or case in respective depth)</t>
        </is>
      </c>
      <c r="C43" s="464" t="inlineStr">
        <is>
          <t>% Picks</t>
        </is>
      </c>
      <c r="D43" s="464" t="inlineStr">
        <is>
          <t>Throughput split</t>
        </is>
      </c>
      <c r="E43" s="464" t="inlineStr">
        <is>
          <t>Totes or cartons reshuffled to pick req Tote or carton</t>
        </is>
      </c>
      <c r="F43" s="464" t="inlineStr">
        <is>
          <t>Total totes or cartons to reshuffle</t>
        </is>
      </c>
    </row>
    <row r="44">
      <c r="A44" s="39" t="n">
        <v>1</v>
      </c>
      <c r="B44" s="42">
        <f>IF(IF(A44&lt;=$B$14,A44,0)-1&lt;0,0,IF(A44&lt;=$B$14,A44,0)-1)</f>
        <v/>
      </c>
      <c r="C44" s="77">
        <f>1/(COUNTIF($B$44:$B$53,"&gt;="&amp;1)+1)</f>
        <v/>
      </c>
      <c r="D44" s="39">
        <f>C44*$B$15*$B$8</f>
        <v/>
      </c>
      <c r="E44" s="25">
        <f>B44*$B$16</f>
        <v/>
      </c>
      <c r="F44" s="39">
        <f>E44*D44</f>
        <v/>
      </c>
    </row>
    <row r="45">
      <c r="A45" s="39" t="n">
        <v>2</v>
      </c>
      <c r="B45" s="42">
        <f>IF(IF(A45&lt;=$B$14,A45,0)-1&lt;0,0,IF(A45&lt;=$B$14,A45,0)-1)</f>
        <v/>
      </c>
      <c r="C45" s="77">
        <f>1/(COUNTIF($B$44:$B$53,"&gt;="&amp;1)+1)</f>
        <v/>
      </c>
      <c r="D45" s="39">
        <f>IF(B45=0,0,C45*$B$15*$B$8)</f>
        <v/>
      </c>
      <c r="E45" s="25">
        <f>B45*$B$16</f>
        <v/>
      </c>
      <c r="F45" s="39">
        <f>E45*D45</f>
        <v/>
      </c>
      <c r="G45" s="488">
        <f>1.33*3</f>
        <v/>
      </c>
    </row>
    <row r="46">
      <c r="A46" s="39" t="n">
        <v>3</v>
      </c>
      <c r="B46" s="42">
        <f>IF(IF(A46&lt;=$B$14,A46,0)-1&lt;0,0,IF(A46&lt;=$B$14,A46,0)-1)</f>
        <v/>
      </c>
      <c r="C46" s="77">
        <f>1/(COUNTIF($B$44:$B$53,"&gt;="&amp;1)+1)</f>
        <v/>
      </c>
      <c r="D46" s="39">
        <f>IF(B46=0,0,C46*$B$15*$B$8)</f>
        <v/>
      </c>
      <c r="E46" s="25">
        <f>B46*$B$16</f>
        <v/>
      </c>
      <c r="F46" s="39">
        <f>E46*D46</f>
        <v/>
      </c>
    </row>
    <row r="47">
      <c r="A47" s="39" t="n">
        <v>4</v>
      </c>
      <c r="B47" s="42">
        <f>IF(IF(A47&lt;=$B$14,A47,0)-1&lt;0,0,IF(A47&lt;=$B$14,A47,0)-1)</f>
        <v/>
      </c>
      <c r="C47" s="77">
        <f>1/(COUNTIF($B$44:$B$53,"&gt;="&amp;1)+1)</f>
        <v/>
      </c>
      <c r="D47" s="39">
        <f>IF(B47=0,0,C47*$B$15*$B$8)</f>
        <v/>
      </c>
      <c r="E47" s="25">
        <f>B47*$B$16</f>
        <v/>
      </c>
      <c r="F47" s="39">
        <f>E47*D47</f>
        <v/>
      </c>
    </row>
    <row r="48">
      <c r="A48" s="39" t="n">
        <v>5</v>
      </c>
      <c r="B48" s="42">
        <f>IF(IF(A48&lt;=$B$14,A48,0)-1&lt;0,0,IF(A48&lt;=$B$14,A48,0)-1)</f>
        <v/>
      </c>
      <c r="C48" s="77">
        <f>1/(COUNTIF($B$44:$B$53,"&gt;="&amp;1)+1)</f>
        <v/>
      </c>
      <c r="D48" s="39">
        <f>IF(B48=0,0,C48*$B$15*$B$8)</f>
        <v/>
      </c>
      <c r="E48" s="25">
        <f>B48*$B$16</f>
        <v/>
      </c>
      <c r="F48" s="39">
        <f>E48*D48</f>
        <v/>
      </c>
    </row>
    <row r="49">
      <c r="A49" s="39" t="n">
        <v>6</v>
      </c>
      <c r="B49" s="42">
        <f>IF(IF(A49&lt;=$B$14,A49,0)-1&lt;0,0,IF(A49&lt;=$B$14,A49,0)-1)</f>
        <v/>
      </c>
      <c r="C49" s="77">
        <f>1/(COUNTIF($B$44:$B$53,"&gt;="&amp;1)+1)</f>
        <v/>
      </c>
      <c r="D49" s="39">
        <f>IF(B49=0,0,C49*$B$15*$B$8)</f>
        <v/>
      </c>
      <c r="E49" s="25">
        <f>B49*$B$16</f>
        <v/>
      </c>
      <c r="F49" s="39">
        <f>E49*D49</f>
        <v/>
      </c>
    </row>
    <row r="50">
      <c r="A50" s="39" t="n">
        <v>7</v>
      </c>
      <c r="B50" s="42">
        <f>IF(IF(A50&lt;=$B$14,A50,0)-1&lt;0,0,IF(A50&lt;=$B$14,A50,0)-1)</f>
        <v/>
      </c>
      <c r="C50" s="77">
        <f>1/(COUNTIF($B$44:$B$53,"&gt;="&amp;1)+1)</f>
        <v/>
      </c>
      <c r="D50" s="39">
        <f>IF(B50=0,0,C50*$B$15*$B$8)</f>
        <v/>
      </c>
      <c r="E50" s="25">
        <f>B50*$B$16</f>
        <v/>
      </c>
      <c r="F50" s="39">
        <f>E50*D50</f>
        <v/>
      </c>
    </row>
    <row r="51">
      <c r="A51" s="39" t="n">
        <v>8</v>
      </c>
      <c r="B51" s="42">
        <f>IF(IF(A51&lt;=$B$14,A51,0)-1&lt;0,0,IF(A51&lt;=$B$14,A51,0)-1)</f>
        <v/>
      </c>
      <c r="C51" s="77">
        <f>1/(COUNTIF($B$44:$B$53,"&gt;="&amp;1)+1)</f>
        <v/>
      </c>
      <c r="D51" s="39">
        <f>IF(B51=0,0,C51*$B$15*$B$8)</f>
        <v/>
      </c>
      <c r="E51" s="25">
        <f>B51*$B$16</f>
        <v/>
      </c>
      <c r="F51" s="39">
        <f>E51*D51</f>
        <v/>
      </c>
    </row>
    <row r="52">
      <c r="A52" s="39" t="n">
        <v>9</v>
      </c>
      <c r="B52" s="42">
        <f>IF(IF(A52&lt;=$B$14,A52,0)-1&lt;0,0,IF(A52&lt;=$B$14,A52,0)-1)</f>
        <v/>
      </c>
      <c r="C52" s="77">
        <f>1/(COUNTIF($B$44:$B$53,"&gt;="&amp;1)+1)</f>
        <v/>
      </c>
      <c r="D52" s="39">
        <f>IF(B52=0,0,C52*$B$15*$B$8)</f>
        <v/>
      </c>
      <c r="E52" s="25">
        <f>B52*$B$16</f>
        <v/>
      </c>
      <c r="F52" s="39">
        <f>E52*D52</f>
        <v/>
      </c>
    </row>
    <row r="53">
      <c r="A53" s="39" t="n">
        <v>10</v>
      </c>
      <c r="B53" s="42">
        <f>IF(IF(A53&lt;=$B$14,A53,0)-1&lt;0,0,IF(A53&lt;=$B$14,A53,0)-1)</f>
        <v/>
      </c>
      <c r="C53" s="77">
        <f>1/(COUNTIF($B$44:$B$53,"&gt;="&amp;1)+1)</f>
        <v/>
      </c>
      <c r="D53" s="39">
        <f>IF(B53=0,0,C53*$B$15*$B$8)</f>
        <v/>
      </c>
      <c r="E53" s="25">
        <f>B53*$B$16</f>
        <v/>
      </c>
      <c r="F53" s="39">
        <f>E53*D53</f>
        <v/>
      </c>
    </row>
  </sheetData>
  <sheetProtection selectLockedCells="0" selectUnlockedCells="0" algorithmName="SHA-512" sheet="1" objects="1" insertRows="1" insertHyperlinks="1" autoFilter="1" scenarios="1" formatColumns="1" deleteColumns="1" insertColumns="1" pivotTables="1" deleteRows="1" formatCells="1" saltValue="JgX4ZloTvffzuZgcG29imQ==" formatRows="1" sort="1" spinCount="100000" hashValue="f3Vfm7kU0sLE06J4TL3aIjDUkyxbGPdI5Z8hEMK5vTbBOwNQ80iCCofXCq7VIjJxsTJU25aFIMwKbBYGKweZJA=="/>
  <mergeCells count="10">
    <mergeCell ref="L19:O19"/>
    <mergeCell ref="L23:O23"/>
    <mergeCell ref="L22:O22"/>
    <mergeCell ref="C37:E37"/>
    <mergeCell ref="H10:I10"/>
    <mergeCell ref="A11:B11"/>
    <mergeCell ref="L21:O21"/>
    <mergeCell ref="L20:O20"/>
    <mergeCell ref="L24:O24"/>
    <mergeCell ref="H9:I9"/>
  </mergeCells>
  <conditionalFormatting sqref="B14">
    <cfRule type="cellIs" priority="1" operator="greaterThan" dxfId="0">
      <formula>$B$13</formula>
    </cfRule>
  </conditionalFormatting>
  <pageMargins left="0.7" right="0.7" top="0.75" bottom="0.75" header="0.3" footer="0.3"/>
  <pageSetup orientation="landscape" paperSize="9" verticalDpi="0"/>
  <drawing r:id="rId1"/>
</worksheet>
</file>

<file path=xl/worksheets/sheet24.xml><?xml version="1.0" encoding="utf-8"?>
<worksheet xmlns:r="http://schemas.openxmlformats.org/officeDocument/2006/relationships" xmlns="http://schemas.openxmlformats.org/spreadsheetml/2006/main">
  <sheetPr codeName="Sheet25">
    <tabColor rgb="FF00B0F0"/>
    <outlinePr summaryBelow="1" summaryRight="1"/>
    <pageSetUpPr/>
  </sheetPr>
  <dimension ref="A1:XEV58"/>
  <sheetViews>
    <sheetView showGridLines="0" topLeftCell="A3" zoomScale="70" zoomScaleNormal="70" workbookViewId="0">
      <selection activeCell="F35" sqref="F35"/>
    </sheetView>
  </sheetViews>
  <sheetFormatPr baseColWidth="10" defaultColWidth="8.6640625" defaultRowHeight="14"/>
  <cols>
    <col width="38.6640625" bestFit="1" customWidth="1" style="1" min="1" max="1"/>
    <col width="24.5" bestFit="1" customWidth="1" style="1" min="2" max="2"/>
    <col width="21.6640625" bestFit="1" customWidth="1" style="1" min="3" max="3"/>
    <col width="11.33203125" bestFit="1" customWidth="1" style="1" min="4" max="4"/>
    <col width="11.6640625" bestFit="1" customWidth="1" style="1" min="5" max="5"/>
    <col width="20.1640625" bestFit="1" customWidth="1" style="1" min="6" max="6"/>
    <col width="8.6640625" customWidth="1" style="147" min="7" max="7"/>
    <col width="14.33203125" customWidth="1" style="153" min="8" max="8"/>
    <col width="33" customWidth="1" style="218" min="9" max="9"/>
    <col width="44.83203125" customWidth="1" style="218" min="10" max="10"/>
    <col width="19.83203125" customWidth="1" style="153" min="11" max="11"/>
    <col width="14.33203125" customWidth="1" style="153" min="12" max="12"/>
    <col width="11.6640625" customWidth="1" style="153" min="13" max="13"/>
    <col width="9.33203125" customWidth="1" style="218" min="14" max="14"/>
    <col width="10.6640625" customWidth="1" style="153" min="15" max="15"/>
    <col width="12.5" customWidth="1" style="153" min="16" max="16"/>
    <col width="9.5" customWidth="1" style="153" min="17" max="17"/>
    <col width="11.6640625" customWidth="1" style="153" min="18" max="18"/>
    <col width="11.5" customWidth="1" style="153" min="19" max="19"/>
    <col width="8.6640625" customWidth="1" style="153" min="20" max="20"/>
    <col width="11.33203125" customWidth="1" style="153" min="21" max="21"/>
    <col width="8.6640625" customWidth="1" style="153" min="22" max="22"/>
    <col width="9.33203125" customWidth="1" style="218" min="23" max="23"/>
    <col width="14.33203125" customWidth="1" style="153" min="24" max="24"/>
    <col width="8.6640625" customWidth="1" style="153" min="25" max="26"/>
    <col width="24.6640625" customWidth="1" style="218" min="27" max="27"/>
    <col width="27.6640625" customWidth="1" style="218" min="28" max="28"/>
    <col width="8.6640625" customWidth="1" style="153" min="29" max="31"/>
    <col width="8.6640625" customWidth="1" style="218" min="32" max="32"/>
    <col width="8.6640625" customWidth="1" style="153" min="33" max="40"/>
    <col width="8.6640625" customWidth="1" style="218" min="41" max="41"/>
    <col width="8.6640625" customWidth="1" style="153" min="42" max="44"/>
    <col width="24.6640625" customWidth="1" style="218" min="45" max="45"/>
    <col width="32.6640625" customWidth="1" style="218" min="46" max="46"/>
    <col width="8.6640625" customWidth="1" style="153" min="47" max="49"/>
    <col width="8.6640625" customWidth="1" style="218" min="50" max="50"/>
    <col width="8.6640625" customWidth="1" style="153" min="51" max="58"/>
    <col width="8.6640625" customWidth="1" style="218" min="59" max="59"/>
    <col width="8.6640625" customWidth="1" style="153" min="60" max="62"/>
    <col width="24.6640625" customWidth="1" style="218" min="63" max="63"/>
    <col width="23.83203125" customWidth="1" style="218" min="64" max="64"/>
    <col width="8.6640625" customWidth="1" style="153" min="65" max="67"/>
    <col width="8.6640625" customWidth="1" style="218" min="68" max="68"/>
    <col width="8.6640625" customWidth="1" style="153" min="69" max="76"/>
    <col width="8.6640625" customWidth="1" style="218" min="77" max="77"/>
    <col width="8.6640625" customWidth="1" style="153" min="78" max="78"/>
    <col width="8.6640625" customWidth="1" style="148" min="79" max="80"/>
    <col width="31.33203125" bestFit="1" customWidth="1" style="148" min="81" max="81"/>
    <col width="54.33203125" bestFit="1" customWidth="1" style="148" min="82" max="82"/>
    <col width="10.5" bestFit="1" customWidth="1" style="147" min="83" max="83"/>
    <col width="8.6640625" customWidth="1" style="1" min="84" max="84"/>
    <col width="8.6640625" customWidth="1" style="1" min="85" max="16384"/>
  </cols>
  <sheetData>
    <row r="1" ht="47" customHeight="1" s="516">
      <c r="B1" s="1">
        <f>'Master List'!$F$2</f>
        <v/>
      </c>
      <c r="I1" s="153" t="n"/>
      <c r="J1" s="214" t="n"/>
      <c r="K1" s="214" t="n"/>
      <c r="L1" s="214" t="n"/>
      <c r="M1" s="214" t="n"/>
      <c r="N1" s="214" t="n"/>
      <c r="O1" s="214" t="n"/>
      <c r="P1" s="214" t="n"/>
      <c r="Q1" s="214" t="n"/>
      <c r="R1" s="214" t="n"/>
      <c r="S1" s="214" t="n"/>
      <c r="T1" s="214" t="n"/>
      <c r="U1" s="214" t="n"/>
      <c r="V1" s="214" t="n"/>
      <c r="W1" s="153" t="n"/>
      <c r="Y1" s="214" t="n"/>
      <c r="Z1" s="214" t="n"/>
      <c r="AA1" s="214" t="n"/>
      <c r="AB1" s="214" t="n"/>
      <c r="AC1" s="214" t="n"/>
      <c r="AD1" s="214" t="n"/>
      <c r="AE1" s="214" t="n"/>
      <c r="AF1" s="214" t="n"/>
      <c r="AG1" s="214" t="n"/>
      <c r="AH1" s="214" t="n"/>
      <c r="AI1" s="214" t="n"/>
      <c r="AJ1" s="214" t="n"/>
      <c r="AK1" s="214" t="n"/>
      <c r="AL1" s="214" t="n"/>
      <c r="AM1" s="214" t="n"/>
      <c r="AN1" s="214" t="n"/>
      <c r="AO1" s="214" t="n"/>
      <c r="AP1" s="214" t="n"/>
      <c r="AQ1" s="214" t="n"/>
      <c r="AR1" s="214" t="n"/>
      <c r="AS1" s="214" t="n"/>
      <c r="AT1" s="214" t="n"/>
      <c r="AU1" s="214" t="n"/>
      <c r="AV1" s="214" t="n"/>
      <c r="AW1" s="214" t="n"/>
      <c r="AX1" s="214" t="n"/>
      <c r="AY1" s="214" t="n"/>
      <c r="AZ1" s="214" t="n"/>
      <c r="BA1" s="214" t="n"/>
      <c r="BB1" s="214" t="n"/>
      <c r="BC1" s="214" t="n"/>
      <c r="BD1" s="214" t="n"/>
      <c r="BE1" s="214" t="n"/>
      <c r="BF1" s="214" t="n"/>
      <c r="BG1" s="214" t="n"/>
      <c r="BH1" s="214" t="n"/>
      <c r="BI1" s="214" t="n"/>
      <c r="BJ1" s="214" t="n"/>
      <c r="BK1" s="214" t="n"/>
      <c r="BL1" s="214" t="n"/>
      <c r="BM1" s="214" t="n"/>
      <c r="BN1" s="214" t="n"/>
      <c r="BO1" s="214" t="n"/>
      <c r="BP1" s="214" t="n"/>
      <c r="BQ1" s="214" t="n"/>
      <c r="BR1" s="214" t="n"/>
      <c r="BS1" s="214" t="n"/>
      <c r="BT1" s="214" t="n"/>
      <c r="BU1" s="214" t="n"/>
      <c r="BV1" s="214" t="n"/>
      <c r="BW1" s="214" t="n"/>
      <c r="BX1" s="214" t="n"/>
      <c r="BY1" s="214" t="n"/>
      <c r="BZ1" s="214" t="n"/>
      <c r="CA1" s="149" t="n"/>
      <c r="CB1" s="149" t="n"/>
      <c r="CC1" s="149" t="n"/>
      <c r="CD1" s="149" t="n"/>
      <c r="CE1" s="150" t="n"/>
      <c r="CF1" s="24" t="n"/>
      <c r="CG1" s="24" t="n"/>
      <c r="CH1" s="24" t="n"/>
      <c r="CI1" s="24" t="n"/>
      <c r="CJ1" s="24" t="n"/>
      <c r="CK1" s="24" t="n"/>
      <c r="CL1" s="24" t="n"/>
      <c r="CM1" s="24" t="n"/>
      <c r="CN1" s="24" t="n"/>
      <c r="CO1" s="24" t="n"/>
      <c r="CP1" s="24" t="n"/>
      <c r="CQ1" s="24" t="n"/>
      <c r="CR1" s="24" t="n"/>
      <c r="CS1" s="24" t="n"/>
      <c r="CT1" s="24" t="n"/>
      <c r="CU1" s="24" t="n"/>
      <c r="CV1" s="24" t="n"/>
      <c r="CW1" s="24" t="n"/>
      <c r="CX1" s="24" t="n"/>
      <c r="CY1" s="24" t="n"/>
      <c r="CZ1" s="24" t="n"/>
      <c r="DA1" s="24" t="n"/>
      <c r="DB1" s="24" t="n"/>
      <c r="DC1" s="24" t="n"/>
      <c r="DD1" s="24" t="n"/>
      <c r="DE1" s="24" t="n"/>
      <c r="DF1" s="24" t="n"/>
      <c r="DG1" s="24" t="n"/>
      <c r="DH1" s="24" t="n"/>
      <c r="DI1" s="24" t="n"/>
      <c r="DJ1" s="24" t="n"/>
      <c r="DK1" s="24" t="n"/>
      <c r="DL1" s="24" t="n"/>
      <c r="DM1" s="24" t="n"/>
      <c r="DN1" s="24" t="n"/>
      <c r="DO1" s="24" t="n"/>
      <c r="DP1" s="24" t="n"/>
      <c r="DQ1" s="24" t="n"/>
      <c r="DR1" s="24" t="n"/>
      <c r="DS1" s="24" t="n"/>
      <c r="DT1" s="24" t="n"/>
      <c r="DU1" s="24" t="n"/>
      <c r="DV1" s="24" t="n"/>
      <c r="DW1" s="24" t="n"/>
      <c r="DX1" s="24" t="n"/>
      <c r="DY1" s="24" t="n"/>
      <c r="DZ1" s="24" t="n"/>
      <c r="EA1" s="24" t="n"/>
      <c r="EB1" s="24" t="n"/>
      <c r="EC1" s="24" t="n"/>
      <c r="ED1" s="24" t="n"/>
      <c r="EE1" s="24" t="n"/>
      <c r="EF1" s="24" t="n"/>
      <c r="EG1" s="24" t="n"/>
      <c r="EH1" s="24" t="n"/>
      <c r="EI1" s="24" t="n"/>
      <c r="EJ1" s="24" t="n"/>
      <c r="EK1" s="24" t="n"/>
      <c r="EL1" s="24" t="n"/>
      <c r="EM1" s="24" t="n"/>
      <c r="EN1" s="24" t="n"/>
      <c r="EO1" s="24" t="n"/>
      <c r="EP1" s="24" t="n"/>
      <c r="EQ1" s="24" t="n"/>
      <c r="ER1" s="24" t="n"/>
      <c r="ES1" s="24" t="n"/>
      <c r="ET1" s="24" t="n"/>
      <c r="EU1" s="24" t="n"/>
      <c r="EV1" s="24" t="n"/>
      <c r="EW1" s="24" t="n"/>
      <c r="EX1" s="24" t="n"/>
      <c r="EY1" s="24" t="n"/>
      <c r="EZ1" s="24" t="n"/>
      <c r="FA1" s="24" t="n"/>
      <c r="FB1" s="24" t="n"/>
      <c r="FC1" s="24" t="n"/>
      <c r="FD1" s="24" t="n"/>
      <c r="FE1" s="24" t="n"/>
      <c r="FF1" s="24" t="n"/>
      <c r="FG1" s="24" t="n"/>
      <c r="FH1" s="24" t="n"/>
      <c r="FI1" s="24" t="n"/>
      <c r="FJ1" s="24" t="n"/>
      <c r="FK1" s="24" t="n"/>
      <c r="FL1" s="24" t="n"/>
      <c r="FM1" s="24" t="n"/>
      <c r="FN1" s="24" t="n"/>
      <c r="FO1" s="24" t="n"/>
      <c r="FP1" s="24" t="n"/>
      <c r="FQ1" s="24" t="n"/>
      <c r="FR1" s="24" t="n"/>
      <c r="FS1" s="24" t="n"/>
      <c r="FT1" s="24" t="n"/>
      <c r="FU1" s="24" t="n"/>
      <c r="FV1" s="24" t="n"/>
      <c r="FW1" s="24" t="n"/>
      <c r="FX1" s="24" t="n"/>
      <c r="FY1" s="24" t="n"/>
      <c r="FZ1" s="24" t="n"/>
      <c r="GA1" s="24" t="n"/>
      <c r="GB1" s="24" t="n"/>
      <c r="GC1" s="24" t="n"/>
      <c r="GD1" s="24" t="n"/>
      <c r="GE1" s="24" t="n"/>
      <c r="GF1" s="24" t="n"/>
      <c r="GG1" s="24" t="n"/>
      <c r="GH1" s="24" t="n"/>
      <c r="GI1" s="24" t="n"/>
      <c r="GJ1" s="24" t="n"/>
      <c r="GK1" s="24" t="n"/>
      <c r="GL1" s="24" t="n"/>
      <c r="GM1" s="24" t="n"/>
      <c r="GN1" s="24" t="n"/>
      <c r="GO1" s="24" t="n"/>
      <c r="GP1" s="24" t="n"/>
      <c r="GQ1" s="24" t="n"/>
      <c r="GR1" s="24" t="n"/>
      <c r="GS1" s="24" t="n"/>
      <c r="GT1" s="24" t="n"/>
      <c r="GU1" s="24" t="n"/>
      <c r="GV1" s="24" t="n"/>
      <c r="GW1" s="24" t="n"/>
      <c r="GX1" s="24" t="n"/>
      <c r="GY1" s="24" t="n"/>
      <c r="GZ1" s="24" t="n"/>
      <c r="HA1" s="24" t="n"/>
      <c r="HB1" s="24" t="n"/>
      <c r="HC1" s="24" t="n"/>
      <c r="HD1" s="24" t="n"/>
      <c r="HE1" s="24" t="n"/>
      <c r="HF1" s="24" t="n"/>
      <c r="HG1" s="24" t="n"/>
      <c r="HH1" s="24" t="n"/>
      <c r="HI1" s="24" t="n"/>
      <c r="HJ1" s="24" t="n"/>
      <c r="HK1" s="24" t="n"/>
      <c r="HL1" s="24" t="n"/>
      <c r="HM1" s="24" t="n"/>
      <c r="HN1" s="24" t="n"/>
      <c r="HO1" s="24" t="n"/>
      <c r="HP1" s="24" t="n"/>
      <c r="HQ1" s="24" t="n"/>
      <c r="HR1" s="24" t="n"/>
      <c r="HS1" s="24" t="n"/>
      <c r="HT1" s="24" t="n"/>
      <c r="HU1" s="24" t="n"/>
      <c r="HV1" s="24" t="n"/>
      <c r="HW1" s="24" t="n"/>
      <c r="HX1" s="24" t="n"/>
      <c r="HY1" s="24" t="n"/>
      <c r="HZ1" s="24" t="n"/>
      <c r="IA1" s="24" t="n"/>
      <c r="IB1" s="24" t="n"/>
      <c r="IC1" s="24" t="n"/>
      <c r="ID1" s="24" t="n"/>
      <c r="IE1" s="24" t="n"/>
      <c r="IF1" s="24" t="n"/>
      <c r="IG1" s="24" t="n"/>
      <c r="IH1" s="24" t="n"/>
      <c r="II1" s="24" t="n"/>
      <c r="IJ1" s="24" t="n"/>
      <c r="IK1" s="24" t="n"/>
      <c r="IL1" s="24" t="n"/>
      <c r="IM1" s="24" t="n"/>
      <c r="IN1" s="24" t="n"/>
      <c r="IO1" s="24" t="n"/>
      <c r="IP1" s="24" t="n"/>
      <c r="IQ1" s="24" t="n"/>
      <c r="IR1" s="24" t="n"/>
      <c r="IS1" s="24" t="n"/>
      <c r="IT1" s="24" t="n"/>
      <c r="IU1" s="24" t="n"/>
      <c r="IV1" s="24" t="n"/>
      <c r="IW1" s="24" t="n"/>
      <c r="IX1" s="24" t="n"/>
      <c r="IY1" s="24" t="n"/>
      <c r="IZ1" s="24" t="n"/>
      <c r="JA1" s="24" t="n"/>
      <c r="JB1" s="24" t="n"/>
      <c r="JC1" s="24" t="n"/>
      <c r="JD1" s="24" t="n"/>
      <c r="JE1" s="24" t="n"/>
      <c r="JF1" s="24" t="n"/>
      <c r="JG1" s="24" t="n"/>
      <c r="JH1" s="24" t="n"/>
      <c r="JI1" s="24" t="n"/>
      <c r="JJ1" s="24" t="n"/>
      <c r="JK1" s="24" t="n"/>
      <c r="JL1" s="24" t="n"/>
      <c r="JM1" s="24" t="n"/>
      <c r="JN1" s="24" t="n"/>
      <c r="JO1" s="24" t="n"/>
      <c r="JP1" s="24" t="n"/>
      <c r="JQ1" s="24" t="n"/>
      <c r="JR1" s="24" t="n"/>
      <c r="JS1" s="24" t="n"/>
      <c r="JT1" s="24" t="n"/>
      <c r="JU1" s="24" t="n"/>
      <c r="JV1" s="24" t="n"/>
      <c r="JW1" s="24" t="n"/>
      <c r="JX1" s="24" t="n"/>
      <c r="JY1" s="24" t="n"/>
      <c r="JZ1" s="24" t="n"/>
      <c r="KA1" s="24" t="n"/>
      <c r="KB1" s="24" t="n"/>
      <c r="KC1" s="24" t="n"/>
      <c r="KD1" s="24" t="n"/>
      <c r="KE1" s="24" t="n"/>
      <c r="KF1" s="24" t="n"/>
      <c r="KG1" s="24" t="n"/>
      <c r="KH1" s="24" t="n"/>
      <c r="KI1" s="24" t="n"/>
      <c r="KJ1" s="24" t="n"/>
      <c r="KK1" s="24" t="n"/>
      <c r="KL1" s="24" t="n"/>
      <c r="KM1" s="24" t="n"/>
      <c r="KN1" s="24" t="n"/>
      <c r="KO1" s="24" t="n"/>
      <c r="KP1" s="24" t="n"/>
      <c r="KQ1" s="24" t="n"/>
      <c r="KR1" s="24" t="n"/>
      <c r="KS1" s="24" t="n"/>
      <c r="KT1" s="24" t="n"/>
      <c r="KU1" s="24" t="n"/>
      <c r="KV1" s="24" t="n"/>
      <c r="KW1" s="24" t="n"/>
      <c r="KX1" s="24" t="n"/>
      <c r="KY1" s="24" t="n"/>
      <c r="KZ1" s="24" t="n"/>
      <c r="LA1" s="24" t="n"/>
      <c r="LB1" s="24" t="n"/>
      <c r="LC1" s="24" t="n"/>
      <c r="LD1" s="24" t="n"/>
      <c r="LE1" s="24" t="n"/>
      <c r="LF1" s="24" t="n"/>
      <c r="LG1" s="24" t="n"/>
      <c r="LH1" s="24" t="n"/>
      <c r="LI1" s="24" t="n"/>
      <c r="LJ1" s="24" t="n"/>
      <c r="LK1" s="24" t="n"/>
      <c r="LL1" s="24" t="n"/>
      <c r="LM1" s="24" t="n"/>
      <c r="LN1" s="24" t="n"/>
      <c r="LO1" s="24" t="n"/>
      <c r="LP1" s="24" t="n"/>
      <c r="LQ1" s="24" t="n"/>
      <c r="LR1" s="24" t="n"/>
      <c r="LS1" s="24" t="n"/>
      <c r="LT1" s="24" t="n"/>
      <c r="LU1" s="24" t="n"/>
      <c r="LV1" s="24" t="n"/>
      <c r="LW1" s="24" t="n"/>
      <c r="LX1" s="24" t="n"/>
      <c r="LY1" s="24" t="n"/>
      <c r="LZ1" s="24" t="n"/>
      <c r="MA1" s="24" t="n"/>
      <c r="MB1" s="24" t="n"/>
      <c r="MC1" s="24" t="n"/>
      <c r="MD1" s="24" t="n"/>
      <c r="ME1" s="24" t="n"/>
      <c r="MF1" s="24" t="n"/>
      <c r="MG1" s="24" t="n"/>
      <c r="MH1" s="24" t="n"/>
      <c r="MI1" s="24" t="n"/>
      <c r="MJ1" s="24" t="n"/>
      <c r="MK1" s="24" t="n"/>
      <c r="ML1" s="24" t="n"/>
      <c r="MM1" s="24" t="n"/>
      <c r="MN1" s="24" t="n"/>
      <c r="MO1" s="24" t="n"/>
      <c r="MP1" s="24" t="n"/>
      <c r="MQ1" s="24" t="n"/>
      <c r="MR1" s="24" t="n"/>
      <c r="MS1" s="24" t="n"/>
      <c r="MT1" s="24" t="n"/>
      <c r="MU1" s="24" t="n"/>
      <c r="MV1" s="24" t="n"/>
      <c r="MW1" s="24" t="n"/>
      <c r="MX1" s="24" t="n"/>
      <c r="MY1" s="24" t="n"/>
      <c r="MZ1" s="24" t="n"/>
      <c r="NA1" s="24" t="n"/>
      <c r="NB1" s="24" t="n"/>
      <c r="NC1" s="24" t="n"/>
      <c r="ND1" s="24" t="n"/>
      <c r="NE1" s="24" t="n"/>
      <c r="NF1" s="24" t="n"/>
      <c r="NG1" s="24" t="n"/>
      <c r="NH1" s="24" t="n"/>
      <c r="NI1" s="24" t="n"/>
      <c r="NJ1" s="24" t="n"/>
      <c r="NK1" s="24" t="n"/>
      <c r="NL1" s="24" t="n"/>
      <c r="NM1" s="24" t="n"/>
      <c r="NN1" s="24" t="n"/>
      <c r="NO1" s="24" t="n"/>
      <c r="NP1" s="24" t="n"/>
      <c r="NQ1" s="24" t="n"/>
      <c r="NR1" s="24" t="n"/>
      <c r="NS1" s="24" t="n"/>
      <c r="NT1" s="24" t="n"/>
      <c r="NU1" s="24" t="n"/>
      <c r="NV1" s="24" t="n"/>
      <c r="NW1" s="24" t="n"/>
      <c r="NX1" s="24" t="n"/>
      <c r="NY1" s="24" t="n"/>
      <c r="NZ1" s="24" t="n"/>
      <c r="OA1" s="24" t="n"/>
      <c r="OB1" s="24" t="n"/>
      <c r="OC1" s="24" t="n"/>
      <c r="OD1" s="24" t="n"/>
      <c r="OE1" s="24" t="n"/>
      <c r="OF1" s="24" t="n"/>
      <c r="OG1" s="24" t="n"/>
      <c r="OH1" s="24" t="n"/>
      <c r="OI1" s="24" t="n"/>
      <c r="OJ1" s="24" t="n"/>
      <c r="OK1" s="24" t="n"/>
      <c r="OL1" s="24" t="n"/>
      <c r="OM1" s="24" t="n"/>
      <c r="ON1" s="24" t="n"/>
      <c r="OO1" s="24" t="n"/>
      <c r="OP1" s="24" t="n"/>
      <c r="OQ1" s="24" t="n"/>
      <c r="OR1" s="24" t="n"/>
      <c r="OS1" s="24" t="n"/>
      <c r="OT1" s="24" t="n"/>
      <c r="OU1" s="24" t="n"/>
      <c r="OV1" s="24" t="n"/>
      <c r="OW1" s="24" t="n"/>
      <c r="OX1" s="24" t="n"/>
      <c r="OY1" s="24" t="n"/>
      <c r="OZ1" s="24" t="n"/>
      <c r="PA1" s="24" t="n"/>
      <c r="PB1" s="24" t="n"/>
      <c r="PC1" s="24" t="n"/>
      <c r="PD1" s="24" t="n"/>
      <c r="PE1" s="24" t="n"/>
      <c r="PF1" s="24" t="n"/>
      <c r="PG1" s="24" t="n"/>
      <c r="PH1" s="24" t="n"/>
      <c r="PI1" s="24" t="n"/>
      <c r="PJ1" s="24" t="n"/>
      <c r="PK1" s="24" t="n"/>
      <c r="PL1" s="24" t="n"/>
      <c r="PM1" s="24" t="n"/>
      <c r="PN1" s="24" t="n"/>
      <c r="PO1" s="24" t="n"/>
      <c r="PP1" s="24" t="n"/>
      <c r="PQ1" s="24" t="n"/>
      <c r="PR1" s="24" t="n"/>
      <c r="PS1" s="24" t="n"/>
      <c r="PT1" s="24" t="n"/>
      <c r="PU1" s="24" t="n"/>
      <c r="PV1" s="24" t="n"/>
      <c r="PW1" s="24" t="n"/>
      <c r="PX1" s="24" t="n"/>
      <c r="PY1" s="24" t="n"/>
      <c r="PZ1" s="24" t="n"/>
      <c r="QA1" s="24" t="n"/>
      <c r="QB1" s="24" t="n"/>
      <c r="QC1" s="24" t="n"/>
      <c r="QD1" s="24" t="n"/>
      <c r="QE1" s="24" t="n"/>
      <c r="QF1" s="24" t="n"/>
      <c r="QG1" s="24" t="n"/>
      <c r="QH1" s="24" t="n"/>
      <c r="QI1" s="24" t="n"/>
      <c r="QJ1" s="24" t="n"/>
      <c r="QK1" s="24" t="n"/>
      <c r="QL1" s="24" t="n"/>
      <c r="QM1" s="24" t="n"/>
      <c r="QN1" s="24" t="n"/>
      <c r="QO1" s="24" t="n"/>
      <c r="QP1" s="24" t="n"/>
      <c r="QQ1" s="24" t="n"/>
      <c r="QR1" s="24" t="n"/>
      <c r="QS1" s="24" t="n"/>
      <c r="QT1" s="24" t="n"/>
      <c r="QU1" s="24" t="n"/>
      <c r="QV1" s="24" t="n"/>
      <c r="QW1" s="24" t="n"/>
      <c r="QX1" s="24" t="n"/>
      <c r="QY1" s="24" t="n"/>
      <c r="QZ1" s="24" t="n"/>
      <c r="RA1" s="24" t="n"/>
      <c r="RB1" s="24" t="n"/>
      <c r="RC1" s="24" t="n"/>
      <c r="RD1" s="24" t="n"/>
      <c r="RE1" s="24" t="n"/>
      <c r="RF1" s="24" t="n"/>
      <c r="RG1" s="24" t="n"/>
      <c r="RH1" s="24" t="n"/>
      <c r="RI1" s="24" t="n"/>
      <c r="RJ1" s="24" t="n"/>
      <c r="RK1" s="24" t="n"/>
      <c r="RL1" s="24" t="n"/>
      <c r="RM1" s="24" t="n"/>
      <c r="RN1" s="24" t="n"/>
      <c r="RO1" s="24" t="n"/>
      <c r="RP1" s="24" t="n"/>
      <c r="RQ1" s="24" t="n"/>
      <c r="RR1" s="24" t="n"/>
      <c r="RS1" s="24" t="n"/>
      <c r="RT1" s="24" t="n"/>
      <c r="RU1" s="24" t="n"/>
      <c r="RV1" s="24" t="n"/>
      <c r="RW1" s="24" t="n"/>
      <c r="RX1" s="24" t="n"/>
      <c r="RY1" s="24" t="n"/>
      <c r="RZ1" s="24" t="n"/>
      <c r="SA1" s="24" t="n"/>
      <c r="SB1" s="24" t="n"/>
      <c r="SC1" s="24" t="n"/>
      <c r="SD1" s="24" t="n"/>
      <c r="SE1" s="24" t="n"/>
      <c r="SF1" s="24" t="n"/>
      <c r="SG1" s="24" t="n"/>
      <c r="SH1" s="24" t="n"/>
      <c r="SI1" s="24" t="n"/>
      <c r="SJ1" s="24" t="n"/>
      <c r="SK1" s="24" t="n"/>
      <c r="SL1" s="24" t="n"/>
      <c r="SM1" s="24" t="n"/>
      <c r="SN1" s="24" t="n"/>
      <c r="SO1" s="24" t="n"/>
      <c r="SP1" s="24" t="n"/>
      <c r="SQ1" s="24" t="n"/>
      <c r="SR1" s="24" t="n"/>
      <c r="SS1" s="24" t="n"/>
      <c r="ST1" s="24" t="n"/>
      <c r="SU1" s="24" t="n"/>
      <c r="SV1" s="24" t="n"/>
      <c r="SW1" s="24" t="n"/>
      <c r="SX1" s="24" t="n"/>
      <c r="SY1" s="24" t="n"/>
      <c r="SZ1" s="24" t="n"/>
      <c r="TA1" s="24" t="n"/>
      <c r="TB1" s="24" t="n"/>
      <c r="TC1" s="24" t="n"/>
      <c r="TD1" s="24" t="n"/>
      <c r="TE1" s="24" t="n"/>
      <c r="TF1" s="24" t="n"/>
      <c r="TG1" s="24" t="n"/>
      <c r="TH1" s="24" t="n"/>
      <c r="TI1" s="24" t="n"/>
      <c r="TJ1" s="24" t="n"/>
      <c r="TK1" s="24" t="n"/>
      <c r="TL1" s="24" t="n"/>
      <c r="TM1" s="24" t="n"/>
      <c r="TN1" s="24" t="n"/>
      <c r="TO1" s="24" t="n"/>
      <c r="TP1" s="24" t="n"/>
      <c r="TQ1" s="24" t="n"/>
      <c r="TR1" s="24" t="n"/>
      <c r="TS1" s="24" t="n"/>
      <c r="TT1" s="24" t="n"/>
      <c r="TU1" s="24" t="n"/>
      <c r="TV1" s="24" t="n"/>
      <c r="TW1" s="24" t="n"/>
      <c r="TX1" s="24" t="n"/>
      <c r="TY1" s="24" t="n"/>
      <c r="TZ1" s="24" t="n"/>
      <c r="UA1" s="24" t="n"/>
      <c r="UB1" s="24" t="n"/>
      <c r="UC1" s="24" t="n"/>
      <c r="UD1" s="24" t="n"/>
      <c r="UE1" s="24" t="n"/>
      <c r="UF1" s="24" t="n"/>
      <c r="UG1" s="24" t="n"/>
      <c r="UH1" s="24" t="n"/>
      <c r="UI1" s="24" t="n"/>
      <c r="UJ1" s="24" t="n"/>
      <c r="UK1" s="24" t="n"/>
      <c r="UL1" s="24" t="n"/>
      <c r="UM1" s="24" t="n"/>
      <c r="UN1" s="24" t="n"/>
      <c r="UO1" s="24" t="n"/>
      <c r="UP1" s="24" t="n"/>
      <c r="UQ1" s="24" t="n"/>
      <c r="UR1" s="24" t="n"/>
      <c r="US1" s="24" t="n"/>
      <c r="UT1" s="24" t="n"/>
      <c r="UU1" s="24" t="n"/>
      <c r="UV1" s="24" t="n"/>
      <c r="UW1" s="24" t="n"/>
      <c r="UX1" s="24" t="n"/>
      <c r="UY1" s="24" t="n"/>
      <c r="UZ1" s="24" t="n"/>
      <c r="VA1" s="24" t="n"/>
      <c r="VB1" s="24" t="n"/>
      <c r="VC1" s="24" t="n"/>
      <c r="VD1" s="24" t="n"/>
      <c r="VE1" s="24" t="n"/>
      <c r="VF1" s="24" t="n"/>
      <c r="VG1" s="24" t="n"/>
      <c r="VH1" s="24" t="n"/>
      <c r="VI1" s="24" t="n"/>
      <c r="VJ1" s="24" t="n"/>
      <c r="VK1" s="24" t="n"/>
      <c r="VL1" s="24" t="n"/>
      <c r="VM1" s="24" t="n"/>
      <c r="VN1" s="24" t="n"/>
      <c r="VO1" s="24" t="n"/>
      <c r="VP1" s="24" t="n"/>
      <c r="VQ1" s="24" t="n"/>
      <c r="VR1" s="24" t="n"/>
      <c r="VS1" s="24" t="n"/>
      <c r="VT1" s="24" t="n"/>
      <c r="VU1" s="24" t="n"/>
      <c r="VV1" s="24" t="n"/>
      <c r="VW1" s="24" t="n"/>
      <c r="VX1" s="24" t="n"/>
      <c r="VY1" s="24" t="n"/>
      <c r="VZ1" s="24" t="n"/>
      <c r="WA1" s="24" t="n"/>
      <c r="WB1" s="24" t="n"/>
      <c r="WC1" s="24" t="n"/>
      <c r="WD1" s="24" t="n"/>
      <c r="WE1" s="24" t="n"/>
      <c r="WF1" s="24" t="n"/>
      <c r="WG1" s="24" t="n"/>
      <c r="WH1" s="24" t="n"/>
      <c r="WI1" s="24" t="n"/>
      <c r="WJ1" s="24" t="n"/>
      <c r="WK1" s="24" t="n"/>
      <c r="WL1" s="24" t="n"/>
      <c r="WM1" s="24" t="n"/>
      <c r="WN1" s="24" t="n"/>
      <c r="WO1" s="24" t="n"/>
      <c r="WP1" s="24" t="n"/>
      <c r="WQ1" s="24" t="n"/>
      <c r="WR1" s="24" t="n"/>
      <c r="WS1" s="24" t="n"/>
      <c r="WT1" s="24" t="n"/>
      <c r="WU1" s="24" t="n"/>
      <c r="WV1" s="24" t="n"/>
      <c r="WW1" s="24" t="n"/>
      <c r="WX1" s="24" t="n"/>
      <c r="WY1" s="24" t="n"/>
      <c r="WZ1" s="24" t="n"/>
      <c r="XA1" s="24" t="n"/>
      <c r="XB1" s="24" t="n"/>
      <c r="XC1" s="24" t="n"/>
      <c r="XD1" s="24" t="n"/>
      <c r="XE1" s="24" t="n"/>
      <c r="XF1" s="24" t="n"/>
      <c r="XG1" s="24" t="n"/>
      <c r="XH1" s="24" t="n"/>
      <c r="XI1" s="24" t="n"/>
      <c r="XJ1" s="24" t="n"/>
      <c r="XK1" s="24" t="n"/>
      <c r="XL1" s="24" t="n"/>
      <c r="XM1" s="24" t="n"/>
      <c r="XN1" s="24" t="n"/>
      <c r="XO1" s="24" t="n"/>
      <c r="XP1" s="24" t="n"/>
      <c r="XQ1" s="24" t="n"/>
      <c r="XR1" s="24" t="n"/>
      <c r="XS1" s="24" t="n"/>
      <c r="XT1" s="24" t="n"/>
      <c r="XU1" s="24" t="n"/>
      <c r="XV1" s="24" t="n"/>
      <c r="XW1" s="24" t="n"/>
      <c r="XX1" s="24" t="n"/>
      <c r="XY1" s="24" t="n"/>
      <c r="XZ1" s="24" t="n"/>
      <c r="YA1" s="24" t="n"/>
      <c r="YB1" s="24" t="n"/>
      <c r="YC1" s="24" t="n"/>
      <c r="YD1" s="24" t="n"/>
      <c r="YE1" s="24" t="n"/>
      <c r="YF1" s="24" t="n"/>
      <c r="YG1" s="24" t="n"/>
      <c r="YH1" s="24" t="n"/>
      <c r="YI1" s="24" t="n"/>
      <c r="YJ1" s="24" t="n"/>
      <c r="YK1" s="24" t="n"/>
      <c r="YL1" s="24" t="n"/>
      <c r="YM1" s="24" t="n"/>
      <c r="YN1" s="24" t="n"/>
      <c r="YO1" s="24" t="n"/>
      <c r="YP1" s="24" t="n"/>
      <c r="YQ1" s="24" t="n"/>
      <c r="YR1" s="24" t="n"/>
      <c r="YS1" s="24" t="n"/>
      <c r="YT1" s="24" t="n"/>
      <c r="YU1" s="24" t="n"/>
      <c r="YV1" s="24" t="n"/>
      <c r="YW1" s="24" t="n"/>
      <c r="YX1" s="24" t="n"/>
      <c r="YY1" s="24" t="n"/>
      <c r="YZ1" s="24" t="n"/>
      <c r="ZA1" s="24" t="n"/>
      <c r="ZB1" s="24" t="n"/>
      <c r="ZC1" s="24" t="n"/>
      <c r="ZD1" s="24" t="n"/>
      <c r="ZE1" s="24" t="n"/>
      <c r="ZF1" s="24" t="n"/>
      <c r="ZG1" s="24" t="n"/>
      <c r="ZH1" s="24" t="n"/>
      <c r="ZI1" s="24" t="n"/>
      <c r="ZJ1" s="24" t="n"/>
      <c r="ZK1" s="24" t="n"/>
      <c r="ZL1" s="24" t="n"/>
      <c r="ZM1" s="24" t="n"/>
      <c r="ZN1" s="24" t="n"/>
      <c r="ZO1" s="24" t="n"/>
      <c r="ZP1" s="24" t="n"/>
      <c r="ZQ1" s="24" t="n"/>
      <c r="ZR1" s="24" t="n"/>
      <c r="ZS1" s="24" t="n"/>
      <c r="ZT1" s="24" t="n"/>
      <c r="ZU1" s="24" t="n"/>
      <c r="ZV1" s="24" t="n"/>
      <c r="ZW1" s="24" t="n"/>
      <c r="ZX1" s="24" t="n"/>
      <c r="ZY1" s="24" t="n"/>
      <c r="ZZ1" s="24" t="n"/>
      <c r="AAA1" s="24" t="n"/>
      <c r="AAB1" s="24" t="n"/>
      <c r="AAC1" s="24" t="n"/>
      <c r="AAD1" s="24" t="n"/>
      <c r="AAE1" s="24" t="n"/>
      <c r="AAF1" s="24" t="n"/>
      <c r="AAG1" s="24" t="n"/>
      <c r="AAH1" s="24" t="n"/>
      <c r="AAI1" s="24" t="n"/>
      <c r="AAJ1" s="24" t="n"/>
      <c r="AAK1" s="24" t="n"/>
      <c r="AAL1" s="24" t="n"/>
      <c r="AAM1" s="24" t="n"/>
      <c r="AAN1" s="24" t="n"/>
      <c r="AAO1" s="24" t="n"/>
      <c r="AAP1" s="24" t="n"/>
      <c r="AAQ1" s="24" t="n"/>
      <c r="AAR1" s="24" t="n"/>
      <c r="AAS1" s="24" t="n"/>
      <c r="AAT1" s="24" t="n"/>
      <c r="AAU1" s="24" t="n"/>
      <c r="AAV1" s="24" t="n"/>
      <c r="AAW1" s="24" t="n"/>
      <c r="AAX1" s="24" t="n"/>
      <c r="AAY1" s="24" t="n"/>
      <c r="AAZ1" s="24" t="n"/>
      <c r="ABA1" s="24" t="n"/>
      <c r="ABB1" s="24" t="n"/>
      <c r="ABC1" s="24" t="n"/>
      <c r="ABD1" s="24" t="n"/>
      <c r="ABE1" s="24" t="n"/>
      <c r="ABF1" s="24" t="n"/>
      <c r="ABG1" s="24" t="n"/>
      <c r="ABH1" s="24" t="n"/>
      <c r="ABI1" s="24" t="n"/>
      <c r="ABJ1" s="24" t="n"/>
      <c r="ABK1" s="24" t="n"/>
      <c r="ABL1" s="24" t="n"/>
      <c r="ABM1" s="24" t="n"/>
      <c r="ABN1" s="24" t="n"/>
      <c r="ABO1" s="24" t="n"/>
      <c r="ABP1" s="24" t="n"/>
      <c r="ABQ1" s="24" t="n"/>
      <c r="ABR1" s="24" t="n"/>
      <c r="ABS1" s="24" t="n"/>
      <c r="ABT1" s="24" t="n"/>
      <c r="ABU1" s="24" t="n"/>
      <c r="ABV1" s="24" t="n"/>
      <c r="ABW1" s="24" t="n"/>
      <c r="ABX1" s="24" t="n"/>
      <c r="ABY1" s="24" t="n"/>
      <c r="ABZ1" s="24" t="n"/>
      <c r="ACA1" s="24" t="n"/>
      <c r="ACB1" s="24" t="n"/>
      <c r="ACC1" s="24" t="n"/>
      <c r="ACD1" s="24" t="n"/>
      <c r="ACE1" s="24" t="n"/>
      <c r="ACF1" s="24" t="n"/>
      <c r="ACG1" s="24" t="n"/>
      <c r="ACH1" s="24" t="n"/>
      <c r="ACI1" s="24" t="n"/>
      <c r="ACJ1" s="24" t="n"/>
      <c r="ACK1" s="24" t="n"/>
      <c r="ACL1" s="24" t="n"/>
      <c r="ACM1" s="24" t="n"/>
      <c r="ACN1" s="24" t="n"/>
      <c r="ACO1" s="24" t="n"/>
      <c r="ACP1" s="24" t="n"/>
      <c r="ACQ1" s="24" t="n"/>
      <c r="ACR1" s="24" t="n"/>
      <c r="ACS1" s="24" t="n"/>
      <c r="ACT1" s="24" t="n"/>
      <c r="ACU1" s="24" t="n"/>
      <c r="ACV1" s="24" t="n"/>
      <c r="ACW1" s="24" t="n"/>
      <c r="ACX1" s="24" t="n"/>
      <c r="ACY1" s="24" t="n"/>
      <c r="ACZ1" s="24" t="n"/>
      <c r="ADA1" s="24" t="n"/>
      <c r="ADB1" s="24" t="n"/>
      <c r="ADC1" s="24" t="n"/>
      <c r="ADD1" s="24" t="n"/>
      <c r="ADE1" s="24" t="n"/>
      <c r="ADF1" s="24" t="n"/>
      <c r="ADG1" s="24" t="n"/>
      <c r="ADH1" s="24" t="n"/>
      <c r="ADI1" s="24" t="n"/>
      <c r="ADJ1" s="24" t="n"/>
      <c r="ADK1" s="24" t="n"/>
      <c r="ADL1" s="24" t="n"/>
      <c r="ADM1" s="24" t="n"/>
      <c r="ADN1" s="24" t="n"/>
      <c r="ADO1" s="24" t="n"/>
      <c r="ADP1" s="24" t="n"/>
      <c r="ADQ1" s="24" t="n"/>
      <c r="ADR1" s="24" t="n"/>
      <c r="ADS1" s="24" t="n"/>
      <c r="ADT1" s="24" t="n"/>
      <c r="ADU1" s="24" t="n"/>
      <c r="ADV1" s="24" t="n"/>
      <c r="ADW1" s="24" t="n"/>
      <c r="ADX1" s="24" t="n"/>
      <c r="ADY1" s="24" t="n"/>
      <c r="ADZ1" s="24" t="n"/>
      <c r="AEA1" s="24" t="n"/>
      <c r="AEB1" s="24" t="n"/>
      <c r="AEC1" s="24" t="n"/>
      <c r="AED1" s="24" t="n"/>
      <c r="AEE1" s="24" t="n"/>
      <c r="AEF1" s="24" t="n"/>
      <c r="AEG1" s="24" t="n"/>
      <c r="AEH1" s="24" t="n"/>
      <c r="AEI1" s="24" t="n"/>
      <c r="AEJ1" s="24" t="n"/>
      <c r="AEK1" s="24" t="n"/>
      <c r="AEL1" s="24" t="n"/>
      <c r="AEM1" s="24" t="n"/>
      <c r="AEN1" s="24" t="n"/>
      <c r="AEO1" s="24" t="n"/>
      <c r="AEP1" s="24" t="n"/>
      <c r="AEQ1" s="24" t="n"/>
      <c r="AER1" s="24" t="n"/>
      <c r="AES1" s="24" t="n"/>
      <c r="AET1" s="24" t="n"/>
      <c r="AEU1" s="24" t="n"/>
      <c r="AEV1" s="24" t="n"/>
      <c r="AEW1" s="24" t="n"/>
      <c r="AEX1" s="24" t="n"/>
      <c r="AEY1" s="24" t="n"/>
      <c r="AEZ1" s="24" t="n"/>
      <c r="AFA1" s="24" t="n"/>
      <c r="AFB1" s="24" t="n"/>
      <c r="AFC1" s="24" t="n"/>
      <c r="AFD1" s="24" t="n"/>
      <c r="AFE1" s="24" t="n"/>
      <c r="AFF1" s="24" t="n"/>
      <c r="AFG1" s="24" t="n"/>
      <c r="AFH1" s="24" t="n"/>
      <c r="AFI1" s="24" t="n"/>
      <c r="AFJ1" s="24" t="n"/>
      <c r="AFK1" s="24" t="n"/>
      <c r="AFL1" s="24" t="n"/>
      <c r="AFM1" s="24" t="n"/>
      <c r="AFN1" s="24" t="n"/>
      <c r="AFO1" s="24" t="n"/>
      <c r="AFP1" s="24" t="n"/>
      <c r="AFQ1" s="24" t="n"/>
      <c r="AFR1" s="24" t="n"/>
      <c r="AFS1" s="24" t="n"/>
      <c r="AFT1" s="24" t="n"/>
      <c r="AFU1" s="24" t="n"/>
      <c r="AFV1" s="24" t="n"/>
      <c r="AFW1" s="24" t="n"/>
      <c r="AFX1" s="24" t="n"/>
      <c r="AFY1" s="24" t="n"/>
      <c r="AFZ1" s="24" t="n"/>
      <c r="AGA1" s="24" t="n"/>
      <c r="AGB1" s="24" t="n"/>
      <c r="AGC1" s="24" t="n"/>
      <c r="AGD1" s="24" t="n"/>
      <c r="AGE1" s="24" t="n"/>
      <c r="AGF1" s="24" t="n"/>
      <c r="AGG1" s="24" t="n"/>
      <c r="AGH1" s="24" t="n"/>
      <c r="AGI1" s="24" t="n"/>
      <c r="AGJ1" s="24" t="n"/>
      <c r="AGK1" s="24" t="n"/>
      <c r="AGL1" s="24" t="n"/>
      <c r="AGM1" s="24" t="n"/>
      <c r="AGN1" s="24" t="n"/>
      <c r="AGO1" s="24" t="n"/>
      <c r="AGP1" s="24" t="n"/>
      <c r="AGQ1" s="24" t="n"/>
      <c r="AGR1" s="24" t="n"/>
      <c r="AGS1" s="24" t="n"/>
      <c r="AGT1" s="24" t="n"/>
      <c r="AGU1" s="24" t="n"/>
      <c r="AGV1" s="24" t="n"/>
      <c r="AGW1" s="24" t="n"/>
      <c r="AGX1" s="24" t="n"/>
      <c r="AGY1" s="24" t="n"/>
      <c r="AGZ1" s="24" t="n"/>
      <c r="AHA1" s="24" t="n"/>
      <c r="AHB1" s="24" t="n"/>
      <c r="AHC1" s="24" t="n"/>
      <c r="AHD1" s="24" t="n"/>
      <c r="AHE1" s="24" t="n"/>
      <c r="AHF1" s="24" t="n"/>
      <c r="AHG1" s="24" t="n"/>
      <c r="AHH1" s="24" t="n"/>
      <c r="AHI1" s="24" t="n"/>
      <c r="AHJ1" s="24" t="n"/>
      <c r="AHK1" s="24" t="n"/>
      <c r="AHL1" s="24" t="n"/>
      <c r="AHM1" s="24" t="n"/>
      <c r="AHN1" s="24" t="n"/>
      <c r="AHO1" s="24" t="n"/>
      <c r="AHP1" s="24" t="n"/>
      <c r="AHQ1" s="24" t="n"/>
      <c r="AHR1" s="24" t="n"/>
      <c r="AHS1" s="24" t="n"/>
      <c r="AHT1" s="24" t="n"/>
      <c r="AHU1" s="24" t="n"/>
      <c r="AHV1" s="24" t="n"/>
      <c r="AHW1" s="24" t="n"/>
      <c r="AHX1" s="24" t="n"/>
      <c r="AHY1" s="24" t="n"/>
      <c r="AHZ1" s="24" t="n"/>
      <c r="AIA1" s="24" t="n"/>
      <c r="AIB1" s="24" t="n"/>
      <c r="AIC1" s="24" t="n"/>
      <c r="AID1" s="24" t="n"/>
      <c r="AIE1" s="24" t="n"/>
      <c r="AIF1" s="24" t="n"/>
      <c r="AIG1" s="24" t="n"/>
      <c r="AIH1" s="24" t="n"/>
      <c r="AII1" s="24" t="n"/>
      <c r="AIJ1" s="24" t="n"/>
      <c r="AIK1" s="24" t="n"/>
      <c r="AIL1" s="24" t="n"/>
      <c r="AIM1" s="24" t="n"/>
      <c r="AIN1" s="24" t="n"/>
      <c r="AIO1" s="24" t="n"/>
      <c r="AIP1" s="24" t="n"/>
      <c r="AIQ1" s="24" t="n"/>
      <c r="AIR1" s="24" t="n"/>
      <c r="AIS1" s="24" t="n"/>
      <c r="AIT1" s="24" t="n"/>
      <c r="AIU1" s="24" t="n"/>
      <c r="AIV1" s="24" t="n"/>
      <c r="AIW1" s="24" t="n"/>
      <c r="AIX1" s="24" t="n"/>
      <c r="AIY1" s="24" t="n"/>
      <c r="AIZ1" s="24" t="n"/>
      <c r="AJA1" s="24" t="n"/>
      <c r="AJB1" s="24" t="n"/>
      <c r="AJC1" s="24" t="n"/>
      <c r="AJD1" s="24" t="n"/>
      <c r="AJE1" s="24" t="n"/>
      <c r="AJF1" s="24" t="n"/>
      <c r="AJG1" s="24" t="n"/>
      <c r="AJH1" s="24" t="n"/>
      <c r="AJI1" s="24" t="n"/>
      <c r="AJJ1" s="24" t="n"/>
      <c r="AJK1" s="24" t="n"/>
      <c r="AJL1" s="24" t="n"/>
      <c r="AJM1" s="24" t="n"/>
      <c r="AJN1" s="24" t="n"/>
      <c r="AJO1" s="24" t="n"/>
      <c r="AJP1" s="24" t="n"/>
      <c r="AJQ1" s="24" t="n"/>
      <c r="AJR1" s="24" t="n"/>
      <c r="AJS1" s="24" t="n"/>
      <c r="AJT1" s="24" t="n"/>
      <c r="AJU1" s="24" t="n"/>
      <c r="AJV1" s="24" t="n"/>
      <c r="AJW1" s="24" t="n"/>
      <c r="AJX1" s="24" t="n"/>
      <c r="AJY1" s="24" t="n"/>
      <c r="AJZ1" s="24" t="n"/>
      <c r="AKA1" s="24" t="n"/>
      <c r="AKB1" s="24" t="n"/>
      <c r="AKC1" s="24" t="n"/>
      <c r="AKD1" s="24" t="n"/>
      <c r="AKE1" s="24" t="n"/>
      <c r="AKF1" s="24" t="n"/>
      <c r="AKG1" s="24" t="n"/>
      <c r="AKH1" s="24" t="n"/>
      <c r="AKI1" s="24" t="n"/>
      <c r="AKJ1" s="24" t="n"/>
      <c r="AKK1" s="24" t="n"/>
      <c r="AKL1" s="24" t="n"/>
      <c r="AKM1" s="24" t="n"/>
      <c r="AKN1" s="24" t="n"/>
      <c r="AKO1" s="24" t="n"/>
      <c r="AKP1" s="24" t="n"/>
      <c r="AKQ1" s="24" t="n"/>
      <c r="AKR1" s="24" t="n"/>
      <c r="AKS1" s="24" t="n"/>
      <c r="AKT1" s="24" t="n"/>
      <c r="AKU1" s="24" t="n"/>
      <c r="AKV1" s="24" t="n"/>
      <c r="AKW1" s="24" t="n"/>
      <c r="AKX1" s="24" t="n"/>
      <c r="AKY1" s="24" t="n"/>
      <c r="AKZ1" s="24" t="n"/>
      <c r="ALA1" s="24" t="n"/>
      <c r="ALB1" s="24" t="n"/>
      <c r="ALC1" s="24" t="n"/>
      <c r="ALD1" s="24" t="n"/>
      <c r="ALE1" s="24" t="n"/>
      <c r="ALF1" s="24" t="n"/>
      <c r="ALG1" s="24" t="n"/>
      <c r="ALH1" s="24" t="n"/>
      <c r="ALI1" s="24" t="n"/>
      <c r="ALJ1" s="24" t="n"/>
      <c r="ALK1" s="24" t="n"/>
      <c r="ALL1" s="24" t="n"/>
      <c r="ALM1" s="24" t="n"/>
      <c r="ALN1" s="24" t="n"/>
      <c r="ALO1" s="24" t="n"/>
      <c r="ALP1" s="24" t="n"/>
      <c r="ALQ1" s="24" t="n"/>
      <c r="ALR1" s="24" t="n"/>
      <c r="ALS1" s="24" t="n"/>
      <c r="ALT1" s="24" t="n"/>
      <c r="ALU1" s="24" t="n"/>
      <c r="ALV1" s="24" t="n"/>
      <c r="ALW1" s="24" t="n"/>
      <c r="ALX1" s="24" t="n"/>
      <c r="ALY1" s="24" t="n"/>
      <c r="ALZ1" s="24" t="n"/>
      <c r="AMA1" s="24" t="n"/>
      <c r="AMB1" s="24" t="n"/>
      <c r="AMC1" s="24" t="n"/>
      <c r="AMD1" s="24" t="n"/>
      <c r="AME1" s="24" t="n"/>
      <c r="AMF1" s="24" t="n"/>
      <c r="AMG1" s="24" t="n"/>
      <c r="AMH1" s="24" t="n"/>
      <c r="AMI1" s="24" t="n"/>
      <c r="AMJ1" s="24" t="n"/>
      <c r="AMK1" s="24" t="n"/>
      <c r="AML1" s="24" t="n"/>
      <c r="AMM1" s="24" t="n"/>
      <c r="AMN1" s="24" t="n"/>
      <c r="AMO1" s="24" t="n"/>
      <c r="AMP1" s="24" t="n"/>
      <c r="AMQ1" s="24" t="n"/>
      <c r="AMR1" s="24" t="n"/>
      <c r="AMS1" s="24" t="n"/>
      <c r="AMT1" s="24" t="n"/>
      <c r="AMU1" s="24" t="n"/>
      <c r="AMV1" s="24" t="n"/>
      <c r="AMW1" s="24" t="n"/>
      <c r="AMX1" s="24" t="n"/>
      <c r="AMY1" s="24" t="n"/>
      <c r="AMZ1" s="24" t="n"/>
      <c r="ANA1" s="24" t="n"/>
      <c r="ANB1" s="24" t="n"/>
      <c r="ANC1" s="24" t="n"/>
      <c r="AND1" s="24" t="n"/>
      <c r="ANE1" s="24" t="n"/>
      <c r="ANF1" s="24" t="n"/>
      <c r="ANG1" s="24" t="n"/>
      <c r="ANH1" s="24" t="n"/>
      <c r="ANI1" s="24" t="n"/>
      <c r="ANJ1" s="24" t="n"/>
      <c r="ANK1" s="24" t="n"/>
      <c r="ANL1" s="24" t="n"/>
      <c r="ANM1" s="24" t="n"/>
      <c r="ANN1" s="24" t="n"/>
      <c r="ANO1" s="24" t="n"/>
      <c r="ANP1" s="24" t="n"/>
      <c r="ANQ1" s="24" t="n"/>
      <c r="ANR1" s="24" t="n"/>
      <c r="ANS1" s="24" t="n"/>
      <c r="ANT1" s="24" t="n"/>
      <c r="ANU1" s="24" t="n"/>
      <c r="ANV1" s="24" t="n"/>
      <c r="ANW1" s="24" t="n"/>
      <c r="ANX1" s="24" t="n"/>
      <c r="ANY1" s="24" t="n"/>
      <c r="ANZ1" s="24" t="n"/>
      <c r="AOA1" s="24" t="n"/>
      <c r="AOB1" s="24" t="n"/>
      <c r="AOC1" s="24" t="n"/>
      <c r="AOD1" s="24" t="n"/>
      <c r="AOE1" s="24" t="n"/>
      <c r="AOF1" s="24" t="n"/>
      <c r="AOG1" s="24" t="n"/>
      <c r="AOH1" s="24" t="n"/>
      <c r="AOI1" s="24" t="n"/>
      <c r="AOJ1" s="24" t="n"/>
      <c r="AOK1" s="24" t="n"/>
      <c r="AOL1" s="24" t="n"/>
      <c r="AOM1" s="24" t="n"/>
      <c r="AON1" s="24" t="n"/>
      <c r="AOO1" s="24" t="n"/>
      <c r="AOP1" s="24" t="n"/>
      <c r="AOQ1" s="24" t="n"/>
      <c r="AOR1" s="24" t="n"/>
      <c r="AOS1" s="24" t="n"/>
      <c r="AOT1" s="24" t="n"/>
      <c r="AOU1" s="24" t="n"/>
      <c r="AOV1" s="24" t="n"/>
      <c r="AOW1" s="24" t="n"/>
      <c r="AOX1" s="24" t="n"/>
      <c r="AOY1" s="24" t="n"/>
      <c r="AOZ1" s="24" t="n"/>
      <c r="APA1" s="24" t="n"/>
      <c r="APB1" s="24" t="n"/>
      <c r="APC1" s="24" t="n"/>
      <c r="APD1" s="24" t="n"/>
      <c r="APE1" s="24" t="n"/>
      <c r="APF1" s="24" t="n"/>
      <c r="APG1" s="24" t="n"/>
      <c r="APH1" s="24" t="n"/>
      <c r="API1" s="24" t="n"/>
      <c r="APJ1" s="24" t="n"/>
      <c r="APK1" s="24" t="n"/>
      <c r="APL1" s="24" t="n"/>
      <c r="APM1" s="24" t="n"/>
      <c r="APN1" s="24" t="n"/>
      <c r="APO1" s="24" t="n"/>
      <c r="APP1" s="24" t="n"/>
      <c r="APQ1" s="24" t="n"/>
      <c r="APR1" s="24" t="n"/>
      <c r="APS1" s="24" t="n"/>
      <c r="APT1" s="24" t="n"/>
      <c r="APU1" s="24" t="n"/>
      <c r="APV1" s="24" t="n"/>
      <c r="APW1" s="24" t="n"/>
      <c r="APX1" s="24" t="n"/>
      <c r="APY1" s="24" t="n"/>
      <c r="APZ1" s="24" t="n"/>
      <c r="AQA1" s="24" t="n"/>
      <c r="AQB1" s="24" t="n"/>
      <c r="AQC1" s="24" t="n"/>
      <c r="AQD1" s="24" t="n"/>
      <c r="AQE1" s="24" t="n"/>
      <c r="AQF1" s="24" t="n"/>
      <c r="AQG1" s="24" t="n"/>
      <c r="AQH1" s="24" t="n"/>
      <c r="AQI1" s="24" t="n"/>
      <c r="AQJ1" s="24" t="n"/>
      <c r="AQK1" s="24" t="n"/>
      <c r="AQL1" s="24" t="n"/>
      <c r="AQM1" s="24" t="n"/>
      <c r="AQN1" s="24" t="n"/>
      <c r="AQO1" s="24" t="n"/>
      <c r="AQP1" s="24" t="n"/>
      <c r="AQQ1" s="24" t="n"/>
      <c r="AQR1" s="24" t="n"/>
      <c r="AQS1" s="24" t="n"/>
      <c r="AQT1" s="24" t="n"/>
      <c r="AQU1" s="24" t="n"/>
      <c r="AQV1" s="24" t="n"/>
      <c r="AQW1" s="24" t="n"/>
      <c r="AQX1" s="24" t="n"/>
      <c r="AQY1" s="24" t="n"/>
      <c r="AQZ1" s="24" t="n"/>
      <c r="ARA1" s="24" t="n"/>
      <c r="ARB1" s="24" t="n"/>
      <c r="ARC1" s="24" t="n"/>
      <c r="ARD1" s="24" t="n"/>
      <c r="ARE1" s="24" t="n"/>
      <c r="ARF1" s="24" t="n"/>
      <c r="ARG1" s="24" t="n"/>
      <c r="ARH1" s="24" t="n"/>
      <c r="ARI1" s="24" t="n"/>
      <c r="ARJ1" s="24" t="n"/>
      <c r="ARK1" s="24" t="n"/>
      <c r="ARL1" s="24" t="n"/>
      <c r="ARM1" s="24" t="n"/>
      <c r="ARN1" s="24" t="n"/>
      <c r="ARO1" s="24" t="n"/>
      <c r="ARP1" s="24" t="n"/>
      <c r="ARQ1" s="24" t="n"/>
      <c r="ARR1" s="24" t="n"/>
      <c r="ARS1" s="24" t="n"/>
      <c r="ART1" s="24" t="n"/>
      <c r="ARU1" s="24" t="n"/>
      <c r="ARV1" s="24" t="n"/>
      <c r="ARW1" s="24" t="n"/>
      <c r="ARX1" s="24" t="n"/>
      <c r="ARY1" s="24" t="n"/>
      <c r="ARZ1" s="24" t="n"/>
      <c r="ASA1" s="24" t="n"/>
      <c r="ASB1" s="24" t="n"/>
      <c r="ASC1" s="24" t="n"/>
      <c r="ASD1" s="24" t="n"/>
      <c r="ASE1" s="24" t="n"/>
      <c r="ASF1" s="24" t="n"/>
      <c r="ASG1" s="24" t="n"/>
      <c r="ASH1" s="24" t="n"/>
      <c r="ASI1" s="24" t="n"/>
      <c r="ASJ1" s="24" t="n"/>
      <c r="ASK1" s="24" t="n"/>
      <c r="ASL1" s="24" t="n"/>
      <c r="ASM1" s="24" t="n"/>
      <c r="ASN1" s="24" t="n"/>
      <c r="ASO1" s="24" t="n"/>
      <c r="ASP1" s="24" t="n"/>
      <c r="ASQ1" s="24" t="n"/>
      <c r="ASR1" s="24" t="n"/>
      <c r="ASS1" s="24" t="n"/>
      <c r="AST1" s="24" t="n"/>
      <c r="ASU1" s="24" t="n"/>
      <c r="ASV1" s="24" t="n"/>
      <c r="ASW1" s="24" t="n"/>
      <c r="ASX1" s="24" t="n"/>
      <c r="ASY1" s="24" t="n"/>
      <c r="ASZ1" s="24" t="n"/>
      <c r="ATA1" s="24" t="n"/>
      <c r="ATB1" s="24" t="n"/>
      <c r="ATC1" s="24" t="n"/>
      <c r="ATD1" s="24" t="n"/>
      <c r="ATE1" s="24" t="n"/>
      <c r="ATF1" s="24" t="n"/>
      <c r="ATG1" s="24" t="n"/>
      <c r="ATH1" s="24" t="n"/>
      <c r="ATI1" s="24" t="n"/>
      <c r="ATJ1" s="24" t="n"/>
      <c r="ATK1" s="24" t="n"/>
      <c r="ATL1" s="24" t="n"/>
      <c r="ATM1" s="24" t="n"/>
      <c r="ATN1" s="24" t="n"/>
      <c r="ATO1" s="24" t="n"/>
      <c r="ATP1" s="24" t="n"/>
      <c r="ATQ1" s="24" t="n"/>
      <c r="ATR1" s="24" t="n"/>
      <c r="ATS1" s="24" t="n"/>
      <c r="ATT1" s="24" t="n"/>
      <c r="ATU1" s="24" t="n"/>
      <c r="ATV1" s="24" t="n"/>
      <c r="ATW1" s="24" t="n"/>
      <c r="ATX1" s="24" t="n"/>
      <c r="ATY1" s="24" t="n"/>
      <c r="ATZ1" s="24" t="n"/>
      <c r="AUA1" s="24" t="n"/>
      <c r="AUB1" s="24" t="n"/>
      <c r="AUC1" s="24" t="n"/>
      <c r="AUD1" s="24" t="n"/>
      <c r="AUE1" s="24" t="n"/>
      <c r="AUF1" s="24" t="n"/>
      <c r="AUG1" s="24" t="n"/>
      <c r="AUH1" s="24" t="n"/>
      <c r="AUI1" s="24" t="n"/>
      <c r="AUJ1" s="24" t="n"/>
      <c r="AUK1" s="24" t="n"/>
      <c r="AUL1" s="24" t="n"/>
      <c r="AUM1" s="24" t="n"/>
      <c r="AUN1" s="24" t="n"/>
      <c r="AUO1" s="24" t="n"/>
      <c r="AUP1" s="24" t="n"/>
      <c r="AUQ1" s="24" t="n"/>
      <c r="AUR1" s="24" t="n"/>
      <c r="AUS1" s="24" t="n"/>
      <c r="AUT1" s="24" t="n"/>
      <c r="AUU1" s="24" t="n"/>
      <c r="AUV1" s="24" t="n"/>
      <c r="AUW1" s="24" t="n"/>
      <c r="AUX1" s="24" t="n"/>
      <c r="AUY1" s="24" t="n"/>
      <c r="AUZ1" s="24" t="n"/>
      <c r="AVA1" s="24" t="n"/>
      <c r="AVB1" s="24" t="n"/>
      <c r="AVC1" s="24" t="n"/>
      <c r="AVD1" s="24" t="n"/>
      <c r="AVE1" s="24" t="n"/>
      <c r="AVF1" s="24" t="n"/>
      <c r="AVG1" s="24" t="n"/>
      <c r="AVH1" s="24" t="n"/>
      <c r="AVI1" s="24" t="n"/>
      <c r="AVJ1" s="24" t="n"/>
      <c r="AVK1" s="24" t="n"/>
      <c r="AVL1" s="24" t="n"/>
      <c r="AVM1" s="24" t="n"/>
      <c r="AVN1" s="24" t="n"/>
      <c r="AVO1" s="24" t="n"/>
      <c r="AVP1" s="24" t="n"/>
      <c r="AVQ1" s="24" t="n"/>
      <c r="AVR1" s="24" t="n"/>
      <c r="AVS1" s="24" t="n"/>
      <c r="AVT1" s="24" t="n"/>
      <c r="AVU1" s="24" t="n"/>
      <c r="AVV1" s="24" t="n"/>
      <c r="AVW1" s="24" t="n"/>
      <c r="AVX1" s="24" t="n"/>
      <c r="AVY1" s="24" t="n"/>
      <c r="AVZ1" s="24" t="n"/>
      <c r="AWA1" s="24" t="n"/>
      <c r="AWB1" s="24" t="n"/>
      <c r="AWC1" s="24" t="n"/>
      <c r="AWD1" s="24" t="n"/>
      <c r="AWE1" s="24" t="n"/>
      <c r="AWF1" s="24" t="n"/>
      <c r="AWG1" s="24" t="n"/>
      <c r="AWH1" s="24" t="n"/>
      <c r="AWI1" s="24" t="n"/>
      <c r="AWJ1" s="24" t="n"/>
      <c r="AWK1" s="24" t="n"/>
      <c r="AWL1" s="24" t="n"/>
      <c r="AWM1" s="24" t="n"/>
      <c r="AWN1" s="24" t="n"/>
      <c r="AWO1" s="24" t="n"/>
      <c r="AWP1" s="24" t="n"/>
      <c r="AWQ1" s="24" t="n"/>
      <c r="AWR1" s="24" t="n"/>
      <c r="AWS1" s="24" t="n"/>
      <c r="AWT1" s="24" t="n"/>
      <c r="AWU1" s="24" t="n"/>
      <c r="AWV1" s="24" t="n"/>
      <c r="AWW1" s="24" t="n"/>
      <c r="AWX1" s="24" t="n"/>
      <c r="AWY1" s="24" t="n"/>
      <c r="AWZ1" s="24" t="n"/>
      <c r="AXA1" s="24" t="n"/>
      <c r="AXB1" s="24" t="n"/>
      <c r="AXC1" s="24" t="n"/>
      <c r="AXD1" s="24" t="n"/>
      <c r="AXE1" s="24" t="n"/>
      <c r="AXF1" s="24" t="n"/>
      <c r="AXG1" s="24" t="n"/>
      <c r="AXH1" s="24" t="n"/>
      <c r="AXI1" s="24" t="n"/>
      <c r="AXJ1" s="24" t="n"/>
      <c r="AXK1" s="24" t="n"/>
      <c r="AXL1" s="24" t="n"/>
      <c r="AXM1" s="24" t="n"/>
      <c r="AXN1" s="24" t="n"/>
      <c r="AXO1" s="24" t="n"/>
      <c r="AXP1" s="24" t="n"/>
      <c r="AXQ1" s="24" t="n"/>
      <c r="AXR1" s="24" t="n"/>
      <c r="AXS1" s="24" t="n"/>
      <c r="AXT1" s="24" t="n"/>
      <c r="AXU1" s="24" t="n"/>
      <c r="AXV1" s="24" t="n"/>
      <c r="AXW1" s="24" t="n"/>
      <c r="AXX1" s="24" t="n"/>
      <c r="AXY1" s="24" t="n"/>
      <c r="AXZ1" s="24" t="n"/>
      <c r="AYA1" s="24" t="n"/>
      <c r="AYB1" s="24" t="n"/>
      <c r="AYC1" s="24" t="n"/>
      <c r="AYD1" s="24" t="n"/>
      <c r="AYE1" s="24" t="n"/>
      <c r="AYF1" s="24" t="n"/>
      <c r="AYG1" s="24" t="n"/>
      <c r="AYH1" s="24" t="n"/>
      <c r="AYI1" s="24" t="n"/>
      <c r="AYJ1" s="24" t="n"/>
      <c r="AYK1" s="24" t="n"/>
      <c r="AYL1" s="24" t="n"/>
      <c r="AYM1" s="24" t="n"/>
      <c r="AYN1" s="24" t="n"/>
      <c r="AYO1" s="24" t="n"/>
      <c r="AYP1" s="24" t="n"/>
      <c r="AYQ1" s="24" t="n"/>
      <c r="AYR1" s="24" t="n"/>
      <c r="AYS1" s="24" t="n"/>
      <c r="AYT1" s="24" t="n"/>
      <c r="AYU1" s="24" t="n"/>
      <c r="AYV1" s="24" t="n"/>
      <c r="AYW1" s="24" t="n"/>
      <c r="AYX1" s="24" t="n"/>
      <c r="AYY1" s="24" t="n"/>
      <c r="AYZ1" s="24" t="n"/>
      <c r="AZA1" s="24" t="n"/>
      <c r="AZB1" s="24" t="n"/>
      <c r="AZC1" s="24" t="n"/>
      <c r="AZD1" s="24" t="n"/>
      <c r="AZE1" s="24" t="n"/>
      <c r="AZF1" s="24" t="n"/>
      <c r="AZG1" s="24" t="n"/>
      <c r="AZH1" s="24" t="n"/>
      <c r="AZI1" s="24" t="n"/>
      <c r="AZJ1" s="24" t="n"/>
      <c r="AZK1" s="24" t="n"/>
      <c r="AZL1" s="24" t="n"/>
      <c r="AZM1" s="24" t="n"/>
      <c r="AZN1" s="24" t="n"/>
      <c r="AZO1" s="24" t="n"/>
      <c r="AZP1" s="24" t="n"/>
      <c r="AZQ1" s="24" t="n"/>
      <c r="AZR1" s="24" t="n"/>
      <c r="AZS1" s="24" t="n"/>
      <c r="AZT1" s="24" t="n"/>
      <c r="AZU1" s="24" t="n"/>
      <c r="AZV1" s="24" t="n"/>
      <c r="AZW1" s="24" t="n"/>
      <c r="AZX1" s="24" t="n"/>
      <c r="AZY1" s="24" t="n"/>
      <c r="AZZ1" s="24" t="n"/>
      <c r="BAA1" s="24" t="n"/>
      <c r="BAB1" s="24" t="n"/>
      <c r="BAC1" s="24" t="n"/>
      <c r="BAD1" s="24" t="n"/>
      <c r="BAE1" s="24" t="n"/>
      <c r="BAF1" s="24" t="n"/>
      <c r="BAG1" s="24" t="n"/>
      <c r="BAH1" s="24" t="n"/>
      <c r="BAI1" s="24" t="n"/>
      <c r="BAJ1" s="24" t="n"/>
      <c r="BAK1" s="24" t="n"/>
      <c r="BAL1" s="24" t="n"/>
      <c r="BAM1" s="24" t="n"/>
      <c r="BAN1" s="24" t="n"/>
      <c r="BAO1" s="24" t="n"/>
      <c r="BAP1" s="24" t="n"/>
      <c r="BAQ1" s="24" t="n"/>
      <c r="BAR1" s="24" t="n"/>
      <c r="BAS1" s="24" t="n"/>
      <c r="BAT1" s="24" t="n"/>
      <c r="BAU1" s="24" t="n"/>
      <c r="BAV1" s="24" t="n"/>
      <c r="BAW1" s="24" t="n"/>
      <c r="BAX1" s="24" t="n"/>
      <c r="BAY1" s="24" t="n"/>
      <c r="BAZ1" s="24" t="n"/>
      <c r="BBA1" s="24" t="n"/>
      <c r="BBB1" s="24" t="n"/>
      <c r="BBC1" s="24" t="n"/>
      <c r="BBD1" s="24" t="n"/>
      <c r="BBE1" s="24" t="n"/>
      <c r="BBF1" s="24" t="n"/>
      <c r="BBG1" s="24" t="n"/>
      <c r="BBH1" s="24" t="n"/>
      <c r="BBI1" s="24" t="n"/>
      <c r="BBJ1" s="24" t="n"/>
      <c r="BBK1" s="24" t="n"/>
      <c r="BBL1" s="24" t="n"/>
      <c r="BBM1" s="24" t="n"/>
      <c r="BBN1" s="24" t="n"/>
      <c r="BBO1" s="24" t="n"/>
      <c r="BBP1" s="24" t="n"/>
      <c r="BBQ1" s="24" t="n"/>
      <c r="BBR1" s="24" t="n"/>
      <c r="BBS1" s="24" t="n"/>
      <c r="BBT1" s="24" t="n"/>
      <c r="BBU1" s="24" t="n"/>
      <c r="BBV1" s="24" t="n"/>
      <c r="BBW1" s="24" t="n"/>
      <c r="BBX1" s="24" t="n"/>
      <c r="BBY1" s="24" t="n"/>
      <c r="BBZ1" s="24" t="n"/>
      <c r="BCA1" s="24" t="n"/>
      <c r="BCB1" s="24" t="n"/>
      <c r="BCC1" s="24" t="n"/>
      <c r="BCD1" s="24" t="n"/>
      <c r="BCE1" s="24" t="n"/>
      <c r="BCF1" s="24" t="n"/>
      <c r="BCG1" s="24" t="n"/>
      <c r="BCH1" s="24" t="n"/>
      <c r="BCI1" s="24" t="n"/>
      <c r="BCJ1" s="24" t="n"/>
      <c r="BCK1" s="24" t="n"/>
      <c r="BCL1" s="24" t="n"/>
      <c r="BCM1" s="24" t="n"/>
      <c r="BCN1" s="24" t="n"/>
      <c r="BCO1" s="24" t="n"/>
      <c r="BCP1" s="24" t="n"/>
      <c r="BCQ1" s="24" t="n"/>
      <c r="BCR1" s="24" t="n"/>
      <c r="BCS1" s="24" t="n"/>
      <c r="BCT1" s="24" t="n"/>
      <c r="BCU1" s="24" t="n"/>
      <c r="BCV1" s="24" t="n"/>
      <c r="BCW1" s="24" t="n"/>
      <c r="BCX1" s="24" t="n"/>
      <c r="BCY1" s="24" t="n"/>
      <c r="BCZ1" s="24" t="n"/>
      <c r="BDA1" s="24" t="n"/>
      <c r="BDB1" s="24" t="n"/>
      <c r="BDC1" s="24" t="n"/>
      <c r="BDD1" s="24" t="n"/>
      <c r="BDE1" s="24" t="n"/>
      <c r="BDF1" s="24" t="n"/>
      <c r="BDG1" s="24" t="n"/>
      <c r="BDH1" s="24" t="n"/>
      <c r="BDI1" s="24" t="n"/>
      <c r="BDJ1" s="24" t="n"/>
      <c r="BDK1" s="24" t="n"/>
      <c r="BDL1" s="24" t="n"/>
      <c r="BDM1" s="24" t="n"/>
      <c r="BDN1" s="24" t="n"/>
      <c r="BDO1" s="24" t="n"/>
      <c r="BDP1" s="24" t="n"/>
      <c r="BDQ1" s="24" t="n"/>
      <c r="BDR1" s="24" t="n"/>
      <c r="BDS1" s="24" t="n"/>
      <c r="BDT1" s="24" t="n"/>
      <c r="BDU1" s="24" t="n"/>
      <c r="BDV1" s="24" t="n"/>
      <c r="BDW1" s="24" t="n"/>
      <c r="BDX1" s="24" t="n"/>
      <c r="BDY1" s="24" t="n"/>
      <c r="BDZ1" s="24" t="n"/>
      <c r="BEA1" s="24" t="n"/>
      <c r="BEB1" s="24" t="n"/>
      <c r="BEC1" s="24" t="n"/>
      <c r="BED1" s="24" t="n"/>
      <c r="BEE1" s="24" t="n"/>
      <c r="BEF1" s="24" t="n"/>
      <c r="BEG1" s="24" t="n"/>
      <c r="BEH1" s="24" t="n"/>
      <c r="BEI1" s="24" t="n"/>
      <c r="BEJ1" s="24" t="n"/>
      <c r="BEK1" s="24" t="n"/>
      <c r="BEL1" s="24" t="n"/>
      <c r="BEM1" s="24" t="n"/>
      <c r="BEN1" s="24" t="n"/>
      <c r="BEO1" s="24" t="n"/>
      <c r="BEP1" s="24" t="n"/>
      <c r="BEQ1" s="24" t="n"/>
      <c r="BER1" s="24" t="n"/>
      <c r="BES1" s="24" t="n"/>
      <c r="BET1" s="24" t="n"/>
      <c r="BEU1" s="24" t="n"/>
      <c r="BEV1" s="24" t="n"/>
      <c r="BEW1" s="24" t="n"/>
      <c r="BEX1" s="24" t="n"/>
      <c r="BEY1" s="24" t="n"/>
      <c r="BEZ1" s="24" t="n"/>
      <c r="BFA1" s="24" t="n"/>
      <c r="BFB1" s="24" t="n"/>
      <c r="BFC1" s="24" t="n"/>
      <c r="BFD1" s="24" t="n"/>
      <c r="BFE1" s="24" t="n"/>
      <c r="BFF1" s="24" t="n"/>
      <c r="BFG1" s="24" t="n"/>
      <c r="BFH1" s="24" t="n"/>
      <c r="BFI1" s="24" t="n"/>
      <c r="BFJ1" s="24" t="n"/>
      <c r="BFK1" s="24" t="n"/>
      <c r="BFL1" s="24" t="n"/>
      <c r="BFM1" s="24" t="n"/>
      <c r="BFN1" s="24" t="n"/>
      <c r="BFO1" s="24" t="n"/>
      <c r="BFP1" s="24" t="n"/>
      <c r="BFQ1" s="24" t="n"/>
      <c r="BFR1" s="24" t="n"/>
      <c r="BFS1" s="24" t="n"/>
      <c r="BFT1" s="24" t="n"/>
      <c r="BFU1" s="24" t="n"/>
      <c r="BFV1" s="24" t="n"/>
      <c r="BFW1" s="24" t="n"/>
      <c r="BFX1" s="24" t="n"/>
      <c r="BFY1" s="24" t="n"/>
      <c r="BFZ1" s="24" t="n"/>
      <c r="BGA1" s="24" t="n"/>
      <c r="BGB1" s="24" t="n"/>
      <c r="BGC1" s="24" t="n"/>
      <c r="BGD1" s="24" t="n"/>
      <c r="BGE1" s="24" t="n"/>
      <c r="BGF1" s="24" t="n"/>
      <c r="BGG1" s="24" t="n"/>
      <c r="BGH1" s="24" t="n"/>
      <c r="BGI1" s="24" t="n"/>
      <c r="BGJ1" s="24" t="n"/>
      <c r="BGK1" s="24" t="n"/>
      <c r="BGL1" s="24" t="n"/>
      <c r="BGM1" s="24" t="n"/>
      <c r="BGN1" s="24" t="n"/>
      <c r="BGO1" s="24" t="n"/>
      <c r="BGP1" s="24" t="n"/>
      <c r="BGQ1" s="24" t="n"/>
      <c r="BGR1" s="24" t="n"/>
      <c r="BGS1" s="24" t="n"/>
      <c r="BGT1" s="24" t="n"/>
      <c r="BGU1" s="24" t="n"/>
      <c r="BGV1" s="24" t="n"/>
      <c r="BGW1" s="24" t="n"/>
      <c r="BGX1" s="24" t="n"/>
      <c r="BGY1" s="24" t="n"/>
      <c r="BGZ1" s="24" t="n"/>
      <c r="BHA1" s="24" t="n"/>
      <c r="BHB1" s="24" t="n"/>
      <c r="BHC1" s="24" t="n"/>
      <c r="BHD1" s="24" t="n"/>
      <c r="BHE1" s="24" t="n"/>
      <c r="BHF1" s="24" t="n"/>
      <c r="BHG1" s="24" t="n"/>
      <c r="BHH1" s="24" t="n"/>
      <c r="BHI1" s="24" t="n"/>
      <c r="BHJ1" s="24" t="n"/>
      <c r="BHK1" s="24" t="n"/>
      <c r="BHL1" s="24" t="n"/>
      <c r="BHM1" s="24" t="n"/>
      <c r="BHN1" s="24" t="n"/>
      <c r="BHO1" s="24" t="n"/>
      <c r="BHP1" s="24" t="n"/>
      <c r="BHQ1" s="24" t="n"/>
      <c r="BHR1" s="24" t="n"/>
      <c r="BHS1" s="24" t="n"/>
      <c r="BHT1" s="24" t="n"/>
      <c r="BHU1" s="24" t="n"/>
      <c r="BHV1" s="24" t="n"/>
      <c r="BHW1" s="24" t="n"/>
      <c r="BHX1" s="24" t="n"/>
      <c r="BHY1" s="24" t="n"/>
      <c r="BHZ1" s="24" t="n"/>
      <c r="BIA1" s="24" t="n"/>
      <c r="BIB1" s="24" t="n"/>
      <c r="BIC1" s="24" t="n"/>
      <c r="BID1" s="24" t="n"/>
      <c r="BIE1" s="24" t="n"/>
      <c r="BIF1" s="24" t="n"/>
      <c r="BIG1" s="24" t="n"/>
      <c r="BIH1" s="24" t="n"/>
      <c r="BII1" s="24" t="n"/>
      <c r="BIJ1" s="24" t="n"/>
      <c r="BIK1" s="24" t="n"/>
      <c r="BIL1" s="24" t="n"/>
      <c r="BIM1" s="24" t="n"/>
      <c r="BIN1" s="24" t="n"/>
      <c r="BIO1" s="24" t="n"/>
      <c r="BIP1" s="24" t="n"/>
      <c r="BIQ1" s="24" t="n"/>
      <c r="BIR1" s="24" t="n"/>
      <c r="BIS1" s="24" t="n"/>
      <c r="BIT1" s="24" t="n"/>
      <c r="BIU1" s="24" t="n"/>
      <c r="BIV1" s="24" t="n"/>
      <c r="BIW1" s="24" t="n"/>
      <c r="BIX1" s="24" t="n"/>
      <c r="BIY1" s="24" t="n"/>
      <c r="BIZ1" s="24" t="n"/>
      <c r="BJA1" s="24" t="n"/>
      <c r="BJB1" s="24" t="n"/>
      <c r="BJC1" s="24" t="n"/>
      <c r="BJD1" s="24" t="n"/>
      <c r="BJE1" s="24" t="n"/>
      <c r="BJF1" s="24" t="n"/>
      <c r="BJG1" s="24" t="n"/>
      <c r="BJH1" s="24" t="n"/>
      <c r="BJI1" s="24" t="n"/>
      <c r="BJJ1" s="24" t="n"/>
      <c r="BJK1" s="24" t="n"/>
      <c r="BJL1" s="24" t="n"/>
      <c r="BJM1" s="24" t="n"/>
      <c r="BJN1" s="24" t="n"/>
      <c r="BJO1" s="24" t="n"/>
      <c r="BJP1" s="24" t="n"/>
      <c r="BJQ1" s="24" t="n"/>
      <c r="BJR1" s="24" t="n"/>
      <c r="BJS1" s="24" t="n"/>
      <c r="BJT1" s="24" t="n"/>
      <c r="BJU1" s="24" t="n"/>
      <c r="BJV1" s="24" t="n"/>
      <c r="BJW1" s="24" t="n"/>
      <c r="BJX1" s="24" t="n"/>
      <c r="BJY1" s="24" t="n"/>
      <c r="BJZ1" s="24" t="n"/>
      <c r="BKA1" s="24" t="n"/>
      <c r="BKB1" s="24" t="n"/>
      <c r="BKC1" s="24" t="n"/>
      <c r="BKD1" s="24" t="n"/>
      <c r="BKE1" s="24" t="n"/>
      <c r="BKF1" s="24" t="n"/>
      <c r="BKG1" s="24" t="n"/>
      <c r="BKH1" s="24" t="n"/>
      <c r="BKI1" s="24" t="n"/>
      <c r="BKJ1" s="24" t="n"/>
      <c r="BKK1" s="24" t="n"/>
      <c r="BKL1" s="24" t="n"/>
      <c r="BKM1" s="24" t="n"/>
      <c r="BKN1" s="24" t="n"/>
      <c r="BKO1" s="24" t="n"/>
      <c r="BKP1" s="24" t="n"/>
      <c r="BKQ1" s="24" t="n"/>
      <c r="BKR1" s="24" t="n"/>
      <c r="BKS1" s="24" t="n"/>
      <c r="BKT1" s="24" t="n"/>
      <c r="BKU1" s="24" t="n"/>
      <c r="BKV1" s="24" t="n"/>
      <c r="BKW1" s="24" t="n"/>
      <c r="BKX1" s="24" t="n"/>
      <c r="BKY1" s="24" t="n"/>
      <c r="BKZ1" s="24" t="n"/>
      <c r="BLA1" s="24" t="n"/>
      <c r="BLB1" s="24" t="n"/>
      <c r="BLC1" s="24" t="n"/>
      <c r="BLD1" s="24" t="n"/>
      <c r="BLE1" s="24" t="n"/>
      <c r="BLF1" s="24" t="n"/>
      <c r="BLG1" s="24" t="n"/>
      <c r="BLH1" s="24" t="n"/>
      <c r="BLI1" s="24" t="n"/>
      <c r="BLJ1" s="24" t="n"/>
      <c r="BLK1" s="24" t="n"/>
      <c r="BLL1" s="24" t="n"/>
      <c r="BLM1" s="24" t="n"/>
      <c r="BLN1" s="24" t="n"/>
      <c r="BLO1" s="24" t="n"/>
      <c r="BLP1" s="24" t="n"/>
      <c r="BLQ1" s="24" t="n"/>
      <c r="BLR1" s="24" t="n"/>
      <c r="BLS1" s="24" t="n"/>
      <c r="BLT1" s="24" t="n"/>
      <c r="BLU1" s="24" t="n"/>
      <c r="BLV1" s="24" t="n"/>
      <c r="BLW1" s="24" t="n"/>
      <c r="BLX1" s="24" t="n"/>
      <c r="BLY1" s="24" t="n"/>
      <c r="BLZ1" s="24" t="n"/>
      <c r="BMA1" s="24" t="n"/>
      <c r="BMB1" s="24" t="n"/>
      <c r="BMC1" s="24" t="n"/>
      <c r="BMD1" s="24" t="n"/>
      <c r="BME1" s="24" t="n"/>
      <c r="BMF1" s="24" t="n"/>
      <c r="BMG1" s="24" t="n"/>
      <c r="BMH1" s="24" t="n"/>
      <c r="BMI1" s="24" t="n"/>
      <c r="BMJ1" s="24" t="n"/>
      <c r="BMK1" s="24" t="n"/>
      <c r="BML1" s="24" t="n"/>
      <c r="BMM1" s="24" t="n"/>
      <c r="BMN1" s="24" t="n"/>
      <c r="BMO1" s="24" t="n"/>
      <c r="BMP1" s="24" t="n"/>
      <c r="BMQ1" s="24" t="n"/>
      <c r="BMR1" s="24" t="n"/>
      <c r="BMS1" s="24" t="n"/>
      <c r="BMT1" s="24" t="n"/>
      <c r="BMU1" s="24" t="n"/>
      <c r="BMV1" s="24" t="n"/>
      <c r="BMW1" s="24" t="n"/>
      <c r="BMX1" s="24" t="n"/>
      <c r="BMY1" s="24" t="n"/>
      <c r="BMZ1" s="24" t="n"/>
      <c r="BNA1" s="24" t="n"/>
      <c r="BNB1" s="24" t="n"/>
      <c r="BNC1" s="24" t="n"/>
      <c r="BND1" s="24" t="n"/>
      <c r="BNE1" s="24" t="n"/>
      <c r="BNF1" s="24" t="n"/>
      <c r="BNG1" s="24" t="n"/>
      <c r="BNH1" s="24" t="n"/>
      <c r="BNI1" s="24" t="n"/>
      <c r="BNJ1" s="24" t="n"/>
      <c r="BNK1" s="24" t="n"/>
      <c r="BNL1" s="24" t="n"/>
      <c r="BNM1" s="24" t="n"/>
      <c r="BNN1" s="24" t="n"/>
      <c r="BNO1" s="24" t="n"/>
      <c r="BNP1" s="24" t="n"/>
      <c r="BNQ1" s="24" t="n"/>
      <c r="BNR1" s="24" t="n"/>
      <c r="BNS1" s="24" t="n"/>
      <c r="BNT1" s="24" t="n"/>
      <c r="BNU1" s="24" t="n"/>
      <c r="BNV1" s="24" t="n"/>
      <c r="BNW1" s="24" t="n"/>
      <c r="BNX1" s="24" t="n"/>
      <c r="BNY1" s="24" t="n"/>
      <c r="BNZ1" s="24" t="n"/>
      <c r="BOA1" s="24" t="n"/>
      <c r="BOB1" s="24" t="n"/>
      <c r="BOC1" s="24" t="n"/>
      <c r="BOD1" s="24" t="n"/>
      <c r="BOE1" s="24" t="n"/>
      <c r="BOF1" s="24" t="n"/>
      <c r="BOG1" s="24" t="n"/>
      <c r="BOH1" s="24" t="n"/>
      <c r="BOI1" s="24" t="n"/>
      <c r="BOJ1" s="24" t="n"/>
      <c r="BOK1" s="24" t="n"/>
      <c r="BOL1" s="24" t="n"/>
      <c r="BOM1" s="24" t="n"/>
      <c r="BON1" s="24" t="n"/>
      <c r="BOO1" s="24" t="n"/>
      <c r="BOP1" s="24" t="n"/>
      <c r="BOQ1" s="24" t="n"/>
      <c r="BOR1" s="24" t="n"/>
      <c r="BOS1" s="24" t="n"/>
      <c r="BOT1" s="24" t="n"/>
      <c r="BOU1" s="24" t="n"/>
      <c r="BOV1" s="24" t="n"/>
      <c r="BOW1" s="24" t="n"/>
      <c r="BOX1" s="24" t="n"/>
      <c r="BOY1" s="24" t="n"/>
      <c r="BOZ1" s="24" t="n"/>
      <c r="BPA1" s="24" t="n"/>
      <c r="BPB1" s="24" t="n"/>
      <c r="BPC1" s="24" t="n"/>
      <c r="BPD1" s="24" t="n"/>
      <c r="BPE1" s="24" t="n"/>
      <c r="BPF1" s="24" t="n"/>
      <c r="BPG1" s="24" t="n"/>
      <c r="BPH1" s="24" t="n"/>
      <c r="BPI1" s="24" t="n"/>
      <c r="BPJ1" s="24" t="n"/>
      <c r="BPK1" s="24" t="n"/>
      <c r="BPL1" s="24" t="n"/>
      <c r="BPM1" s="24" t="n"/>
      <c r="BPN1" s="24" t="n"/>
      <c r="BPO1" s="24" t="n"/>
      <c r="BPP1" s="24" t="n"/>
      <c r="BPQ1" s="24" t="n"/>
      <c r="BPR1" s="24" t="n"/>
      <c r="BPS1" s="24" t="n"/>
      <c r="BPT1" s="24" t="n"/>
      <c r="BPU1" s="24" t="n"/>
      <c r="BPV1" s="24" t="n"/>
      <c r="BPW1" s="24" t="n"/>
      <c r="BPX1" s="24" t="n"/>
      <c r="BPY1" s="24" t="n"/>
      <c r="BPZ1" s="24" t="n"/>
      <c r="BQA1" s="24" t="n"/>
      <c r="BQB1" s="24" t="n"/>
      <c r="BQC1" s="24" t="n"/>
      <c r="BQD1" s="24" t="n"/>
      <c r="BQE1" s="24" t="n"/>
      <c r="BQF1" s="24" t="n"/>
      <c r="BQG1" s="24" t="n"/>
      <c r="BQH1" s="24" t="n"/>
      <c r="BQI1" s="24" t="n"/>
      <c r="BQJ1" s="24" t="n"/>
      <c r="BQK1" s="24" t="n"/>
      <c r="BQL1" s="24" t="n"/>
      <c r="BQM1" s="24" t="n"/>
      <c r="BQN1" s="24" t="n"/>
      <c r="BQO1" s="24" t="n"/>
      <c r="BQP1" s="24" t="n"/>
      <c r="BQQ1" s="24" t="n"/>
      <c r="BQR1" s="24" t="n"/>
      <c r="BQS1" s="24" t="n"/>
      <c r="BQT1" s="24" t="n"/>
      <c r="BQU1" s="24" t="n"/>
      <c r="BQV1" s="24" t="n"/>
      <c r="BQW1" s="24" t="n"/>
      <c r="BQX1" s="24" t="n"/>
      <c r="BQY1" s="24" t="n"/>
      <c r="BQZ1" s="24" t="n"/>
      <c r="BRA1" s="24" t="n"/>
      <c r="BRB1" s="24" t="n"/>
      <c r="BRC1" s="24" t="n"/>
      <c r="BRD1" s="24" t="n"/>
      <c r="BRE1" s="24" t="n"/>
      <c r="BRF1" s="24" t="n"/>
      <c r="BRG1" s="24" t="n"/>
      <c r="BRH1" s="24" t="n"/>
      <c r="BRI1" s="24" t="n"/>
      <c r="BRJ1" s="24" t="n"/>
      <c r="BRK1" s="24" t="n"/>
      <c r="BRL1" s="24" t="n"/>
      <c r="BRM1" s="24" t="n"/>
      <c r="BRN1" s="24" t="n"/>
      <c r="BRO1" s="24" t="n"/>
      <c r="BRP1" s="24" t="n"/>
      <c r="BRQ1" s="24" t="n"/>
      <c r="BRR1" s="24" t="n"/>
      <c r="BRS1" s="24" t="n"/>
      <c r="BRT1" s="24" t="n"/>
      <c r="BRU1" s="24" t="n"/>
      <c r="BRV1" s="24" t="n"/>
      <c r="BRW1" s="24" t="n"/>
      <c r="BRX1" s="24" t="n"/>
      <c r="BRY1" s="24" t="n"/>
      <c r="BRZ1" s="24" t="n"/>
      <c r="BSA1" s="24" t="n"/>
      <c r="BSB1" s="24" t="n"/>
      <c r="BSC1" s="24" t="n"/>
      <c r="BSD1" s="24" t="n"/>
      <c r="BSE1" s="24" t="n"/>
      <c r="BSF1" s="24" t="n"/>
      <c r="BSG1" s="24" t="n"/>
      <c r="BSH1" s="24" t="n"/>
      <c r="BSI1" s="24" t="n"/>
      <c r="BSJ1" s="24" t="n"/>
      <c r="BSK1" s="24" t="n"/>
      <c r="BSL1" s="24" t="n"/>
      <c r="BSM1" s="24" t="n"/>
      <c r="BSN1" s="24" t="n"/>
      <c r="BSO1" s="24" t="n"/>
      <c r="BSP1" s="24" t="n"/>
      <c r="BSQ1" s="24" t="n"/>
      <c r="BSR1" s="24" t="n"/>
      <c r="BSS1" s="24" t="n"/>
      <c r="BST1" s="24" t="n"/>
      <c r="BSU1" s="24" t="n"/>
      <c r="BSV1" s="24" t="n"/>
      <c r="BSW1" s="24" t="n"/>
      <c r="BSX1" s="24" t="n"/>
      <c r="BSY1" s="24" t="n"/>
      <c r="BSZ1" s="24" t="n"/>
      <c r="BTA1" s="24" t="n"/>
      <c r="BTB1" s="24" t="n"/>
      <c r="BTC1" s="24" t="n"/>
      <c r="BTD1" s="24" t="n"/>
      <c r="BTE1" s="24" t="n"/>
      <c r="BTF1" s="24" t="n"/>
      <c r="BTG1" s="24" t="n"/>
      <c r="BTH1" s="24" t="n"/>
      <c r="BTI1" s="24" t="n"/>
      <c r="BTJ1" s="24" t="n"/>
      <c r="BTK1" s="24" t="n"/>
      <c r="BTL1" s="24" t="n"/>
      <c r="BTM1" s="24" t="n"/>
      <c r="BTN1" s="24" t="n"/>
      <c r="BTO1" s="24" t="n"/>
      <c r="BTP1" s="24" t="n"/>
      <c r="BTQ1" s="24" t="n"/>
      <c r="BTR1" s="24" t="n"/>
      <c r="BTS1" s="24" t="n"/>
      <c r="BTT1" s="24" t="n"/>
      <c r="BTU1" s="24" t="n"/>
      <c r="BTV1" s="24" t="n"/>
      <c r="BTW1" s="24" t="n"/>
      <c r="BTX1" s="24" t="n"/>
      <c r="BTY1" s="24" t="n"/>
      <c r="BTZ1" s="24" t="n"/>
      <c r="BUA1" s="24" t="n"/>
      <c r="BUB1" s="24" t="n"/>
      <c r="BUC1" s="24" t="n"/>
      <c r="BUD1" s="24" t="n"/>
      <c r="BUE1" s="24" t="n"/>
      <c r="BUF1" s="24" t="n"/>
      <c r="BUG1" s="24" t="n"/>
      <c r="BUH1" s="24" t="n"/>
      <c r="BUI1" s="24" t="n"/>
      <c r="BUJ1" s="24" t="n"/>
      <c r="BUK1" s="24" t="n"/>
      <c r="BUL1" s="24" t="n"/>
      <c r="BUM1" s="24" t="n"/>
      <c r="BUN1" s="24" t="n"/>
      <c r="BUO1" s="24" t="n"/>
      <c r="BUP1" s="24" t="n"/>
      <c r="BUQ1" s="24" t="n"/>
      <c r="BUR1" s="24" t="n"/>
      <c r="BUS1" s="24" t="n"/>
      <c r="BUT1" s="24" t="n"/>
      <c r="BUU1" s="24" t="n"/>
      <c r="BUV1" s="24" t="n"/>
      <c r="BUW1" s="24" t="n"/>
      <c r="BUX1" s="24" t="n"/>
      <c r="BUY1" s="24" t="n"/>
      <c r="BUZ1" s="24" t="n"/>
      <c r="BVA1" s="24" t="n"/>
      <c r="BVB1" s="24" t="n"/>
      <c r="BVC1" s="24" t="n"/>
      <c r="BVD1" s="24" t="n"/>
      <c r="BVE1" s="24" t="n"/>
      <c r="BVF1" s="24" t="n"/>
      <c r="BVG1" s="24" t="n"/>
      <c r="BVH1" s="24" t="n"/>
      <c r="BVI1" s="24" t="n"/>
      <c r="BVJ1" s="24" t="n"/>
      <c r="BVK1" s="24" t="n"/>
      <c r="BVL1" s="24" t="n"/>
      <c r="BVM1" s="24" t="n"/>
      <c r="BVN1" s="24" t="n"/>
      <c r="BVO1" s="24" t="n"/>
      <c r="BVP1" s="24" t="n"/>
      <c r="BVQ1" s="24" t="n"/>
      <c r="BVR1" s="24" t="n"/>
      <c r="BVS1" s="24" t="n"/>
      <c r="BVT1" s="24" t="n"/>
      <c r="BVU1" s="24" t="n"/>
      <c r="BVV1" s="24" t="n"/>
      <c r="BVW1" s="24" t="n"/>
      <c r="BVX1" s="24" t="n"/>
      <c r="BVY1" s="24" t="n"/>
      <c r="BVZ1" s="24" t="n"/>
      <c r="BWA1" s="24" t="n"/>
      <c r="BWB1" s="24" t="n"/>
      <c r="BWC1" s="24" t="n"/>
      <c r="BWD1" s="24" t="n"/>
      <c r="BWE1" s="24" t="n"/>
      <c r="BWF1" s="24" t="n"/>
      <c r="BWG1" s="24" t="n"/>
      <c r="BWH1" s="24" t="n"/>
      <c r="BWI1" s="24" t="n"/>
      <c r="BWJ1" s="24" t="n"/>
      <c r="BWK1" s="24" t="n"/>
      <c r="BWL1" s="24" t="n"/>
      <c r="BWM1" s="24" t="n"/>
      <c r="BWN1" s="24" t="n"/>
      <c r="BWO1" s="24" t="n"/>
      <c r="BWP1" s="24" t="n"/>
      <c r="BWQ1" s="24" t="n"/>
      <c r="BWR1" s="24" t="n"/>
      <c r="BWS1" s="24" t="n"/>
      <c r="BWT1" s="24" t="n"/>
      <c r="BWU1" s="24" t="n"/>
      <c r="BWV1" s="24" t="n"/>
      <c r="BWW1" s="24" t="n"/>
      <c r="BWX1" s="24" t="n"/>
      <c r="BWY1" s="24" t="n"/>
      <c r="BWZ1" s="24" t="n"/>
      <c r="BXA1" s="24" t="n"/>
      <c r="BXB1" s="24" t="n"/>
      <c r="BXC1" s="24" t="n"/>
      <c r="BXD1" s="24" t="n"/>
      <c r="BXE1" s="24" t="n"/>
      <c r="BXF1" s="24" t="n"/>
      <c r="BXG1" s="24" t="n"/>
      <c r="BXH1" s="24" t="n"/>
      <c r="BXI1" s="24" t="n"/>
      <c r="BXJ1" s="24" t="n"/>
      <c r="BXK1" s="24" t="n"/>
      <c r="BXL1" s="24" t="n"/>
      <c r="BXM1" s="24" t="n"/>
      <c r="BXN1" s="24" t="n"/>
      <c r="BXO1" s="24" t="n"/>
      <c r="BXP1" s="24" t="n"/>
      <c r="BXQ1" s="24" t="n"/>
      <c r="BXR1" s="24" t="n"/>
      <c r="BXS1" s="24" t="n"/>
      <c r="BXT1" s="24" t="n"/>
      <c r="BXU1" s="24" t="n"/>
      <c r="BXV1" s="24" t="n"/>
      <c r="BXW1" s="24" t="n"/>
      <c r="BXX1" s="24" t="n"/>
      <c r="BXY1" s="24" t="n"/>
      <c r="BXZ1" s="24" t="n"/>
      <c r="BYA1" s="24" t="n"/>
      <c r="BYB1" s="24" t="n"/>
      <c r="BYC1" s="24" t="n"/>
      <c r="BYD1" s="24" t="n"/>
      <c r="BYE1" s="24" t="n"/>
      <c r="BYF1" s="24" t="n"/>
      <c r="BYG1" s="24" t="n"/>
      <c r="BYH1" s="24" t="n"/>
      <c r="BYI1" s="24" t="n"/>
      <c r="BYJ1" s="24" t="n"/>
      <c r="BYK1" s="24" t="n"/>
      <c r="BYL1" s="24" t="n"/>
      <c r="BYM1" s="24" t="n"/>
      <c r="BYN1" s="24" t="n"/>
      <c r="BYO1" s="24" t="n"/>
      <c r="BYP1" s="24" t="n"/>
      <c r="BYQ1" s="24" t="n"/>
      <c r="BYR1" s="24" t="n"/>
      <c r="BYS1" s="24" t="n"/>
      <c r="BYT1" s="24" t="n"/>
      <c r="BYU1" s="24" t="n"/>
      <c r="BYV1" s="24" t="n"/>
      <c r="BYW1" s="24" t="n"/>
      <c r="BYX1" s="24" t="n"/>
      <c r="BYY1" s="24" t="n"/>
      <c r="BYZ1" s="24" t="n"/>
      <c r="BZA1" s="24" t="n"/>
      <c r="BZB1" s="24" t="n"/>
      <c r="BZC1" s="24" t="n"/>
      <c r="BZD1" s="24" t="n"/>
      <c r="BZE1" s="24" t="n"/>
      <c r="BZF1" s="24" t="n"/>
      <c r="BZG1" s="24" t="n"/>
      <c r="BZH1" s="24" t="n"/>
      <c r="BZI1" s="24" t="n"/>
      <c r="BZJ1" s="24" t="n"/>
      <c r="BZK1" s="24" t="n"/>
      <c r="BZL1" s="24" t="n"/>
      <c r="BZM1" s="24" t="n"/>
      <c r="BZN1" s="24" t="n"/>
      <c r="BZO1" s="24" t="n"/>
      <c r="BZP1" s="24" t="n"/>
      <c r="BZQ1" s="24" t="n"/>
      <c r="BZR1" s="24" t="n"/>
      <c r="BZS1" s="24" t="n"/>
      <c r="BZT1" s="24" t="n"/>
      <c r="BZU1" s="24" t="n"/>
      <c r="BZV1" s="24" t="n"/>
      <c r="BZW1" s="24" t="n"/>
      <c r="BZX1" s="24" t="n"/>
      <c r="BZY1" s="24" t="n"/>
      <c r="BZZ1" s="24" t="n"/>
      <c r="CAA1" s="24" t="n"/>
      <c r="CAB1" s="24" t="n"/>
      <c r="CAC1" s="24" t="n"/>
      <c r="CAD1" s="24" t="n"/>
      <c r="CAE1" s="24" t="n"/>
      <c r="CAF1" s="24" t="n"/>
      <c r="CAG1" s="24" t="n"/>
      <c r="CAH1" s="24" t="n"/>
      <c r="CAI1" s="24" t="n"/>
      <c r="CAJ1" s="24" t="n"/>
      <c r="CAK1" s="24" t="n"/>
      <c r="CAL1" s="24" t="n"/>
      <c r="CAM1" s="24" t="n"/>
      <c r="CAN1" s="24" t="n"/>
      <c r="CAO1" s="24" t="n"/>
      <c r="CAP1" s="24" t="n"/>
      <c r="CAQ1" s="24" t="n"/>
      <c r="CAR1" s="24" t="n"/>
      <c r="CAS1" s="24" t="n"/>
      <c r="CAT1" s="24" t="n"/>
      <c r="CAU1" s="24" t="n"/>
      <c r="CAV1" s="24" t="n"/>
      <c r="CAW1" s="24" t="n"/>
      <c r="CAX1" s="24" t="n"/>
      <c r="CAY1" s="24" t="n"/>
      <c r="CAZ1" s="24" t="n"/>
      <c r="CBA1" s="24" t="n"/>
      <c r="CBB1" s="24" t="n"/>
      <c r="CBC1" s="24" t="n"/>
      <c r="CBD1" s="24" t="n"/>
      <c r="CBE1" s="24" t="n"/>
      <c r="CBF1" s="24" t="n"/>
      <c r="CBG1" s="24" t="n"/>
      <c r="CBH1" s="24" t="n"/>
      <c r="CBI1" s="24" t="n"/>
      <c r="CBJ1" s="24" t="n"/>
      <c r="CBK1" s="24" t="n"/>
      <c r="CBL1" s="24" t="n"/>
      <c r="CBM1" s="24" t="n"/>
      <c r="CBN1" s="24" t="n"/>
      <c r="CBO1" s="24" t="n"/>
      <c r="CBP1" s="24" t="n"/>
      <c r="CBQ1" s="24" t="n"/>
      <c r="CBR1" s="24" t="n"/>
      <c r="CBS1" s="24" t="n"/>
      <c r="CBT1" s="24" t="n"/>
      <c r="CBU1" s="24" t="n"/>
      <c r="CBV1" s="24" t="n"/>
      <c r="CBW1" s="24" t="n"/>
      <c r="CBX1" s="24" t="n"/>
      <c r="CBY1" s="24" t="n"/>
      <c r="CBZ1" s="24" t="n"/>
      <c r="CCA1" s="24" t="n"/>
      <c r="CCB1" s="24" t="n"/>
      <c r="CCC1" s="24" t="n"/>
      <c r="CCD1" s="24" t="n"/>
      <c r="CCE1" s="24" t="n"/>
      <c r="CCF1" s="24" t="n"/>
      <c r="CCG1" s="24" t="n"/>
      <c r="CCH1" s="24" t="n"/>
      <c r="CCI1" s="24" t="n"/>
      <c r="CCJ1" s="24" t="n"/>
      <c r="CCK1" s="24" t="n"/>
      <c r="CCL1" s="24" t="n"/>
      <c r="CCM1" s="24" t="n"/>
      <c r="CCN1" s="24" t="n"/>
      <c r="CCO1" s="24" t="n"/>
      <c r="CCP1" s="24" t="n"/>
      <c r="CCQ1" s="24" t="n"/>
      <c r="CCR1" s="24" t="n"/>
      <c r="CCS1" s="24" t="n"/>
      <c r="CCT1" s="24" t="n"/>
      <c r="CCU1" s="24" t="n"/>
      <c r="CCV1" s="24" t="n"/>
      <c r="CCW1" s="24" t="n"/>
      <c r="CCX1" s="24" t="n"/>
      <c r="CCY1" s="24" t="n"/>
      <c r="CCZ1" s="24" t="n"/>
      <c r="CDA1" s="24" t="n"/>
      <c r="CDB1" s="24" t="n"/>
      <c r="CDC1" s="24" t="n"/>
      <c r="CDD1" s="24" t="n"/>
      <c r="CDE1" s="24" t="n"/>
      <c r="CDF1" s="24" t="n"/>
      <c r="CDG1" s="24" t="n"/>
      <c r="CDH1" s="24" t="n"/>
      <c r="CDI1" s="24" t="n"/>
      <c r="CDJ1" s="24" t="n"/>
      <c r="CDK1" s="24" t="n"/>
      <c r="CDL1" s="24" t="n"/>
      <c r="CDM1" s="24" t="n"/>
      <c r="CDN1" s="24" t="n"/>
      <c r="CDO1" s="24" t="n"/>
      <c r="CDP1" s="24" t="n"/>
      <c r="CDQ1" s="24" t="n"/>
      <c r="CDR1" s="24" t="n"/>
      <c r="CDS1" s="24" t="n"/>
      <c r="CDT1" s="24" t="n"/>
      <c r="CDU1" s="24" t="n"/>
      <c r="CDV1" s="24" t="n"/>
      <c r="CDW1" s="24" t="n"/>
      <c r="CDX1" s="24" t="n"/>
      <c r="CDY1" s="24" t="n"/>
      <c r="CDZ1" s="24" t="n"/>
      <c r="CEA1" s="24" t="n"/>
      <c r="CEB1" s="24" t="n"/>
      <c r="CEC1" s="24" t="n"/>
      <c r="CED1" s="24" t="n"/>
      <c r="CEE1" s="24" t="n"/>
      <c r="CEF1" s="24" t="n"/>
      <c r="CEG1" s="24" t="n"/>
      <c r="CEH1" s="24" t="n"/>
      <c r="CEI1" s="24" t="n"/>
      <c r="CEJ1" s="24" t="n"/>
      <c r="CEK1" s="24" t="n"/>
      <c r="CEL1" s="24" t="n"/>
      <c r="CEM1" s="24" t="n"/>
      <c r="CEN1" s="24" t="n"/>
      <c r="CEO1" s="24" t="n"/>
      <c r="CEP1" s="24" t="n"/>
      <c r="CEQ1" s="24" t="n"/>
      <c r="CER1" s="24" t="n"/>
      <c r="CES1" s="24" t="n"/>
      <c r="CET1" s="24" t="n"/>
      <c r="CEU1" s="24" t="n"/>
      <c r="CEV1" s="24" t="n"/>
      <c r="CEW1" s="24" t="n"/>
      <c r="CEX1" s="24" t="n"/>
      <c r="CEY1" s="24" t="n"/>
      <c r="CEZ1" s="24" t="n"/>
      <c r="CFA1" s="24" t="n"/>
      <c r="CFB1" s="24" t="n"/>
      <c r="CFC1" s="24" t="n"/>
      <c r="CFD1" s="24" t="n"/>
      <c r="CFE1" s="24" t="n"/>
      <c r="CFF1" s="24" t="n"/>
      <c r="CFG1" s="24" t="n"/>
      <c r="CFH1" s="24" t="n"/>
      <c r="CFI1" s="24" t="n"/>
      <c r="CFJ1" s="24" t="n"/>
      <c r="CFK1" s="24" t="n"/>
      <c r="CFL1" s="24" t="n"/>
      <c r="CFM1" s="24" t="n"/>
      <c r="CFN1" s="24" t="n"/>
      <c r="CFO1" s="24" t="n"/>
      <c r="CFP1" s="24" t="n"/>
      <c r="CFQ1" s="24" t="n"/>
      <c r="CFR1" s="24" t="n"/>
      <c r="CFS1" s="24" t="n"/>
      <c r="CFT1" s="24" t="n"/>
      <c r="CFU1" s="24" t="n"/>
      <c r="CFV1" s="24" t="n"/>
      <c r="CFW1" s="24" t="n"/>
      <c r="CFX1" s="24" t="n"/>
      <c r="CFY1" s="24" t="n"/>
      <c r="CFZ1" s="24" t="n"/>
      <c r="CGA1" s="24" t="n"/>
      <c r="CGB1" s="24" t="n"/>
      <c r="CGC1" s="24" t="n"/>
      <c r="CGD1" s="24" t="n"/>
      <c r="CGE1" s="24" t="n"/>
      <c r="CGF1" s="24" t="n"/>
      <c r="CGG1" s="24" t="n"/>
      <c r="CGH1" s="24" t="n"/>
      <c r="CGI1" s="24" t="n"/>
      <c r="CGJ1" s="24" t="n"/>
      <c r="CGK1" s="24" t="n"/>
      <c r="CGL1" s="24" t="n"/>
      <c r="CGM1" s="24" t="n"/>
      <c r="CGN1" s="24" t="n"/>
      <c r="CGO1" s="24" t="n"/>
      <c r="CGP1" s="24" t="n"/>
      <c r="CGQ1" s="24" t="n"/>
      <c r="CGR1" s="24" t="n"/>
      <c r="CGS1" s="24" t="n"/>
      <c r="CGT1" s="24" t="n"/>
      <c r="CGU1" s="24" t="n"/>
      <c r="CGV1" s="24" t="n"/>
      <c r="CGW1" s="24" t="n"/>
      <c r="CGX1" s="24" t="n"/>
      <c r="CGY1" s="24" t="n"/>
      <c r="CGZ1" s="24" t="n"/>
      <c r="CHA1" s="24" t="n"/>
      <c r="CHB1" s="24" t="n"/>
      <c r="CHC1" s="24" t="n"/>
      <c r="CHD1" s="24" t="n"/>
      <c r="CHE1" s="24" t="n"/>
      <c r="CHF1" s="24" t="n"/>
      <c r="CHG1" s="24" t="n"/>
      <c r="CHH1" s="24" t="n"/>
      <c r="CHI1" s="24" t="n"/>
      <c r="CHJ1" s="24" t="n"/>
      <c r="CHK1" s="24" t="n"/>
      <c r="CHL1" s="24" t="n"/>
      <c r="CHM1" s="24" t="n"/>
      <c r="CHN1" s="24" t="n"/>
      <c r="CHO1" s="24" t="n"/>
      <c r="CHP1" s="24" t="n"/>
      <c r="CHQ1" s="24" t="n"/>
      <c r="CHR1" s="24" t="n"/>
      <c r="CHS1" s="24" t="n"/>
      <c r="CHT1" s="24" t="n"/>
      <c r="CHU1" s="24" t="n"/>
      <c r="CHV1" s="24" t="n"/>
      <c r="CHW1" s="24" t="n"/>
      <c r="CHX1" s="24" t="n"/>
      <c r="CHY1" s="24" t="n"/>
      <c r="CHZ1" s="24" t="n"/>
      <c r="CIA1" s="24" t="n"/>
      <c r="CIB1" s="24" t="n"/>
      <c r="CIC1" s="24" t="n"/>
      <c r="CID1" s="24" t="n"/>
      <c r="CIE1" s="24" t="n"/>
      <c r="CIF1" s="24" t="n"/>
      <c r="CIG1" s="24" t="n"/>
      <c r="CIH1" s="24" t="n"/>
      <c r="CII1" s="24" t="n"/>
      <c r="CIJ1" s="24" t="n"/>
      <c r="CIK1" s="24" t="n"/>
      <c r="CIL1" s="24" t="n"/>
      <c r="CIM1" s="24" t="n"/>
      <c r="CIN1" s="24" t="n"/>
      <c r="CIO1" s="24" t="n"/>
      <c r="CIP1" s="24" t="n"/>
      <c r="CIQ1" s="24" t="n"/>
      <c r="CIR1" s="24" t="n"/>
      <c r="CIS1" s="24" t="n"/>
      <c r="CIT1" s="24" t="n"/>
      <c r="CIU1" s="24" t="n"/>
      <c r="CIV1" s="24" t="n"/>
      <c r="CIW1" s="24" t="n"/>
      <c r="CIX1" s="24" t="n"/>
      <c r="CIY1" s="24" t="n"/>
      <c r="CIZ1" s="24" t="n"/>
      <c r="CJA1" s="24" t="n"/>
      <c r="CJB1" s="24" t="n"/>
      <c r="CJC1" s="24" t="n"/>
      <c r="CJD1" s="24" t="n"/>
      <c r="CJE1" s="24" t="n"/>
      <c r="CJF1" s="24" t="n"/>
      <c r="CJG1" s="24" t="n"/>
      <c r="CJH1" s="24" t="n"/>
      <c r="CJI1" s="24" t="n"/>
      <c r="CJJ1" s="24" t="n"/>
      <c r="CJK1" s="24" t="n"/>
      <c r="CJL1" s="24" t="n"/>
      <c r="CJM1" s="24" t="n"/>
      <c r="CJN1" s="24" t="n"/>
      <c r="CJO1" s="24" t="n"/>
      <c r="CJP1" s="24" t="n"/>
      <c r="CJQ1" s="24" t="n"/>
      <c r="CJR1" s="24" t="n"/>
      <c r="CJS1" s="24" t="n"/>
      <c r="CJT1" s="24" t="n"/>
      <c r="CJU1" s="24" t="n"/>
      <c r="CJV1" s="24" t="n"/>
      <c r="CJW1" s="24" t="n"/>
      <c r="CJX1" s="24" t="n"/>
      <c r="CJY1" s="24" t="n"/>
      <c r="CJZ1" s="24" t="n"/>
      <c r="CKA1" s="24" t="n"/>
      <c r="CKB1" s="24" t="n"/>
      <c r="CKC1" s="24" t="n"/>
      <c r="CKD1" s="24" t="n"/>
      <c r="CKE1" s="24" t="n"/>
      <c r="CKF1" s="24" t="n"/>
      <c r="CKG1" s="24" t="n"/>
      <c r="CKH1" s="24" t="n"/>
      <c r="CKI1" s="24" t="n"/>
      <c r="CKJ1" s="24" t="n"/>
      <c r="CKK1" s="24" t="n"/>
      <c r="CKL1" s="24" t="n"/>
      <c r="CKM1" s="24" t="n"/>
      <c r="CKN1" s="24" t="n"/>
      <c r="CKO1" s="24" t="n"/>
      <c r="CKP1" s="24" t="n"/>
      <c r="CKQ1" s="24" t="n"/>
      <c r="CKR1" s="24" t="n"/>
      <c r="CKS1" s="24" t="n"/>
      <c r="CKT1" s="24" t="n"/>
      <c r="CKU1" s="24" t="n"/>
      <c r="CKV1" s="24" t="n"/>
      <c r="CKW1" s="24" t="n"/>
      <c r="CKX1" s="24" t="n"/>
      <c r="CKY1" s="24" t="n"/>
      <c r="CKZ1" s="24" t="n"/>
      <c r="CLA1" s="24" t="n"/>
      <c r="CLB1" s="24" t="n"/>
      <c r="CLC1" s="24" t="n"/>
      <c r="CLD1" s="24" t="n"/>
      <c r="CLE1" s="24" t="n"/>
      <c r="CLF1" s="24" t="n"/>
      <c r="CLG1" s="24" t="n"/>
      <c r="CLH1" s="24" t="n"/>
      <c r="CLI1" s="24" t="n"/>
      <c r="CLJ1" s="24" t="n"/>
      <c r="CLK1" s="24" t="n"/>
      <c r="CLL1" s="24" t="n"/>
      <c r="CLM1" s="24" t="n"/>
      <c r="CLN1" s="24" t="n"/>
      <c r="CLO1" s="24" t="n"/>
      <c r="CLP1" s="24" t="n"/>
      <c r="CLQ1" s="24" t="n"/>
      <c r="CLR1" s="24" t="n"/>
      <c r="CLS1" s="24" t="n"/>
      <c r="CLT1" s="24" t="n"/>
      <c r="CLU1" s="24" t="n"/>
      <c r="CLV1" s="24" t="n"/>
      <c r="CLW1" s="24" t="n"/>
      <c r="CLX1" s="24" t="n"/>
      <c r="CLY1" s="24" t="n"/>
      <c r="CLZ1" s="24" t="n"/>
      <c r="CMA1" s="24" t="n"/>
      <c r="CMB1" s="24" t="n"/>
      <c r="CMC1" s="24" t="n"/>
      <c r="CMD1" s="24" t="n"/>
      <c r="CME1" s="24" t="n"/>
      <c r="CMF1" s="24" t="n"/>
      <c r="CMG1" s="24" t="n"/>
      <c r="CMH1" s="24" t="n"/>
      <c r="CMI1" s="24" t="n"/>
      <c r="CMJ1" s="24" t="n"/>
      <c r="CMK1" s="24" t="n"/>
      <c r="CML1" s="24" t="n"/>
      <c r="CMM1" s="24" t="n"/>
      <c r="CMN1" s="24" t="n"/>
      <c r="CMO1" s="24" t="n"/>
      <c r="CMP1" s="24" t="n"/>
      <c r="CMQ1" s="24" t="n"/>
      <c r="CMR1" s="24" t="n"/>
      <c r="CMS1" s="24" t="n"/>
      <c r="CMT1" s="24" t="n"/>
      <c r="CMU1" s="24" t="n"/>
      <c r="CMV1" s="24" t="n"/>
      <c r="CMW1" s="24" t="n"/>
      <c r="CMX1" s="24" t="n"/>
      <c r="CMY1" s="24" t="n"/>
      <c r="CMZ1" s="24" t="n"/>
      <c r="CNA1" s="24" t="n"/>
      <c r="CNB1" s="24" t="n"/>
      <c r="CNC1" s="24" t="n"/>
      <c r="CND1" s="24" t="n"/>
      <c r="CNE1" s="24" t="n"/>
      <c r="CNF1" s="24" t="n"/>
      <c r="CNG1" s="24" t="n"/>
      <c r="CNH1" s="24" t="n"/>
      <c r="CNI1" s="24" t="n"/>
      <c r="CNJ1" s="24" t="n"/>
      <c r="CNK1" s="24" t="n"/>
      <c r="CNL1" s="24" t="n"/>
      <c r="CNM1" s="24" t="n"/>
      <c r="CNN1" s="24" t="n"/>
      <c r="CNO1" s="24" t="n"/>
      <c r="CNP1" s="24" t="n"/>
      <c r="CNQ1" s="24" t="n"/>
      <c r="CNR1" s="24" t="n"/>
      <c r="CNS1" s="24" t="n"/>
      <c r="CNT1" s="24" t="n"/>
      <c r="CNU1" s="24" t="n"/>
      <c r="CNV1" s="24" t="n"/>
      <c r="CNW1" s="24" t="n"/>
      <c r="CNX1" s="24" t="n"/>
      <c r="CNY1" s="24" t="n"/>
      <c r="CNZ1" s="24" t="n"/>
      <c r="COA1" s="24" t="n"/>
      <c r="COB1" s="24" t="n"/>
      <c r="COC1" s="24" t="n"/>
      <c r="COD1" s="24" t="n"/>
      <c r="COE1" s="24" t="n"/>
      <c r="COF1" s="24" t="n"/>
      <c r="COG1" s="24" t="n"/>
      <c r="COH1" s="24" t="n"/>
      <c r="COI1" s="24" t="n"/>
      <c r="COJ1" s="24" t="n"/>
      <c r="COK1" s="24" t="n"/>
      <c r="COL1" s="24" t="n"/>
      <c r="COM1" s="24" t="n"/>
      <c r="CON1" s="24" t="n"/>
      <c r="COO1" s="24" t="n"/>
      <c r="COP1" s="24" t="n"/>
      <c r="COQ1" s="24" t="n"/>
      <c r="COR1" s="24" t="n"/>
      <c r="COS1" s="24" t="n"/>
      <c r="COT1" s="24" t="n"/>
      <c r="COU1" s="24" t="n"/>
      <c r="COV1" s="24" t="n"/>
      <c r="COW1" s="24" t="n"/>
      <c r="COX1" s="24" t="n"/>
      <c r="COY1" s="24" t="n"/>
      <c r="COZ1" s="24" t="n"/>
      <c r="CPA1" s="24" t="n"/>
      <c r="CPB1" s="24" t="n"/>
      <c r="CPC1" s="24" t="n"/>
      <c r="CPD1" s="24" t="n"/>
      <c r="CPE1" s="24" t="n"/>
      <c r="CPF1" s="24" t="n"/>
      <c r="CPG1" s="24" t="n"/>
      <c r="CPH1" s="24" t="n"/>
      <c r="CPI1" s="24" t="n"/>
      <c r="CPJ1" s="24" t="n"/>
      <c r="CPK1" s="24" t="n"/>
      <c r="CPL1" s="24" t="n"/>
      <c r="CPM1" s="24" t="n"/>
      <c r="CPN1" s="24" t="n"/>
      <c r="CPO1" s="24" t="n"/>
      <c r="CPP1" s="24" t="n"/>
      <c r="CPQ1" s="24" t="n"/>
      <c r="CPR1" s="24" t="n"/>
      <c r="CPS1" s="24" t="n"/>
      <c r="CPT1" s="24" t="n"/>
      <c r="CPU1" s="24" t="n"/>
      <c r="CPV1" s="24" t="n"/>
      <c r="CPW1" s="24" t="n"/>
      <c r="CPX1" s="24" t="n"/>
      <c r="CPY1" s="24" t="n"/>
      <c r="CPZ1" s="24" t="n"/>
      <c r="CQA1" s="24" t="n"/>
      <c r="CQB1" s="24" t="n"/>
      <c r="CQC1" s="24" t="n"/>
      <c r="CQD1" s="24" t="n"/>
      <c r="CQE1" s="24" t="n"/>
      <c r="CQF1" s="24" t="n"/>
      <c r="CQG1" s="24" t="n"/>
      <c r="CQH1" s="24" t="n"/>
      <c r="CQI1" s="24" t="n"/>
      <c r="CQJ1" s="24" t="n"/>
      <c r="CQK1" s="24" t="n"/>
      <c r="CQL1" s="24" t="n"/>
      <c r="CQM1" s="24" t="n"/>
      <c r="CQN1" s="24" t="n"/>
      <c r="CQO1" s="24" t="n"/>
      <c r="CQP1" s="24" t="n"/>
      <c r="CQQ1" s="24" t="n"/>
      <c r="CQR1" s="24" t="n"/>
      <c r="CQS1" s="24" t="n"/>
      <c r="CQT1" s="24" t="n"/>
      <c r="CQU1" s="24" t="n"/>
      <c r="CQV1" s="24" t="n"/>
      <c r="CQW1" s="24" t="n"/>
      <c r="CQX1" s="24" t="n"/>
      <c r="CQY1" s="24" t="n"/>
      <c r="CQZ1" s="24" t="n"/>
      <c r="CRA1" s="24" t="n"/>
      <c r="CRB1" s="24" t="n"/>
      <c r="CRC1" s="24" t="n"/>
      <c r="CRD1" s="24" t="n"/>
      <c r="CRE1" s="24" t="n"/>
      <c r="CRF1" s="24" t="n"/>
      <c r="CRG1" s="24" t="n"/>
      <c r="CRH1" s="24" t="n"/>
      <c r="CRI1" s="24" t="n"/>
      <c r="CRJ1" s="24" t="n"/>
      <c r="CRK1" s="24" t="n"/>
      <c r="CRL1" s="24" t="n"/>
      <c r="CRM1" s="24" t="n"/>
      <c r="CRN1" s="24" t="n"/>
      <c r="CRO1" s="24" t="n"/>
      <c r="CRP1" s="24" t="n"/>
      <c r="CRQ1" s="24" t="n"/>
      <c r="CRR1" s="24" t="n"/>
      <c r="CRS1" s="24" t="n"/>
      <c r="CRT1" s="24" t="n"/>
      <c r="CRU1" s="24" t="n"/>
      <c r="CRV1" s="24" t="n"/>
      <c r="CRW1" s="24" t="n"/>
      <c r="CRX1" s="24" t="n"/>
      <c r="CRY1" s="24" t="n"/>
      <c r="CRZ1" s="24" t="n"/>
      <c r="CSA1" s="24" t="n"/>
      <c r="CSB1" s="24" t="n"/>
      <c r="CSC1" s="24" t="n"/>
      <c r="CSD1" s="24" t="n"/>
      <c r="CSE1" s="24" t="n"/>
      <c r="CSF1" s="24" t="n"/>
      <c r="CSG1" s="24" t="n"/>
      <c r="CSH1" s="24" t="n"/>
      <c r="CSI1" s="24" t="n"/>
      <c r="CSJ1" s="24" t="n"/>
      <c r="CSK1" s="24" t="n"/>
      <c r="CSL1" s="24" t="n"/>
      <c r="CSM1" s="24" t="n"/>
      <c r="CSN1" s="24" t="n"/>
      <c r="CSO1" s="24" t="n"/>
      <c r="CSP1" s="24" t="n"/>
      <c r="CSQ1" s="24" t="n"/>
      <c r="CSR1" s="24" t="n"/>
      <c r="CSS1" s="24" t="n"/>
      <c r="CST1" s="24" t="n"/>
      <c r="CSU1" s="24" t="n"/>
      <c r="CSV1" s="24" t="n"/>
      <c r="CSW1" s="24" t="n"/>
      <c r="CSX1" s="24" t="n"/>
      <c r="CSY1" s="24" t="n"/>
      <c r="CSZ1" s="24" t="n"/>
      <c r="CTA1" s="24" t="n"/>
      <c r="CTB1" s="24" t="n"/>
      <c r="CTC1" s="24" t="n"/>
      <c r="CTD1" s="24" t="n"/>
      <c r="CTE1" s="24" t="n"/>
      <c r="CTF1" s="24" t="n"/>
      <c r="CTG1" s="24" t="n"/>
      <c r="CTH1" s="24" t="n"/>
      <c r="CTI1" s="24" t="n"/>
      <c r="CTJ1" s="24" t="n"/>
      <c r="CTK1" s="24" t="n"/>
      <c r="CTL1" s="24" t="n"/>
      <c r="CTM1" s="24" t="n"/>
      <c r="CTN1" s="24" t="n"/>
      <c r="CTO1" s="24" t="n"/>
      <c r="CTP1" s="24" t="n"/>
      <c r="CTQ1" s="24" t="n"/>
      <c r="CTR1" s="24" t="n"/>
      <c r="CTS1" s="24" t="n"/>
      <c r="CTT1" s="24" t="n"/>
      <c r="CTU1" s="24" t="n"/>
      <c r="CTV1" s="24" t="n"/>
      <c r="CTW1" s="24" t="n"/>
      <c r="CTX1" s="24" t="n"/>
      <c r="CTY1" s="24" t="n"/>
      <c r="CTZ1" s="24" t="n"/>
      <c r="CUA1" s="24" t="n"/>
      <c r="CUB1" s="24" t="n"/>
      <c r="CUC1" s="24" t="n"/>
      <c r="CUD1" s="24" t="n"/>
      <c r="CUE1" s="24" t="n"/>
      <c r="CUF1" s="24" t="n"/>
      <c r="CUG1" s="24" t="n"/>
      <c r="CUH1" s="24" t="n"/>
      <c r="CUI1" s="24" t="n"/>
      <c r="CUJ1" s="24" t="n"/>
      <c r="CUK1" s="24" t="n"/>
      <c r="CUL1" s="24" t="n"/>
      <c r="CUM1" s="24" t="n"/>
      <c r="CUN1" s="24" t="n"/>
      <c r="CUO1" s="24" t="n"/>
      <c r="CUP1" s="24" t="n"/>
      <c r="CUQ1" s="24" t="n"/>
      <c r="CUR1" s="24" t="n"/>
      <c r="CUS1" s="24" t="n"/>
      <c r="CUT1" s="24" t="n"/>
      <c r="CUU1" s="24" t="n"/>
      <c r="CUV1" s="24" t="n"/>
      <c r="CUW1" s="24" t="n"/>
      <c r="CUX1" s="24" t="n"/>
      <c r="CUY1" s="24" t="n"/>
      <c r="CUZ1" s="24" t="n"/>
      <c r="CVA1" s="24" t="n"/>
      <c r="CVB1" s="24" t="n"/>
      <c r="CVC1" s="24" t="n"/>
      <c r="CVD1" s="24" t="n"/>
      <c r="CVE1" s="24" t="n"/>
      <c r="CVF1" s="24" t="n"/>
      <c r="CVG1" s="24" t="n"/>
      <c r="CVH1" s="24" t="n"/>
      <c r="CVI1" s="24" t="n"/>
      <c r="CVJ1" s="24" t="n"/>
      <c r="CVK1" s="24" t="n"/>
      <c r="CVL1" s="24" t="n"/>
      <c r="CVM1" s="24" t="n"/>
      <c r="CVN1" s="24" t="n"/>
      <c r="CVO1" s="24" t="n"/>
      <c r="CVP1" s="24" t="n"/>
      <c r="CVQ1" s="24" t="n"/>
      <c r="CVR1" s="24" t="n"/>
      <c r="CVS1" s="24" t="n"/>
      <c r="CVT1" s="24" t="n"/>
      <c r="CVU1" s="24" t="n"/>
      <c r="CVV1" s="24" t="n"/>
      <c r="CVW1" s="24" t="n"/>
      <c r="CVX1" s="24" t="n"/>
      <c r="CVY1" s="24" t="n"/>
      <c r="CVZ1" s="24" t="n"/>
      <c r="CWA1" s="24" t="n"/>
      <c r="CWB1" s="24" t="n"/>
      <c r="CWC1" s="24" t="n"/>
      <c r="CWD1" s="24" t="n"/>
      <c r="CWE1" s="24" t="n"/>
      <c r="CWF1" s="24" t="n"/>
      <c r="CWG1" s="24" t="n"/>
      <c r="CWH1" s="24" t="n"/>
      <c r="CWI1" s="24" t="n"/>
      <c r="CWJ1" s="24" t="n"/>
      <c r="CWK1" s="24" t="n"/>
      <c r="CWL1" s="24" t="n"/>
      <c r="CWM1" s="24" t="n"/>
      <c r="CWN1" s="24" t="n"/>
      <c r="CWO1" s="24" t="n"/>
      <c r="CWP1" s="24" t="n"/>
      <c r="CWQ1" s="24" t="n"/>
      <c r="CWR1" s="24" t="n"/>
      <c r="CWS1" s="24" t="n"/>
      <c r="CWT1" s="24" t="n"/>
      <c r="CWU1" s="24" t="n"/>
      <c r="CWV1" s="24" t="n"/>
      <c r="CWW1" s="24" t="n"/>
      <c r="CWX1" s="24" t="n"/>
      <c r="CWY1" s="24" t="n"/>
      <c r="CWZ1" s="24" t="n"/>
      <c r="CXA1" s="24" t="n"/>
      <c r="CXB1" s="24" t="n"/>
      <c r="CXC1" s="24" t="n"/>
      <c r="CXD1" s="24" t="n"/>
      <c r="CXE1" s="24" t="n"/>
      <c r="CXF1" s="24" t="n"/>
      <c r="CXG1" s="24" t="n"/>
      <c r="CXH1" s="24" t="n"/>
      <c r="CXI1" s="24" t="n"/>
      <c r="CXJ1" s="24" t="n"/>
      <c r="CXK1" s="24" t="n"/>
      <c r="CXL1" s="24" t="n"/>
      <c r="CXM1" s="24" t="n"/>
      <c r="CXN1" s="24" t="n"/>
      <c r="CXO1" s="24" t="n"/>
      <c r="CXP1" s="24" t="n"/>
      <c r="CXQ1" s="24" t="n"/>
      <c r="CXR1" s="24" t="n"/>
      <c r="CXS1" s="24" t="n"/>
      <c r="CXT1" s="24" t="n"/>
      <c r="CXU1" s="24" t="n"/>
      <c r="CXV1" s="24" t="n"/>
      <c r="CXW1" s="24" t="n"/>
      <c r="CXX1" s="24" t="n"/>
      <c r="CXY1" s="24" t="n"/>
      <c r="CXZ1" s="24" t="n"/>
      <c r="CYA1" s="24" t="n"/>
      <c r="CYB1" s="24" t="n"/>
      <c r="CYC1" s="24" t="n"/>
      <c r="CYD1" s="24" t="n"/>
      <c r="CYE1" s="24" t="n"/>
      <c r="CYF1" s="24" t="n"/>
      <c r="CYG1" s="24" t="n"/>
      <c r="CYH1" s="24" t="n"/>
      <c r="CYI1" s="24" t="n"/>
      <c r="CYJ1" s="24" t="n"/>
      <c r="CYK1" s="24" t="n"/>
      <c r="CYL1" s="24" t="n"/>
      <c r="CYM1" s="24" t="n"/>
      <c r="CYN1" s="24" t="n"/>
      <c r="CYO1" s="24" t="n"/>
      <c r="CYP1" s="24" t="n"/>
      <c r="CYQ1" s="24" t="n"/>
      <c r="CYR1" s="24" t="n"/>
      <c r="CYS1" s="24" t="n"/>
      <c r="CYT1" s="24" t="n"/>
      <c r="CYU1" s="24" t="n"/>
      <c r="CYV1" s="24" t="n"/>
      <c r="CYW1" s="24" t="n"/>
      <c r="CYX1" s="24" t="n"/>
      <c r="CYY1" s="24" t="n"/>
      <c r="CYZ1" s="24" t="n"/>
      <c r="CZA1" s="24" t="n"/>
      <c r="CZB1" s="24" t="n"/>
      <c r="CZC1" s="24" t="n"/>
      <c r="CZD1" s="24" t="n"/>
      <c r="CZE1" s="24" t="n"/>
      <c r="CZF1" s="24" t="n"/>
      <c r="CZG1" s="24" t="n"/>
      <c r="CZH1" s="24" t="n"/>
      <c r="CZI1" s="24" t="n"/>
      <c r="CZJ1" s="24" t="n"/>
      <c r="CZK1" s="24" t="n"/>
      <c r="CZL1" s="24" t="n"/>
      <c r="CZM1" s="24" t="n"/>
      <c r="CZN1" s="24" t="n"/>
      <c r="CZO1" s="24" t="n"/>
      <c r="CZP1" s="24" t="n"/>
      <c r="CZQ1" s="24" t="n"/>
      <c r="CZR1" s="24" t="n"/>
      <c r="CZS1" s="24" t="n"/>
      <c r="CZT1" s="24" t="n"/>
      <c r="CZU1" s="24" t="n"/>
      <c r="CZV1" s="24" t="n"/>
      <c r="CZW1" s="24" t="n"/>
      <c r="CZX1" s="24" t="n"/>
      <c r="CZY1" s="24" t="n"/>
      <c r="CZZ1" s="24" t="n"/>
      <c r="DAA1" s="24" t="n"/>
      <c r="DAB1" s="24" t="n"/>
      <c r="DAC1" s="24" t="n"/>
      <c r="DAD1" s="24" t="n"/>
      <c r="DAE1" s="24" t="n"/>
      <c r="DAF1" s="24" t="n"/>
      <c r="DAG1" s="24" t="n"/>
      <c r="DAH1" s="24" t="n"/>
      <c r="DAI1" s="24" t="n"/>
      <c r="DAJ1" s="24" t="n"/>
      <c r="DAK1" s="24" t="n"/>
      <c r="DAL1" s="24" t="n"/>
      <c r="DAM1" s="24" t="n"/>
      <c r="DAN1" s="24" t="n"/>
      <c r="DAO1" s="24" t="n"/>
      <c r="DAP1" s="24" t="n"/>
      <c r="DAQ1" s="24" t="n"/>
      <c r="DAR1" s="24" t="n"/>
      <c r="DAS1" s="24" t="n"/>
      <c r="DAT1" s="24" t="n"/>
      <c r="DAU1" s="24" t="n"/>
      <c r="DAV1" s="24" t="n"/>
      <c r="DAW1" s="24" t="n"/>
      <c r="DAX1" s="24" t="n"/>
      <c r="DAY1" s="24" t="n"/>
      <c r="DAZ1" s="24" t="n"/>
      <c r="DBA1" s="24" t="n"/>
      <c r="DBB1" s="24" t="n"/>
      <c r="DBC1" s="24" t="n"/>
      <c r="DBD1" s="24" t="n"/>
      <c r="DBE1" s="24" t="n"/>
      <c r="DBF1" s="24" t="n"/>
      <c r="DBG1" s="24" t="n"/>
      <c r="DBH1" s="24" t="n"/>
      <c r="DBI1" s="24" t="n"/>
      <c r="DBJ1" s="24" t="n"/>
      <c r="DBK1" s="24" t="n"/>
      <c r="DBL1" s="24" t="n"/>
      <c r="DBM1" s="24" t="n"/>
      <c r="DBN1" s="24" t="n"/>
      <c r="DBO1" s="24" t="n"/>
      <c r="DBP1" s="24" t="n"/>
      <c r="DBQ1" s="24" t="n"/>
      <c r="DBR1" s="24" t="n"/>
      <c r="DBS1" s="24" t="n"/>
      <c r="DBT1" s="24" t="n"/>
      <c r="DBU1" s="24" t="n"/>
      <c r="DBV1" s="24" t="n"/>
      <c r="DBW1" s="24" t="n"/>
      <c r="DBX1" s="24" t="n"/>
      <c r="DBY1" s="24" t="n"/>
      <c r="DBZ1" s="24" t="n"/>
      <c r="DCA1" s="24" t="n"/>
      <c r="DCB1" s="24" t="n"/>
      <c r="DCC1" s="24" t="n"/>
      <c r="DCD1" s="24" t="n"/>
      <c r="DCE1" s="24" t="n"/>
      <c r="DCF1" s="24" t="n"/>
      <c r="DCG1" s="24" t="n"/>
      <c r="DCH1" s="24" t="n"/>
      <c r="DCI1" s="24" t="n"/>
      <c r="DCJ1" s="24" t="n"/>
      <c r="DCK1" s="24" t="n"/>
      <c r="DCL1" s="24" t="n"/>
      <c r="DCM1" s="24" t="n"/>
      <c r="DCN1" s="24" t="n"/>
      <c r="DCO1" s="24" t="n"/>
      <c r="DCP1" s="24" t="n"/>
      <c r="DCQ1" s="24" t="n"/>
      <c r="DCR1" s="24" t="n"/>
      <c r="DCS1" s="24" t="n"/>
      <c r="DCT1" s="24" t="n"/>
      <c r="DCU1" s="24" t="n"/>
      <c r="DCV1" s="24" t="n"/>
      <c r="DCW1" s="24" t="n"/>
      <c r="DCX1" s="24" t="n"/>
      <c r="DCY1" s="24" t="n"/>
      <c r="DCZ1" s="24" t="n"/>
      <c r="DDA1" s="24" t="n"/>
      <c r="DDB1" s="24" t="n"/>
      <c r="DDC1" s="24" t="n"/>
      <c r="DDD1" s="24" t="n"/>
      <c r="DDE1" s="24" t="n"/>
      <c r="DDF1" s="24" t="n"/>
      <c r="DDG1" s="24" t="n"/>
      <c r="DDH1" s="24" t="n"/>
      <c r="DDI1" s="24" t="n"/>
      <c r="DDJ1" s="24" t="n"/>
      <c r="DDK1" s="24" t="n"/>
      <c r="DDL1" s="24" t="n"/>
      <c r="DDM1" s="24" t="n"/>
      <c r="DDN1" s="24" t="n"/>
      <c r="DDO1" s="24" t="n"/>
      <c r="DDP1" s="24" t="n"/>
      <c r="DDQ1" s="24" t="n"/>
      <c r="DDR1" s="24" t="n"/>
      <c r="DDS1" s="24" t="n"/>
      <c r="DDT1" s="24" t="n"/>
      <c r="DDU1" s="24" t="n"/>
      <c r="DDV1" s="24" t="n"/>
      <c r="DDW1" s="24" t="n"/>
      <c r="DDX1" s="24" t="n"/>
      <c r="DDY1" s="24" t="n"/>
      <c r="DDZ1" s="24" t="n"/>
      <c r="DEA1" s="24" t="n"/>
      <c r="DEB1" s="24" t="n"/>
      <c r="DEC1" s="24" t="n"/>
      <c r="DED1" s="24" t="n"/>
      <c r="DEE1" s="24" t="n"/>
      <c r="DEF1" s="24" t="n"/>
      <c r="DEG1" s="24" t="n"/>
      <c r="DEH1" s="24" t="n"/>
      <c r="DEI1" s="24" t="n"/>
      <c r="DEJ1" s="24" t="n"/>
      <c r="DEK1" s="24" t="n"/>
      <c r="DEL1" s="24" t="n"/>
      <c r="DEM1" s="24" t="n"/>
      <c r="DEN1" s="24" t="n"/>
      <c r="DEO1" s="24" t="n"/>
      <c r="DEP1" s="24" t="n"/>
      <c r="DEQ1" s="24" t="n"/>
      <c r="DER1" s="24" t="n"/>
      <c r="DES1" s="24" t="n"/>
      <c r="DET1" s="24" t="n"/>
      <c r="DEU1" s="24" t="n"/>
      <c r="DEV1" s="24" t="n"/>
      <c r="DEW1" s="24" t="n"/>
      <c r="DEX1" s="24" t="n"/>
      <c r="DEY1" s="24" t="n"/>
      <c r="DEZ1" s="24" t="n"/>
      <c r="DFA1" s="24" t="n"/>
      <c r="DFB1" s="24" t="n"/>
      <c r="DFC1" s="24" t="n"/>
      <c r="DFD1" s="24" t="n"/>
      <c r="DFE1" s="24" t="n"/>
      <c r="DFF1" s="24" t="n"/>
      <c r="DFG1" s="24" t="n"/>
      <c r="DFH1" s="24" t="n"/>
      <c r="DFI1" s="24" t="n"/>
      <c r="DFJ1" s="24" t="n"/>
      <c r="DFK1" s="24" t="n"/>
      <c r="DFL1" s="24" t="n"/>
      <c r="DFM1" s="24" t="n"/>
      <c r="DFN1" s="24" t="n"/>
      <c r="DFO1" s="24" t="n"/>
      <c r="DFP1" s="24" t="n"/>
      <c r="DFQ1" s="24" t="n"/>
      <c r="DFR1" s="24" t="n"/>
      <c r="DFS1" s="24" t="n"/>
      <c r="DFT1" s="24" t="n"/>
      <c r="DFU1" s="24" t="n"/>
      <c r="DFV1" s="24" t="n"/>
      <c r="DFW1" s="24" t="n"/>
      <c r="DFX1" s="24" t="n"/>
      <c r="DFY1" s="24" t="n"/>
      <c r="DFZ1" s="24" t="n"/>
      <c r="DGA1" s="24" t="n"/>
      <c r="DGB1" s="24" t="n"/>
      <c r="DGC1" s="24" t="n"/>
      <c r="DGD1" s="24" t="n"/>
      <c r="DGE1" s="24" t="n"/>
      <c r="DGF1" s="24" t="n"/>
      <c r="DGG1" s="24" t="n"/>
      <c r="DGH1" s="24" t="n"/>
      <c r="DGI1" s="24" t="n"/>
      <c r="DGJ1" s="24" t="n"/>
      <c r="DGK1" s="24" t="n"/>
      <c r="DGL1" s="24" t="n"/>
      <c r="DGM1" s="24" t="n"/>
      <c r="DGN1" s="24" t="n"/>
      <c r="DGO1" s="24" t="n"/>
      <c r="DGP1" s="24" t="n"/>
      <c r="DGQ1" s="24" t="n"/>
      <c r="DGR1" s="24" t="n"/>
      <c r="DGS1" s="24" t="n"/>
      <c r="DGT1" s="24" t="n"/>
      <c r="DGU1" s="24" t="n"/>
      <c r="DGV1" s="24" t="n"/>
      <c r="DGW1" s="24" t="n"/>
      <c r="DGX1" s="24" t="n"/>
      <c r="DGY1" s="24" t="n"/>
      <c r="DGZ1" s="24" t="n"/>
      <c r="DHA1" s="24" t="n"/>
      <c r="DHB1" s="24" t="n"/>
      <c r="DHC1" s="24" t="n"/>
      <c r="DHD1" s="24" t="n"/>
      <c r="DHE1" s="24" t="n"/>
      <c r="DHF1" s="24" t="n"/>
      <c r="DHG1" s="24" t="n"/>
      <c r="DHH1" s="24" t="n"/>
      <c r="DHI1" s="24" t="n"/>
      <c r="DHJ1" s="24" t="n"/>
      <c r="DHK1" s="24" t="n"/>
      <c r="DHL1" s="24" t="n"/>
      <c r="DHM1" s="24" t="n"/>
      <c r="DHN1" s="24" t="n"/>
      <c r="DHO1" s="24" t="n"/>
      <c r="DHP1" s="24" t="n"/>
      <c r="DHQ1" s="24" t="n"/>
      <c r="DHR1" s="24" t="n"/>
      <c r="DHS1" s="24" t="n"/>
      <c r="DHT1" s="24" t="n"/>
      <c r="DHU1" s="24" t="n"/>
      <c r="DHV1" s="24" t="n"/>
      <c r="DHW1" s="24" t="n"/>
      <c r="DHX1" s="24" t="n"/>
      <c r="DHY1" s="24" t="n"/>
      <c r="DHZ1" s="24" t="n"/>
      <c r="DIA1" s="24" t="n"/>
      <c r="DIB1" s="24" t="n"/>
      <c r="DIC1" s="24" t="n"/>
      <c r="DID1" s="24" t="n"/>
      <c r="DIE1" s="24" t="n"/>
      <c r="DIF1" s="24" t="n"/>
      <c r="DIG1" s="24" t="n"/>
      <c r="DIH1" s="24" t="n"/>
      <c r="DII1" s="24" t="n"/>
      <c r="DIJ1" s="24" t="n"/>
      <c r="DIK1" s="24" t="n"/>
      <c r="DIL1" s="24" t="n"/>
      <c r="DIM1" s="24" t="n"/>
      <c r="DIN1" s="24" t="n"/>
      <c r="DIO1" s="24" t="n"/>
      <c r="DIP1" s="24" t="n"/>
      <c r="DIQ1" s="24" t="n"/>
      <c r="DIR1" s="24" t="n"/>
      <c r="DIS1" s="24" t="n"/>
      <c r="DIT1" s="24" t="n"/>
      <c r="DIU1" s="24" t="n"/>
      <c r="DIV1" s="24" t="n"/>
      <c r="DIW1" s="24" t="n"/>
      <c r="DIX1" s="24" t="n"/>
      <c r="DIY1" s="24" t="n"/>
      <c r="DIZ1" s="24" t="n"/>
      <c r="DJA1" s="24" t="n"/>
      <c r="DJB1" s="24" t="n"/>
      <c r="DJC1" s="24" t="n"/>
      <c r="DJD1" s="24" t="n"/>
      <c r="DJE1" s="24" t="n"/>
      <c r="DJF1" s="24" t="n"/>
      <c r="DJG1" s="24" t="n"/>
      <c r="DJH1" s="24" t="n"/>
      <c r="DJI1" s="24" t="n"/>
      <c r="DJJ1" s="24" t="n"/>
      <c r="DJK1" s="24" t="n"/>
      <c r="DJL1" s="24" t="n"/>
      <c r="DJM1" s="24" t="n"/>
      <c r="DJN1" s="24" t="n"/>
      <c r="DJO1" s="24" t="n"/>
      <c r="DJP1" s="24" t="n"/>
      <c r="DJQ1" s="24" t="n"/>
      <c r="DJR1" s="24" t="n"/>
      <c r="DJS1" s="24" t="n"/>
      <c r="DJT1" s="24" t="n"/>
      <c r="DJU1" s="24" t="n"/>
      <c r="DJV1" s="24" t="n"/>
      <c r="DJW1" s="24" t="n"/>
      <c r="DJX1" s="24" t="n"/>
      <c r="DJY1" s="24" t="n"/>
      <c r="DJZ1" s="24" t="n"/>
      <c r="DKA1" s="24" t="n"/>
      <c r="DKB1" s="24" t="n"/>
      <c r="DKC1" s="24" t="n"/>
      <c r="DKD1" s="24" t="n"/>
      <c r="DKE1" s="24" t="n"/>
      <c r="DKF1" s="24" t="n"/>
      <c r="DKG1" s="24" t="n"/>
      <c r="DKH1" s="24" t="n"/>
      <c r="DKI1" s="24" t="n"/>
      <c r="DKJ1" s="24" t="n"/>
      <c r="DKK1" s="24" t="n"/>
      <c r="DKL1" s="24" t="n"/>
      <c r="DKM1" s="24" t="n"/>
      <c r="DKN1" s="24" t="n"/>
      <c r="DKO1" s="24" t="n"/>
      <c r="DKP1" s="24" t="n"/>
      <c r="DKQ1" s="24" t="n"/>
      <c r="DKR1" s="24" t="n"/>
      <c r="DKS1" s="24" t="n"/>
      <c r="DKT1" s="24" t="n"/>
      <c r="DKU1" s="24" t="n"/>
      <c r="DKV1" s="24" t="n"/>
      <c r="DKW1" s="24" t="n"/>
      <c r="DKX1" s="24" t="n"/>
      <c r="DKY1" s="24" t="n"/>
      <c r="DKZ1" s="24" t="n"/>
      <c r="DLA1" s="24" t="n"/>
      <c r="DLB1" s="24" t="n"/>
      <c r="DLC1" s="24" t="n"/>
      <c r="DLD1" s="24" t="n"/>
      <c r="DLE1" s="24" t="n"/>
      <c r="DLF1" s="24" t="n"/>
      <c r="DLG1" s="24" t="n"/>
      <c r="DLH1" s="24" t="n"/>
      <c r="DLI1" s="24" t="n"/>
      <c r="DLJ1" s="24" t="n"/>
      <c r="DLK1" s="24" t="n"/>
      <c r="DLL1" s="24" t="n"/>
      <c r="DLM1" s="24" t="n"/>
      <c r="DLN1" s="24" t="n"/>
      <c r="DLO1" s="24" t="n"/>
      <c r="DLP1" s="24" t="n"/>
      <c r="DLQ1" s="24" t="n"/>
      <c r="DLR1" s="24" t="n"/>
      <c r="DLS1" s="24" t="n"/>
      <c r="DLT1" s="24" t="n"/>
      <c r="DLU1" s="24" t="n"/>
      <c r="DLV1" s="24" t="n"/>
      <c r="DLW1" s="24" t="n"/>
      <c r="DLX1" s="24" t="n"/>
      <c r="DLY1" s="24" t="n"/>
      <c r="DLZ1" s="24" t="n"/>
      <c r="DMA1" s="24" t="n"/>
      <c r="DMB1" s="24" t="n"/>
      <c r="DMC1" s="24" t="n"/>
      <c r="DMD1" s="24" t="n"/>
      <c r="DME1" s="24" t="n"/>
      <c r="DMF1" s="24" t="n"/>
      <c r="DMG1" s="24" t="n"/>
      <c r="DMH1" s="24" t="n"/>
      <c r="DMI1" s="24" t="n"/>
      <c r="DMJ1" s="24" t="n"/>
      <c r="DMK1" s="24" t="n"/>
      <c r="DML1" s="24" t="n"/>
      <c r="DMM1" s="24" t="n"/>
      <c r="DMN1" s="24" t="n"/>
      <c r="DMO1" s="24" t="n"/>
      <c r="DMP1" s="24" t="n"/>
      <c r="DMQ1" s="24" t="n"/>
      <c r="DMR1" s="24" t="n"/>
      <c r="DMS1" s="24" t="n"/>
      <c r="DMT1" s="24" t="n"/>
      <c r="DMU1" s="24" t="n"/>
      <c r="DMV1" s="24" t="n"/>
      <c r="DMW1" s="24" t="n"/>
      <c r="DMX1" s="24" t="n"/>
      <c r="DMY1" s="24" t="n"/>
      <c r="DMZ1" s="24" t="n"/>
      <c r="DNA1" s="24" t="n"/>
      <c r="DNB1" s="24" t="n"/>
      <c r="DNC1" s="24" t="n"/>
      <c r="DND1" s="24" t="n"/>
      <c r="DNE1" s="24" t="n"/>
      <c r="DNF1" s="24" t="n"/>
      <c r="DNG1" s="24" t="n"/>
      <c r="DNH1" s="24" t="n"/>
      <c r="DNI1" s="24" t="n"/>
      <c r="DNJ1" s="24" t="n"/>
      <c r="DNK1" s="24" t="n"/>
      <c r="DNL1" s="24" t="n"/>
      <c r="DNM1" s="24" t="n"/>
      <c r="DNN1" s="24" t="n"/>
      <c r="DNO1" s="24" t="n"/>
      <c r="DNP1" s="24" t="n"/>
      <c r="DNQ1" s="24" t="n"/>
      <c r="DNR1" s="24" t="n"/>
      <c r="DNS1" s="24" t="n"/>
      <c r="DNT1" s="24" t="n"/>
      <c r="DNU1" s="24" t="n"/>
      <c r="DNV1" s="24" t="n"/>
      <c r="DNW1" s="24" t="n"/>
      <c r="DNX1" s="24" t="n"/>
      <c r="DNY1" s="24" t="n"/>
      <c r="DNZ1" s="24" t="n"/>
      <c r="DOA1" s="24" t="n"/>
      <c r="DOB1" s="24" t="n"/>
      <c r="DOC1" s="24" t="n"/>
      <c r="DOD1" s="24" t="n"/>
      <c r="DOE1" s="24" t="n"/>
      <c r="DOF1" s="24" t="n"/>
      <c r="DOG1" s="24" t="n"/>
      <c r="DOH1" s="24" t="n"/>
      <c r="DOI1" s="24" t="n"/>
      <c r="DOJ1" s="24" t="n"/>
      <c r="DOK1" s="24" t="n"/>
      <c r="DOL1" s="24" t="n"/>
      <c r="DOM1" s="24" t="n"/>
      <c r="DON1" s="24" t="n"/>
      <c r="DOO1" s="24" t="n"/>
      <c r="DOP1" s="24" t="n"/>
      <c r="DOQ1" s="24" t="n"/>
      <c r="DOR1" s="24" t="n"/>
      <c r="DOS1" s="24" t="n"/>
      <c r="DOT1" s="24" t="n"/>
      <c r="DOU1" s="24" t="n"/>
      <c r="DOV1" s="24" t="n"/>
      <c r="DOW1" s="24" t="n"/>
      <c r="DOX1" s="24" t="n"/>
      <c r="DOY1" s="24" t="n"/>
      <c r="DOZ1" s="24" t="n"/>
      <c r="DPA1" s="24" t="n"/>
      <c r="DPB1" s="24" t="n"/>
      <c r="DPC1" s="24" t="n"/>
      <c r="DPD1" s="24" t="n"/>
      <c r="DPE1" s="24" t="n"/>
      <c r="DPF1" s="24" t="n"/>
      <c r="DPG1" s="24" t="n"/>
      <c r="DPH1" s="24" t="n"/>
      <c r="DPI1" s="24" t="n"/>
      <c r="DPJ1" s="24" t="n"/>
      <c r="DPK1" s="24" t="n"/>
      <c r="DPL1" s="24" t="n"/>
      <c r="DPM1" s="24" t="n"/>
      <c r="DPN1" s="24" t="n"/>
      <c r="DPO1" s="24" t="n"/>
      <c r="DPP1" s="24" t="n"/>
      <c r="DPQ1" s="24" t="n"/>
      <c r="DPR1" s="24" t="n"/>
      <c r="DPS1" s="24" t="n"/>
      <c r="DPT1" s="24" t="n"/>
      <c r="DPU1" s="24" t="n"/>
      <c r="DPV1" s="24" t="n"/>
      <c r="DPW1" s="24" t="n"/>
      <c r="DPX1" s="24" t="n"/>
      <c r="DPY1" s="24" t="n"/>
      <c r="DPZ1" s="24" t="n"/>
      <c r="DQA1" s="24" t="n"/>
      <c r="DQB1" s="24" t="n"/>
      <c r="DQC1" s="24" t="n"/>
      <c r="DQD1" s="24" t="n"/>
      <c r="DQE1" s="24" t="n"/>
      <c r="DQF1" s="24" t="n"/>
      <c r="DQG1" s="24" t="n"/>
      <c r="DQH1" s="24" t="n"/>
      <c r="DQI1" s="24" t="n"/>
      <c r="DQJ1" s="24" t="n"/>
      <c r="DQK1" s="24" t="n"/>
      <c r="DQL1" s="24" t="n"/>
      <c r="DQM1" s="24" t="n"/>
      <c r="DQN1" s="24" t="n"/>
      <c r="DQO1" s="24" t="n"/>
      <c r="DQP1" s="24" t="n"/>
      <c r="DQQ1" s="24" t="n"/>
      <c r="DQR1" s="24" t="n"/>
      <c r="DQS1" s="24" t="n"/>
      <c r="DQT1" s="24" t="n"/>
      <c r="DQU1" s="24" t="n"/>
      <c r="DQV1" s="24" t="n"/>
      <c r="DQW1" s="24" t="n"/>
      <c r="DQX1" s="24" t="n"/>
      <c r="DQY1" s="24" t="n"/>
      <c r="DQZ1" s="24" t="n"/>
      <c r="DRA1" s="24" t="n"/>
      <c r="DRB1" s="24" t="n"/>
      <c r="DRC1" s="24" t="n"/>
      <c r="DRD1" s="24" t="n"/>
      <c r="DRE1" s="24" t="n"/>
      <c r="DRF1" s="24" t="n"/>
      <c r="DRG1" s="24" t="n"/>
      <c r="DRH1" s="24" t="n"/>
      <c r="DRI1" s="24" t="n"/>
      <c r="DRJ1" s="24" t="n"/>
      <c r="DRK1" s="24" t="n"/>
      <c r="DRL1" s="24" t="n"/>
      <c r="DRM1" s="24" t="n"/>
      <c r="DRN1" s="24" t="n"/>
      <c r="DRO1" s="24" t="n"/>
      <c r="DRP1" s="24" t="n"/>
      <c r="DRQ1" s="24" t="n"/>
      <c r="DRR1" s="24" t="n"/>
      <c r="DRS1" s="24" t="n"/>
      <c r="DRT1" s="24" t="n"/>
      <c r="DRU1" s="24" t="n"/>
      <c r="DRV1" s="24" t="n"/>
      <c r="DRW1" s="24" t="n"/>
      <c r="DRX1" s="24" t="n"/>
      <c r="DRY1" s="24" t="n"/>
      <c r="DRZ1" s="24" t="n"/>
      <c r="DSA1" s="24" t="n"/>
      <c r="DSB1" s="24" t="n"/>
      <c r="DSC1" s="24" t="n"/>
      <c r="DSD1" s="24" t="n"/>
      <c r="DSE1" s="24" t="n"/>
      <c r="DSF1" s="24" t="n"/>
      <c r="DSG1" s="24" t="n"/>
      <c r="DSH1" s="24" t="n"/>
      <c r="DSI1" s="24" t="n"/>
      <c r="DSJ1" s="24" t="n"/>
      <c r="DSK1" s="24" t="n"/>
      <c r="DSL1" s="24" t="n"/>
      <c r="DSM1" s="24" t="n"/>
      <c r="DSN1" s="24" t="n"/>
      <c r="DSO1" s="24" t="n"/>
      <c r="DSP1" s="24" t="n"/>
      <c r="DSQ1" s="24" t="n"/>
      <c r="DSR1" s="24" t="n"/>
      <c r="DSS1" s="24" t="n"/>
      <c r="DST1" s="24" t="n"/>
      <c r="DSU1" s="24" t="n"/>
      <c r="DSV1" s="24" t="n"/>
      <c r="DSW1" s="24" t="n"/>
      <c r="DSX1" s="24" t="n"/>
      <c r="DSY1" s="24" t="n"/>
      <c r="DSZ1" s="24" t="n"/>
      <c r="DTA1" s="24" t="n"/>
      <c r="DTB1" s="24" t="n"/>
      <c r="DTC1" s="24" t="n"/>
      <c r="DTD1" s="24" t="n"/>
      <c r="DTE1" s="24" t="n"/>
      <c r="DTF1" s="24" t="n"/>
      <c r="DTG1" s="24" t="n"/>
      <c r="DTH1" s="24" t="n"/>
      <c r="DTI1" s="24" t="n"/>
      <c r="DTJ1" s="24" t="n"/>
      <c r="DTK1" s="24" t="n"/>
      <c r="DTL1" s="24" t="n"/>
      <c r="DTM1" s="24" t="n"/>
      <c r="DTN1" s="24" t="n"/>
      <c r="DTO1" s="24" t="n"/>
      <c r="DTP1" s="24" t="n"/>
      <c r="DTQ1" s="24" t="n"/>
      <c r="DTR1" s="24" t="n"/>
      <c r="DTS1" s="24" t="n"/>
      <c r="DTT1" s="24" t="n"/>
      <c r="DTU1" s="24" t="n"/>
      <c r="DTV1" s="24" t="n"/>
      <c r="DTW1" s="24" t="n"/>
      <c r="DTX1" s="24" t="n"/>
      <c r="DTY1" s="24" t="n"/>
      <c r="DTZ1" s="24" t="n"/>
      <c r="DUA1" s="24" t="n"/>
      <c r="DUB1" s="24" t="n"/>
      <c r="DUC1" s="24" t="n"/>
      <c r="DUD1" s="24" t="n"/>
      <c r="DUE1" s="24" t="n"/>
      <c r="DUF1" s="24" t="n"/>
      <c r="DUG1" s="24" t="n"/>
      <c r="DUH1" s="24" t="n"/>
      <c r="DUI1" s="24" t="n"/>
      <c r="DUJ1" s="24" t="n"/>
      <c r="DUK1" s="24" t="n"/>
      <c r="DUL1" s="24" t="n"/>
      <c r="DUM1" s="24" t="n"/>
      <c r="DUN1" s="24" t="n"/>
      <c r="DUO1" s="24" t="n"/>
      <c r="DUP1" s="24" t="n"/>
      <c r="DUQ1" s="24" t="n"/>
      <c r="DUR1" s="24" t="n"/>
      <c r="DUS1" s="24" t="n"/>
      <c r="DUT1" s="24" t="n"/>
      <c r="DUU1" s="24" t="n"/>
      <c r="DUV1" s="24" t="n"/>
      <c r="DUW1" s="24" t="n"/>
      <c r="DUX1" s="24" t="n"/>
      <c r="DUY1" s="24" t="n"/>
      <c r="DUZ1" s="24" t="n"/>
      <c r="DVA1" s="24" t="n"/>
      <c r="DVB1" s="24" t="n"/>
      <c r="DVC1" s="24" t="n"/>
      <c r="DVD1" s="24" t="n"/>
      <c r="DVE1" s="24" t="n"/>
      <c r="DVF1" s="24" t="n"/>
      <c r="DVG1" s="24" t="n"/>
      <c r="DVH1" s="24" t="n"/>
      <c r="DVI1" s="24" t="n"/>
      <c r="DVJ1" s="24" t="n"/>
      <c r="DVK1" s="24" t="n"/>
      <c r="DVL1" s="24" t="n"/>
      <c r="DVM1" s="24" t="n"/>
      <c r="DVN1" s="24" t="n"/>
      <c r="DVO1" s="24" t="n"/>
      <c r="DVP1" s="24" t="n"/>
      <c r="DVQ1" s="24" t="n"/>
      <c r="DVR1" s="24" t="n"/>
      <c r="DVS1" s="24" t="n"/>
      <c r="DVT1" s="24" t="n"/>
      <c r="DVU1" s="24" t="n"/>
      <c r="DVV1" s="24" t="n"/>
      <c r="DVW1" s="24" t="n"/>
      <c r="DVX1" s="24" t="n"/>
      <c r="DVY1" s="24" t="n"/>
      <c r="DVZ1" s="24" t="n"/>
      <c r="DWA1" s="24" t="n"/>
      <c r="DWB1" s="24" t="n"/>
      <c r="DWC1" s="24" t="n"/>
      <c r="DWD1" s="24" t="n"/>
      <c r="DWE1" s="24" t="n"/>
      <c r="DWF1" s="24" t="n"/>
      <c r="DWG1" s="24" t="n"/>
      <c r="DWH1" s="24" t="n"/>
      <c r="DWI1" s="24" t="n"/>
      <c r="DWJ1" s="24" t="n"/>
      <c r="DWK1" s="24" t="n"/>
      <c r="DWL1" s="24" t="n"/>
      <c r="DWM1" s="24" t="n"/>
      <c r="DWN1" s="24" t="n"/>
      <c r="DWO1" s="24" t="n"/>
      <c r="DWP1" s="24" t="n"/>
      <c r="DWQ1" s="24" t="n"/>
      <c r="DWR1" s="24" t="n"/>
      <c r="DWS1" s="24" t="n"/>
      <c r="DWT1" s="24" t="n"/>
      <c r="DWU1" s="24" t="n"/>
      <c r="DWV1" s="24" t="n"/>
      <c r="DWW1" s="24" t="n"/>
      <c r="DWX1" s="24" t="n"/>
      <c r="DWY1" s="24" t="n"/>
      <c r="DWZ1" s="24" t="n"/>
      <c r="DXA1" s="24" t="n"/>
      <c r="DXB1" s="24" t="n"/>
      <c r="DXC1" s="24" t="n"/>
      <c r="DXD1" s="24" t="n"/>
      <c r="DXE1" s="24" t="n"/>
      <c r="DXF1" s="24" t="n"/>
      <c r="DXG1" s="24" t="n"/>
      <c r="DXH1" s="24" t="n"/>
      <c r="DXI1" s="24" t="n"/>
      <c r="DXJ1" s="24" t="n"/>
      <c r="DXK1" s="24" t="n"/>
      <c r="DXL1" s="24" t="n"/>
      <c r="DXM1" s="24" t="n"/>
      <c r="DXN1" s="24" t="n"/>
      <c r="DXO1" s="24" t="n"/>
      <c r="DXP1" s="24" t="n"/>
      <c r="DXQ1" s="24" t="n"/>
      <c r="DXR1" s="24" t="n"/>
      <c r="DXS1" s="24" t="n"/>
      <c r="DXT1" s="24" t="n"/>
      <c r="DXU1" s="24" t="n"/>
      <c r="DXV1" s="24" t="n"/>
      <c r="DXW1" s="24" t="n"/>
      <c r="DXX1" s="24" t="n"/>
      <c r="DXY1" s="24" t="n"/>
      <c r="DXZ1" s="24" t="n"/>
      <c r="DYA1" s="24" t="n"/>
      <c r="DYB1" s="24" t="n"/>
      <c r="DYC1" s="24" t="n"/>
      <c r="DYD1" s="24" t="n"/>
      <c r="DYE1" s="24" t="n"/>
      <c r="DYF1" s="24" t="n"/>
      <c r="DYG1" s="24" t="n"/>
      <c r="DYH1" s="24" t="n"/>
      <c r="DYI1" s="24" t="n"/>
      <c r="DYJ1" s="24" t="n"/>
      <c r="DYK1" s="24" t="n"/>
      <c r="DYL1" s="24" t="n"/>
      <c r="DYM1" s="24" t="n"/>
      <c r="DYN1" s="24" t="n"/>
      <c r="DYO1" s="24" t="n"/>
      <c r="DYP1" s="24" t="n"/>
      <c r="DYQ1" s="24" t="n"/>
      <c r="DYR1" s="24" t="n"/>
      <c r="DYS1" s="24" t="n"/>
      <c r="DYT1" s="24" t="n"/>
      <c r="DYU1" s="24" t="n"/>
      <c r="DYV1" s="24" t="n"/>
      <c r="DYW1" s="24" t="n"/>
      <c r="DYX1" s="24" t="n"/>
      <c r="DYY1" s="24" t="n"/>
      <c r="DYZ1" s="24" t="n"/>
      <c r="DZA1" s="24" t="n"/>
      <c r="DZB1" s="24" t="n"/>
      <c r="DZC1" s="24" t="n"/>
      <c r="DZD1" s="24" t="n"/>
      <c r="DZE1" s="24" t="n"/>
      <c r="DZF1" s="24" t="n"/>
      <c r="DZG1" s="24" t="n"/>
      <c r="DZH1" s="24" t="n"/>
      <c r="DZI1" s="24" t="n"/>
      <c r="DZJ1" s="24" t="n"/>
      <c r="DZK1" s="24" t="n"/>
      <c r="DZL1" s="24" t="n"/>
      <c r="DZM1" s="24" t="n"/>
      <c r="DZN1" s="24" t="n"/>
      <c r="DZO1" s="24" t="n"/>
      <c r="DZP1" s="24" t="n"/>
      <c r="DZQ1" s="24" t="n"/>
      <c r="DZR1" s="24" t="n"/>
      <c r="DZS1" s="24" t="n"/>
      <c r="DZT1" s="24" t="n"/>
      <c r="DZU1" s="24" t="n"/>
      <c r="DZV1" s="24" t="n"/>
      <c r="DZW1" s="24" t="n"/>
      <c r="DZX1" s="24" t="n"/>
      <c r="DZY1" s="24" t="n"/>
      <c r="DZZ1" s="24" t="n"/>
      <c r="EAA1" s="24" t="n"/>
      <c r="EAB1" s="24" t="n"/>
      <c r="EAC1" s="24" t="n"/>
      <c r="EAD1" s="24" t="n"/>
      <c r="EAE1" s="24" t="n"/>
      <c r="EAF1" s="24" t="n"/>
      <c r="EAG1" s="24" t="n"/>
      <c r="EAH1" s="24" t="n"/>
      <c r="EAI1" s="24" t="n"/>
      <c r="EAJ1" s="24" t="n"/>
      <c r="EAK1" s="24" t="n"/>
      <c r="EAL1" s="24" t="n"/>
      <c r="EAM1" s="24" t="n"/>
      <c r="EAN1" s="24" t="n"/>
      <c r="EAO1" s="24" t="n"/>
      <c r="EAP1" s="24" t="n"/>
      <c r="EAQ1" s="24" t="n"/>
      <c r="EAR1" s="24" t="n"/>
      <c r="EAS1" s="24" t="n"/>
      <c r="EAT1" s="24" t="n"/>
      <c r="EAU1" s="24" t="n"/>
      <c r="EAV1" s="24" t="n"/>
      <c r="EAW1" s="24" t="n"/>
      <c r="EAX1" s="24" t="n"/>
      <c r="EAY1" s="24" t="n"/>
      <c r="EAZ1" s="24" t="n"/>
      <c r="EBA1" s="24" t="n"/>
      <c r="EBB1" s="24" t="n"/>
      <c r="EBC1" s="24" t="n"/>
      <c r="EBD1" s="24" t="n"/>
      <c r="EBE1" s="24" t="n"/>
      <c r="EBF1" s="24" t="n"/>
      <c r="EBG1" s="24" t="n"/>
      <c r="EBH1" s="24" t="n"/>
      <c r="EBI1" s="24" t="n"/>
      <c r="EBJ1" s="24" t="n"/>
      <c r="EBK1" s="24" t="n"/>
      <c r="EBL1" s="24" t="n"/>
      <c r="EBM1" s="24" t="n"/>
      <c r="EBN1" s="24" t="n"/>
      <c r="EBO1" s="24" t="n"/>
      <c r="EBP1" s="24" t="n"/>
      <c r="EBQ1" s="24" t="n"/>
      <c r="EBR1" s="24" t="n"/>
      <c r="EBS1" s="24" t="n"/>
      <c r="EBT1" s="24" t="n"/>
      <c r="EBU1" s="24" t="n"/>
      <c r="EBV1" s="24" t="n"/>
      <c r="EBW1" s="24" t="n"/>
      <c r="EBX1" s="24" t="n"/>
      <c r="EBY1" s="24" t="n"/>
      <c r="EBZ1" s="24" t="n"/>
      <c r="ECA1" s="24" t="n"/>
      <c r="ECB1" s="24" t="n"/>
      <c r="ECC1" s="24" t="n"/>
      <c r="ECD1" s="24" t="n"/>
      <c r="ECE1" s="24" t="n"/>
      <c r="ECF1" s="24" t="n"/>
      <c r="ECG1" s="24" t="n"/>
      <c r="ECH1" s="24" t="n"/>
      <c r="ECI1" s="24" t="n"/>
      <c r="ECJ1" s="24" t="n"/>
      <c r="ECK1" s="24" t="n"/>
      <c r="ECL1" s="24" t="n"/>
      <c r="ECM1" s="24" t="n"/>
      <c r="ECN1" s="24" t="n"/>
      <c r="ECO1" s="24" t="n"/>
      <c r="ECP1" s="24" t="n"/>
      <c r="ECQ1" s="24" t="n"/>
      <c r="ECR1" s="24" t="n"/>
      <c r="ECS1" s="24" t="n"/>
      <c r="ECT1" s="24" t="n"/>
      <c r="ECU1" s="24" t="n"/>
      <c r="ECV1" s="24" t="n"/>
      <c r="ECW1" s="24" t="n"/>
      <c r="ECX1" s="24" t="n"/>
      <c r="ECY1" s="24" t="n"/>
      <c r="ECZ1" s="24" t="n"/>
      <c r="EDA1" s="24" t="n"/>
      <c r="EDB1" s="24" t="n"/>
      <c r="EDC1" s="24" t="n"/>
      <c r="EDD1" s="24" t="n"/>
      <c r="EDE1" s="24" t="n"/>
      <c r="EDF1" s="24" t="n"/>
      <c r="EDG1" s="24" t="n"/>
      <c r="EDH1" s="24" t="n"/>
      <c r="EDI1" s="24" t="n"/>
      <c r="EDJ1" s="24" t="n"/>
      <c r="EDK1" s="24" t="n"/>
      <c r="EDL1" s="24" t="n"/>
      <c r="EDM1" s="24" t="n"/>
      <c r="EDN1" s="24" t="n"/>
      <c r="EDO1" s="24" t="n"/>
      <c r="EDP1" s="24" t="n"/>
      <c r="EDQ1" s="24" t="n"/>
      <c r="EDR1" s="24" t="n"/>
      <c r="EDS1" s="24" t="n"/>
      <c r="EDT1" s="24" t="n"/>
      <c r="EDU1" s="24" t="n"/>
      <c r="EDV1" s="24" t="n"/>
      <c r="EDW1" s="24" t="n"/>
      <c r="EDX1" s="24" t="n"/>
      <c r="EDY1" s="24" t="n"/>
      <c r="EDZ1" s="24" t="n"/>
      <c r="EEA1" s="24" t="n"/>
      <c r="EEB1" s="24" t="n"/>
      <c r="EEC1" s="24" t="n"/>
      <c r="EED1" s="24" t="n"/>
      <c r="EEE1" s="24" t="n"/>
      <c r="EEF1" s="24" t="n"/>
      <c r="EEG1" s="24" t="n"/>
      <c r="EEH1" s="24" t="n"/>
      <c r="EEI1" s="24" t="n"/>
      <c r="EEJ1" s="24" t="n"/>
      <c r="EEK1" s="24" t="n"/>
      <c r="EEL1" s="24" t="n"/>
      <c r="EEM1" s="24" t="n"/>
      <c r="EEN1" s="24" t="n"/>
      <c r="EEO1" s="24" t="n"/>
      <c r="EEP1" s="24" t="n"/>
      <c r="EEQ1" s="24" t="n"/>
      <c r="EER1" s="24" t="n"/>
      <c r="EES1" s="24" t="n"/>
      <c r="EET1" s="24" t="n"/>
      <c r="EEU1" s="24" t="n"/>
      <c r="EEV1" s="24" t="n"/>
      <c r="EEW1" s="24" t="n"/>
      <c r="EEX1" s="24" t="n"/>
      <c r="EEY1" s="24" t="n"/>
      <c r="EEZ1" s="24" t="n"/>
      <c r="EFA1" s="24" t="n"/>
      <c r="EFB1" s="24" t="n"/>
      <c r="EFC1" s="24" t="n"/>
      <c r="EFD1" s="24" t="n"/>
      <c r="EFE1" s="24" t="n"/>
      <c r="EFF1" s="24" t="n"/>
      <c r="EFG1" s="24" t="n"/>
      <c r="EFH1" s="24" t="n"/>
      <c r="EFI1" s="24" t="n"/>
      <c r="EFJ1" s="24" t="n"/>
      <c r="EFK1" s="24" t="n"/>
      <c r="EFL1" s="24" t="n"/>
      <c r="EFM1" s="24" t="n"/>
      <c r="EFN1" s="24" t="n"/>
      <c r="EFO1" s="24" t="n"/>
      <c r="EFP1" s="24" t="n"/>
      <c r="EFQ1" s="24" t="n"/>
      <c r="EFR1" s="24" t="n"/>
      <c r="EFS1" s="24" t="n"/>
      <c r="EFT1" s="24" t="n"/>
      <c r="EFU1" s="24" t="n"/>
      <c r="EFV1" s="24" t="n"/>
      <c r="EFW1" s="24" t="n"/>
      <c r="EFX1" s="24" t="n"/>
      <c r="EFY1" s="24" t="n"/>
      <c r="EFZ1" s="24" t="n"/>
      <c r="EGA1" s="24" t="n"/>
      <c r="EGB1" s="24" t="n"/>
      <c r="EGC1" s="24" t="n"/>
      <c r="EGD1" s="24" t="n"/>
      <c r="EGE1" s="24" t="n"/>
      <c r="EGF1" s="24" t="n"/>
      <c r="EGG1" s="24" t="n"/>
      <c r="EGH1" s="24" t="n"/>
      <c r="EGI1" s="24" t="n"/>
      <c r="EGJ1" s="24" t="n"/>
      <c r="EGK1" s="24" t="n"/>
      <c r="EGL1" s="24" t="n"/>
      <c r="EGM1" s="24" t="n"/>
      <c r="EGN1" s="24" t="n"/>
      <c r="EGO1" s="24" t="n"/>
      <c r="EGP1" s="24" t="n"/>
      <c r="EGQ1" s="24" t="n"/>
      <c r="EGR1" s="24" t="n"/>
      <c r="EGS1" s="24" t="n"/>
      <c r="EGT1" s="24" t="n"/>
      <c r="EGU1" s="24" t="n"/>
      <c r="EGV1" s="24" t="n"/>
      <c r="EGW1" s="24" t="n"/>
      <c r="EGX1" s="24" t="n"/>
      <c r="EGY1" s="24" t="n"/>
      <c r="EGZ1" s="24" t="n"/>
      <c r="EHA1" s="24" t="n"/>
      <c r="EHB1" s="24" t="n"/>
      <c r="EHC1" s="24" t="n"/>
      <c r="EHD1" s="24" t="n"/>
      <c r="EHE1" s="24" t="n"/>
      <c r="EHF1" s="24" t="n"/>
      <c r="EHG1" s="24" t="n"/>
      <c r="EHH1" s="24" t="n"/>
      <c r="EHI1" s="24" t="n"/>
      <c r="EHJ1" s="24" t="n"/>
      <c r="EHK1" s="24" t="n"/>
      <c r="EHL1" s="24" t="n"/>
      <c r="EHM1" s="24" t="n"/>
      <c r="EHN1" s="24" t="n"/>
      <c r="EHO1" s="24" t="n"/>
      <c r="EHP1" s="24" t="n"/>
      <c r="EHQ1" s="24" t="n"/>
      <c r="EHR1" s="24" t="n"/>
      <c r="EHS1" s="24" t="n"/>
      <c r="EHT1" s="24" t="n"/>
      <c r="EHU1" s="24" t="n"/>
      <c r="EHV1" s="24" t="n"/>
      <c r="EHW1" s="24" t="n"/>
      <c r="EHX1" s="24" t="n"/>
      <c r="EHY1" s="24" t="n"/>
      <c r="EHZ1" s="24" t="n"/>
      <c r="EIA1" s="24" t="n"/>
      <c r="EIB1" s="24" t="n"/>
      <c r="EIC1" s="24" t="n"/>
      <c r="EID1" s="24" t="n"/>
      <c r="EIE1" s="24" t="n"/>
      <c r="EIF1" s="24" t="n"/>
      <c r="EIG1" s="24" t="n"/>
      <c r="EIH1" s="24" t="n"/>
      <c r="EII1" s="24" t="n"/>
      <c r="EIJ1" s="24" t="n"/>
      <c r="EIK1" s="24" t="n"/>
      <c r="EIL1" s="24" t="n"/>
      <c r="EIM1" s="24" t="n"/>
      <c r="EIN1" s="24" t="n"/>
      <c r="EIO1" s="24" t="n"/>
      <c r="EIP1" s="24" t="n"/>
      <c r="EIQ1" s="24" t="n"/>
      <c r="EIR1" s="24" t="n"/>
      <c r="EIS1" s="24" t="n"/>
      <c r="EIT1" s="24" t="n"/>
      <c r="EIU1" s="24" t="n"/>
      <c r="EIV1" s="24" t="n"/>
      <c r="EIW1" s="24" t="n"/>
      <c r="EIX1" s="24" t="n"/>
      <c r="EIY1" s="24" t="n"/>
      <c r="EIZ1" s="24" t="n"/>
      <c r="EJA1" s="24" t="n"/>
      <c r="EJB1" s="24" t="n"/>
      <c r="EJC1" s="24" t="n"/>
      <c r="EJD1" s="24" t="n"/>
      <c r="EJE1" s="24" t="n"/>
      <c r="EJF1" s="24" t="n"/>
      <c r="EJG1" s="24" t="n"/>
      <c r="EJH1" s="24" t="n"/>
      <c r="EJI1" s="24" t="n"/>
      <c r="EJJ1" s="24" t="n"/>
      <c r="EJK1" s="24" t="n"/>
      <c r="EJL1" s="24" t="n"/>
      <c r="EJM1" s="24" t="n"/>
      <c r="EJN1" s="24" t="n"/>
      <c r="EJO1" s="24" t="n"/>
      <c r="EJP1" s="24" t="n"/>
      <c r="EJQ1" s="24" t="n"/>
      <c r="EJR1" s="24" t="n"/>
      <c r="EJS1" s="24" t="n"/>
      <c r="EJT1" s="24" t="n"/>
      <c r="EJU1" s="24" t="n"/>
      <c r="EJV1" s="24" t="n"/>
      <c r="EJW1" s="24" t="n"/>
      <c r="EJX1" s="24" t="n"/>
      <c r="EJY1" s="24" t="n"/>
      <c r="EJZ1" s="24" t="n"/>
      <c r="EKA1" s="24" t="n"/>
      <c r="EKB1" s="24" t="n"/>
      <c r="EKC1" s="24" t="n"/>
      <c r="EKD1" s="24" t="n"/>
      <c r="EKE1" s="24" t="n"/>
      <c r="EKF1" s="24" t="n"/>
      <c r="EKG1" s="24" t="n"/>
      <c r="EKH1" s="24" t="n"/>
      <c r="EKI1" s="24" t="n"/>
      <c r="EKJ1" s="24" t="n"/>
      <c r="EKK1" s="24" t="n"/>
      <c r="EKL1" s="24" t="n"/>
      <c r="EKM1" s="24" t="n"/>
      <c r="EKN1" s="24" t="n"/>
      <c r="EKO1" s="24" t="n"/>
      <c r="EKP1" s="24" t="n"/>
      <c r="EKQ1" s="24" t="n"/>
      <c r="EKR1" s="24" t="n"/>
      <c r="EKS1" s="24" t="n"/>
      <c r="EKT1" s="24" t="n"/>
      <c r="EKU1" s="24" t="n"/>
      <c r="EKV1" s="24" t="n"/>
      <c r="EKW1" s="24" t="n"/>
      <c r="EKX1" s="24" t="n"/>
      <c r="EKY1" s="24" t="n"/>
      <c r="EKZ1" s="24" t="n"/>
      <c r="ELA1" s="24" t="n"/>
      <c r="ELB1" s="24" t="n"/>
      <c r="ELC1" s="24" t="n"/>
      <c r="ELD1" s="24" t="n"/>
      <c r="ELE1" s="24" t="n"/>
      <c r="ELF1" s="24" t="n"/>
      <c r="ELG1" s="24" t="n"/>
      <c r="ELH1" s="24" t="n"/>
      <c r="ELI1" s="24" t="n"/>
      <c r="ELJ1" s="24" t="n"/>
      <c r="ELK1" s="24" t="n"/>
      <c r="ELL1" s="24" t="n"/>
      <c r="ELM1" s="24" t="n"/>
      <c r="ELN1" s="24" t="n"/>
      <c r="ELO1" s="24" t="n"/>
      <c r="ELP1" s="24" t="n"/>
      <c r="ELQ1" s="24" t="n"/>
      <c r="ELR1" s="24" t="n"/>
      <c r="ELS1" s="24" t="n"/>
      <c r="ELT1" s="24" t="n"/>
      <c r="ELU1" s="24" t="n"/>
      <c r="ELV1" s="24" t="n"/>
      <c r="ELW1" s="24" t="n"/>
      <c r="ELX1" s="24" t="n"/>
      <c r="ELY1" s="24" t="n"/>
      <c r="ELZ1" s="24" t="n"/>
      <c r="EMA1" s="24" t="n"/>
      <c r="EMB1" s="24" t="n"/>
      <c r="EMC1" s="24" t="n"/>
      <c r="EMD1" s="24" t="n"/>
      <c r="EME1" s="24" t="n"/>
      <c r="EMF1" s="24" t="n"/>
      <c r="EMG1" s="24" t="n"/>
      <c r="EMH1" s="24" t="n"/>
      <c r="EMI1" s="24" t="n"/>
      <c r="EMJ1" s="24" t="n"/>
      <c r="EMK1" s="24" t="n"/>
      <c r="EML1" s="24" t="n"/>
      <c r="EMM1" s="24" t="n"/>
      <c r="EMN1" s="24" t="n"/>
      <c r="EMO1" s="24" t="n"/>
      <c r="EMP1" s="24" t="n"/>
      <c r="EMQ1" s="24" t="n"/>
      <c r="EMR1" s="24" t="n"/>
      <c r="EMS1" s="24" t="n"/>
      <c r="EMT1" s="24" t="n"/>
      <c r="EMU1" s="24" t="n"/>
      <c r="EMV1" s="24" t="n"/>
      <c r="EMW1" s="24" t="n"/>
      <c r="EMX1" s="24" t="n"/>
      <c r="EMY1" s="24" t="n"/>
      <c r="EMZ1" s="24" t="n"/>
      <c r="ENA1" s="24" t="n"/>
      <c r="ENB1" s="24" t="n"/>
      <c r="ENC1" s="24" t="n"/>
      <c r="END1" s="24" t="n"/>
      <c r="ENE1" s="24" t="n"/>
      <c r="ENF1" s="24" t="n"/>
      <c r="ENG1" s="24" t="n"/>
      <c r="ENH1" s="24" t="n"/>
      <c r="ENI1" s="24" t="n"/>
      <c r="ENJ1" s="24" t="n"/>
      <c r="ENK1" s="24" t="n"/>
      <c r="ENL1" s="24" t="n"/>
      <c r="ENM1" s="24" t="n"/>
      <c r="ENN1" s="24" t="n"/>
      <c r="ENO1" s="24" t="n"/>
      <c r="ENP1" s="24" t="n"/>
      <c r="ENQ1" s="24" t="n"/>
      <c r="ENR1" s="24" t="n"/>
      <c r="ENS1" s="24" t="n"/>
      <c r="ENT1" s="24" t="n"/>
      <c r="ENU1" s="24" t="n"/>
      <c r="ENV1" s="24" t="n"/>
      <c r="ENW1" s="24" t="n"/>
      <c r="ENX1" s="24" t="n"/>
      <c r="ENY1" s="24" t="n"/>
      <c r="ENZ1" s="24" t="n"/>
      <c r="EOA1" s="24" t="n"/>
      <c r="EOB1" s="24" t="n"/>
      <c r="EOC1" s="24" t="n"/>
      <c r="EOD1" s="24" t="n"/>
      <c r="EOE1" s="24" t="n"/>
      <c r="EOF1" s="24" t="n"/>
      <c r="EOG1" s="24" t="n"/>
      <c r="EOH1" s="24" t="n"/>
      <c r="EOI1" s="24" t="n"/>
      <c r="EOJ1" s="24" t="n"/>
      <c r="EOK1" s="24" t="n"/>
      <c r="EOL1" s="24" t="n"/>
      <c r="EOM1" s="24" t="n"/>
      <c r="EON1" s="24" t="n"/>
      <c r="EOO1" s="24" t="n"/>
      <c r="EOP1" s="24" t="n"/>
      <c r="EOQ1" s="24" t="n"/>
      <c r="EOR1" s="24" t="n"/>
      <c r="EOS1" s="24" t="n"/>
      <c r="EOT1" s="24" t="n"/>
      <c r="EOU1" s="24" t="n"/>
      <c r="EOV1" s="24" t="n"/>
      <c r="EOW1" s="24" t="n"/>
      <c r="EOX1" s="24" t="n"/>
      <c r="EOY1" s="24" t="n"/>
      <c r="EOZ1" s="24" t="n"/>
      <c r="EPA1" s="24" t="n"/>
      <c r="EPB1" s="24" t="n"/>
      <c r="EPC1" s="24" t="n"/>
      <c r="EPD1" s="24" t="n"/>
      <c r="EPE1" s="24" t="n"/>
      <c r="EPF1" s="24" t="n"/>
      <c r="EPG1" s="24" t="n"/>
      <c r="EPH1" s="24" t="n"/>
      <c r="EPI1" s="24" t="n"/>
      <c r="EPJ1" s="24" t="n"/>
      <c r="EPK1" s="24" t="n"/>
      <c r="EPL1" s="24" t="n"/>
      <c r="EPM1" s="24" t="n"/>
      <c r="EPN1" s="24" t="n"/>
      <c r="EPO1" s="24" t="n"/>
      <c r="EPP1" s="24" t="n"/>
      <c r="EPQ1" s="24" t="n"/>
      <c r="EPR1" s="24" t="n"/>
      <c r="EPS1" s="24" t="n"/>
      <c r="EPT1" s="24" t="n"/>
      <c r="EPU1" s="24" t="n"/>
      <c r="EPV1" s="24" t="n"/>
      <c r="EPW1" s="24" t="n"/>
      <c r="EPX1" s="24" t="n"/>
      <c r="EPY1" s="24" t="n"/>
      <c r="EPZ1" s="24" t="n"/>
      <c r="EQA1" s="24" t="n"/>
      <c r="EQB1" s="24" t="n"/>
      <c r="EQC1" s="24" t="n"/>
      <c r="EQD1" s="24" t="n"/>
      <c r="EQE1" s="24" t="n"/>
      <c r="EQF1" s="24" t="n"/>
      <c r="EQG1" s="24" t="n"/>
      <c r="EQH1" s="24" t="n"/>
      <c r="EQI1" s="24" t="n"/>
      <c r="EQJ1" s="24" t="n"/>
      <c r="EQK1" s="24" t="n"/>
      <c r="EQL1" s="24" t="n"/>
      <c r="EQM1" s="24" t="n"/>
      <c r="EQN1" s="24" t="n"/>
      <c r="EQO1" s="24" t="n"/>
      <c r="EQP1" s="24" t="n"/>
      <c r="EQQ1" s="24" t="n"/>
      <c r="EQR1" s="24" t="n"/>
      <c r="EQS1" s="24" t="n"/>
      <c r="EQT1" s="24" t="n"/>
      <c r="EQU1" s="24" t="n"/>
      <c r="EQV1" s="24" t="n"/>
      <c r="EQW1" s="24" t="n"/>
      <c r="EQX1" s="24" t="n"/>
      <c r="EQY1" s="24" t="n"/>
      <c r="EQZ1" s="24" t="n"/>
      <c r="ERA1" s="24" t="n"/>
      <c r="ERB1" s="24" t="n"/>
      <c r="ERC1" s="24" t="n"/>
      <c r="ERD1" s="24" t="n"/>
      <c r="ERE1" s="24" t="n"/>
      <c r="ERF1" s="24" t="n"/>
      <c r="ERG1" s="24" t="n"/>
      <c r="ERH1" s="24" t="n"/>
      <c r="ERI1" s="24" t="n"/>
      <c r="ERJ1" s="24" t="n"/>
      <c r="ERK1" s="24" t="n"/>
      <c r="ERL1" s="24" t="n"/>
      <c r="ERM1" s="24" t="n"/>
      <c r="ERN1" s="24" t="n"/>
      <c r="ERO1" s="24" t="n"/>
      <c r="ERP1" s="24" t="n"/>
      <c r="ERQ1" s="24" t="n"/>
      <c r="ERR1" s="24" t="n"/>
      <c r="ERS1" s="24" t="n"/>
      <c r="ERT1" s="24" t="n"/>
      <c r="ERU1" s="24" t="n"/>
      <c r="ERV1" s="24" t="n"/>
      <c r="ERW1" s="24" t="n"/>
      <c r="ERX1" s="24" t="n"/>
      <c r="ERY1" s="24" t="n"/>
      <c r="ERZ1" s="24" t="n"/>
      <c r="ESA1" s="24" t="n"/>
      <c r="ESB1" s="24" t="n"/>
      <c r="ESC1" s="24" t="n"/>
      <c r="ESD1" s="24" t="n"/>
      <c r="ESE1" s="24" t="n"/>
      <c r="ESF1" s="24" t="n"/>
      <c r="ESG1" s="24" t="n"/>
      <c r="ESH1" s="24" t="n"/>
      <c r="ESI1" s="24" t="n"/>
      <c r="ESJ1" s="24" t="n"/>
      <c r="ESK1" s="24" t="n"/>
      <c r="ESL1" s="24" t="n"/>
      <c r="ESM1" s="24" t="n"/>
      <c r="ESN1" s="24" t="n"/>
      <c r="ESO1" s="24" t="n"/>
      <c r="ESP1" s="24" t="n"/>
      <c r="ESQ1" s="24" t="n"/>
      <c r="ESR1" s="24" t="n"/>
      <c r="ESS1" s="24" t="n"/>
      <c r="EST1" s="24" t="n"/>
      <c r="ESU1" s="24" t="n"/>
      <c r="ESV1" s="24" t="n"/>
      <c r="ESW1" s="24" t="n"/>
      <c r="ESX1" s="24" t="n"/>
      <c r="ESY1" s="24" t="n"/>
      <c r="ESZ1" s="24" t="n"/>
      <c r="ETA1" s="24" t="n"/>
      <c r="ETB1" s="24" t="n"/>
      <c r="ETC1" s="24" t="n"/>
      <c r="ETD1" s="24" t="n"/>
      <c r="ETE1" s="24" t="n"/>
      <c r="ETF1" s="24" t="n"/>
      <c r="ETG1" s="24" t="n"/>
      <c r="ETH1" s="24" t="n"/>
      <c r="ETI1" s="24" t="n"/>
      <c r="ETJ1" s="24" t="n"/>
      <c r="ETK1" s="24" t="n"/>
      <c r="ETL1" s="24" t="n"/>
      <c r="ETM1" s="24" t="n"/>
      <c r="ETN1" s="24" t="n"/>
      <c r="ETO1" s="24" t="n"/>
      <c r="ETP1" s="24" t="n"/>
      <c r="ETQ1" s="24" t="n"/>
      <c r="ETR1" s="24" t="n"/>
      <c r="ETS1" s="24" t="n"/>
      <c r="ETT1" s="24" t="n"/>
      <c r="ETU1" s="24" t="n"/>
      <c r="ETV1" s="24" t="n"/>
      <c r="ETW1" s="24" t="n"/>
      <c r="ETX1" s="24" t="n"/>
      <c r="ETY1" s="24" t="n"/>
      <c r="ETZ1" s="24" t="n"/>
      <c r="EUA1" s="24" t="n"/>
      <c r="EUB1" s="24" t="n"/>
      <c r="EUC1" s="24" t="n"/>
      <c r="EUD1" s="24" t="n"/>
      <c r="EUE1" s="24" t="n"/>
      <c r="EUF1" s="24" t="n"/>
      <c r="EUG1" s="24" t="n"/>
      <c r="EUH1" s="24" t="n"/>
      <c r="EUI1" s="24" t="n"/>
      <c r="EUJ1" s="24" t="n"/>
      <c r="EUK1" s="24" t="n"/>
      <c r="EUL1" s="24" t="n"/>
      <c r="EUM1" s="24" t="n"/>
      <c r="EUN1" s="24" t="n"/>
      <c r="EUO1" s="24" t="n"/>
      <c r="EUP1" s="24" t="n"/>
      <c r="EUQ1" s="24" t="n"/>
      <c r="EUR1" s="24" t="n"/>
      <c r="EUS1" s="24" t="n"/>
      <c r="EUT1" s="24" t="n"/>
      <c r="EUU1" s="24" t="n"/>
      <c r="EUV1" s="24" t="n"/>
      <c r="EUW1" s="24" t="n"/>
      <c r="EUX1" s="24" t="n"/>
      <c r="EUY1" s="24" t="n"/>
      <c r="EUZ1" s="24" t="n"/>
      <c r="EVA1" s="24" t="n"/>
      <c r="EVB1" s="24" t="n"/>
      <c r="EVC1" s="24" t="n"/>
      <c r="EVD1" s="24" t="n"/>
      <c r="EVE1" s="24" t="n"/>
      <c r="EVF1" s="24" t="n"/>
      <c r="EVG1" s="24" t="n"/>
      <c r="EVH1" s="24" t="n"/>
      <c r="EVI1" s="24" t="n"/>
      <c r="EVJ1" s="24" t="n"/>
      <c r="EVK1" s="24" t="n"/>
      <c r="EVL1" s="24" t="n"/>
      <c r="EVM1" s="24" t="n"/>
      <c r="EVN1" s="24" t="n"/>
      <c r="EVO1" s="24" t="n"/>
      <c r="EVP1" s="24" t="n"/>
      <c r="EVQ1" s="24" t="n"/>
      <c r="EVR1" s="24" t="n"/>
      <c r="EVS1" s="24" t="n"/>
      <c r="EVT1" s="24" t="n"/>
      <c r="EVU1" s="24" t="n"/>
      <c r="EVV1" s="24" t="n"/>
      <c r="EVW1" s="24" t="n"/>
      <c r="EVX1" s="24" t="n"/>
      <c r="EVY1" s="24" t="n"/>
      <c r="EVZ1" s="24" t="n"/>
      <c r="EWA1" s="24" t="n"/>
      <c r="EWB1" s="24" t="n"/>
      <c r="EWC1" s="24" t="n"/>
      <c r="EWD1" s="24" t="n"/>
      <c r="EWE1" s="24" t="n"/>
      <c r="EWF1" s="24" t="n"/>
      <c r="EWG1" s="24" t="n"/>
      <c r="EWH1" s="24" t="n"/>
      <c r="EWI1" s="24" t="n"/>
      <c r="EWJ1" s="24" t="n"/>
      <c r="EWK1" s="24" t="n"/>
      <c r="EWL1" s="24" t="n"/>
      <c r="EWM1" s="24" t="n"/>
      <c r="EWN1" s="24" t="n"/>
      <c r="EWO1" s="24" t="n"/>
      <c r="EWP1" s="24" t="n"/>
      <c r="EWQ1" s="24" t="n"/>
      <c r="EWR1" s="24" t="n"/>
      <c r="EWS1" s="24" t="n"/>
      <c r="EWT1" s="24" t="n"/>
      <c r="EWU1" s="24" t="n"/>
      <c r="EWV1" s="24" t="n"/>
      <c r="EWW1" s="24" t="n"/>
      <c r="EWX1" s="24" t="n"/>
      <c r="EWY1" s="24" t="n"/>
      <c r="EWZ1" s="24" t="n"/>
      <c r="EXA1" s="24" t="n"/>
      <c r="EXB1" s="24" t="n"/>
      <c r="EXC1" s="24" t="n"/>
      <c r="EXD1" s="24" t="n"/>
      <c r="EXE1" s="24" t="n"/>
      <c r="EXF1" s="24" t="n"/>
      <c r="EXG1" s="24" t="n"/>
      <c r="EXH1" s="24" t="n"/>
      <c r="EXI1" s="24" t="n"/>
      <c r="EXJ1" s="24" t="n"/>
      <c r="EXK1" s="24" t="n"/>
      <c r="EXL1" s="24" t="n"/>
      <c r="EXM1" s="24" t="n"/>
      <c r="EXN1" s="24" t="n"/>
      <c r="EXO1" s="24" t="n"/>
      <c r="EXP1" s="24" t="n"/>
      <c r="EXQ1" s="24" t="n"/>
      <c r="EXR1" s="24" t="n"/>
      <c r="EXS1" s="24" t="n"/>
      <c r="EXT1" s="24" t="n"/>
      <c r="EXU1" s="24" t="n"/>
      <c r="EXV1" s="24" t="n"/>
      <c r="EXW1" s="24" t="n"/>
      <c r="EXX1" s="24" t="n"/>
      <c r="EXY1" s="24" t="n"/>
      <c r="EXZ1" s="24" t="n"/>
      <c r="EYA1" s="24" t="n"/>
      <c r="EYB1" s="24" t="n"/>
      <c r="EYC1" s="24" t="n"/>
      <c r="EYD1" s="24" t="n"/>
      <c r="EYE1" s="24" t="n"/>
      <c r="EYF1" s="24" t="n"/>
      <c r="EYG1" s="24" t="n"/>
      <c r="EYH1" s="24" t="n"/>
      <c r="EYI1" s="24" t="n"/>
      <c r="EYJ1" s="24" t="n"/>
      <c r="EYK1" s="24" t="n"/>
      <c r="EYL1" s="24" t="n"/>
      <c r="EYM1" s="24" t="n"/>
      <c r="EYN1" s="24" t="n"/>
      <c r="EYO1" s="24" t="n"/>
      <c r="EYP1" s="24" t="n"/>
      <c r="EYQ1" s="24" t="n"/>
      <c r="EYR1" s="24" t="n"/>
      <c r="EYS1" s="24" t="n"/>
      <c r="EYT1" s="24" t="n"/>
      <c r="EYU1" s="24" t="n"/>
      <c r="EYV1" s="24" t="n"/>
      <c r="EYW1" s="24" t="n"/>
      <c r="EYX1" s="24" t="n"/>
      <c r="EYY1" s="24" t="n"/>
      <c r="EYZ1" s="24" t="n"/>
      <c r="EZA1" s="24" t="n"/>
      <c r="EZB1" s="24" t="n"/>
      <c r="EZC1" s="24" t="n"/>
      <c r="EZD1" s="24" t="n"/>
      <c r="EZE1" s="24" t="n"/>
      <c r="EZF1" s="24" t="n"/>
      <c r="EZG1" s="24" t="n"/>
      <c r="EZH1" s="24" t="n"/>
      <c r="EZI1" s="24" t="n"/>
      <c r="EZJ1" s="24" t="n"/>
      <c r="EZK1" s="24" t="n"/>
      <c r="EZL1" s="24" t="n"/>
      <c r="EZM1" s="24" t="n"/>
      <c r="EZN1" s="24" t="n"/>
      <c r="EZO1" s="24" t="n"/>
      <c r="EZP1" s="24" t="n"/>
      <c r="EZQ1" s="24" t="n"/>
      <c r="EZR1" s="24" t="n"/>
      <c r="EZS1" s="24" t="n"/>
      <c r="EZT1" s="24" t="n"/>
      <c r="EZU1" s="24" t="n"/>
      <c r="EZV1" s="24" t="n"/>
      <c r="EZW1" s="24" t="n"/>
      <c r="EZX1" s="24" t="n"/>
      <c r="EZY1" s="24" t="n"/>
      <c r="EZZ1" s="24" t="n"/>
      <c r="FAA1" s="24" t="n"/>
      <c r="FAB1" s="24" t="n"/>
      <c r="FAC1" s="24" t="n"/>
      <c r="FAD1" s="24" t="n"/>
      <c r="FAE1" s="24" t="n"/>
      <c r="FAF1" s="24" t="n"/>
      <c r="FAG1" s="24" t="n"/>
      <c r="FAH1" s="24" t="n"/>
      <c r="FAI1" s="24" t="n"/>
      <c r="FAJ1" s="24" t="n"/>
      <c r="FAK1" s="24" t="n"/>
      <c r="FAL1" s="24" t="n"/>
      <c r="FAM1" s="24" t="n"/>
      <c r="FAN1" s="24" t="n"/>
      <c r="FAO1" s="24" t="n"/>
      <c r="FAP1" s="24" t="n"/>
      <c r="FAQ1" s="24" t="n"/>
      <c r="FAR1" s="24" t="n"/>
      <c r="FAS1" s="24" t="n"/>
      <c r="FAT1" s="24" t="n"/>
      <c r="FAU1" s="24" t="n"/>
      <c r="FAV1" s="24" t="n"/>
      <c r="FAW1" s="24" t="n"/>
      <c r="FAX1" s="24" t="n"/>
      <c r="FAY1" s="24" t="n"/>
      <c r="FAZ1" s="24" t="n"/>
      <c r="FBA1" s="24" t="n"/>
      <c r="FBB1" s="24" t="n"/>
      <c r="FBC1" s="24" t="n"/>
      <c r="FBD1" s="24" t="n"/>
      <c r="FBE1" s="24" t="n"/>
      <c r="FBF1" s="24" t="n"/>
      <c r="FBG1" s="24" t="n"/>
      <c r="FBH1" s="24" t="n"/>
      <c r="FBI1" s="24" t="n"/>
      <c r="FBJ1" s="24" t="n"/>
      <c r="FBK1" s="24" t="n"/>
      <c r="FBL1" s="24" t="n"/>
      <c r="FBM1" s="24" t="n"/>
      <c r="FBN1" s="24" t="n"/>
      <c r="FBO1" s="24" t="n"/>
      <c r="FBP1" s="24" t="n"/>
      <c r="FBQ1" s="24" t="n"/>
      <c r="FBR1" s="24" t="n"/>
      <c r="FBS1" s="24" t="n"/>
      <c r="FBT1" s="24" t="n"/>
      <c r="FBU1" s="24" t="n"/>
      <c r="FBV1" s="24" t="n"/>
      <c r="FBW1" s="24" t="n"/>
      <c r="FBX1" s="24" t="n"/>
      <c r="FBY1" s="24" t="n"/>
      <c r="FBZ1" s="24" t="n"/>
      <c r="FCA1" s="24" t="n"/>
      <c r="FCB1" s="24" t="n"/>
      <c r="FCC1" s="24" t="n"/>
      <c r="FCD1" s="24" t="n"/>
      <c r="FCE1" s="24" t="n"/>
      <c r="FCF1" s="24" t="n"/>
      <c r="FCG1" s="24" t="n"/>
      <c r="FCH1" s="24" t="n"/>
      <c r="FCI1" s="24" t="n"/>
      <c r="FCJ1" s="24" t="n"/>
      <c r="FCK1" s="24" t="n"/>
      <c r="FCL1" s="24" t="n"/>
      <c r="FCM1" s="24" t="n"/>
      <c r="FCN1" s="24" t="n"/>
      <c r="FCO1" s="24" t="n"/>
      <c r="FCP1" s="24" t="n"/>
      <c r="FCQ1" s="24" t="n"/>
      <c r="FCR1" s="24" t="n"/>
      <c r="FCS1" s="24" t="n"/>
      <c r="FCT1" s="24" t="n"/>
      <c r="FCU1" s="24" t="n"/>
      <c r="FCV1" s="24" t="n"/>
      <c r="FCW1" s="24" t="n"/>
      <c r="FCX1" s="24" t="n"/>
      <c r="FCY1" s="24" t="n"/>
      <c r="FCZ1" s="24" t="n"/>
      <c r="FDA1" s="24" t="n"/>
      <c r="FDB1" s="24" t="n"/>
      <c r="FDC1" s="24" t="n"/>
      <c r="FDD1" s="24" t="n"/>
      <c r="FDE1" s="24" t="n"/>
      <c r="FDF1" s="24" t="n"/>
      <c r="FDG1" s="24" t="n"/>
      <c r="FDH1" s="24" t="n"/>
      <c r="FDI1" s="24" t="n"/>
      <c r="FDJ1" s="24" t="n"/>
      <c r="FDK1" s="24" t="n"/>
      <c r="FDL1" s="24" t="n"/>
      <c r="FDM1" s="24" t="n"/>
      <c r="FDN1" s="24" t="n"/>
      <c r="FDO1" s="24" t="n"/>
      <c r="FDP1" s="24" t="n"/>
      <c r="FDQ1" s="24" t="n"/>
      <c r="FDR1" s="24" t="n"/>
      <c r="FDS1" s="24" t="n"/>
      <c r="FDT1" s="24" t="n"/>
      <c r="FDU1" s="24" t="n"/>
      <c r="FDV1" s="24" t="n"/>
      <c r="FDW1" s="24" t="n"/>
      <c r="FDX1" s="24" t="n"/>
      <c r="FDY1" s="24" t="n"/>
      <c r="FDZ1" s="24" t="n"/>
      <c r="FEA1" s="24" t="n"/>
      <c r="FEB1" s="24" t="n"/>
      <c r="FEC1" s="24" t="n"/>
      <c r="FED1" s="24" t="n"/>
      <c r="FEE1" s="24" t="n"/>
      <c r="FEF1" s="24" t="n"/>
      <c r="FEG1" s="24" t="n"/>
      <c r="FEH1" s="24" t="n"/>
      <c r="FEI1" s="24" t="n"/>
      <c r="FEJ1" s="24" t="n"/>
      <c r="FEK1" s="24" t="n"/>
      <c r="FEL1" s="24" t="n"/>
      <c r="FEM1" s="24" t="n"/>
      <c r="FEN1" s="24" t="n"/>
      <c r="FEO1" s="24" t="n"/>
      <c r="FEP1" s="24" t="n"/>
      <c r="FEQ1" s="24" t="n"/>
      <c r="FER1" s="24" t="n"/>
      <c r="FES1" s="24" t="n"/>
      <c r="FET1" s="24" t="n"/>
      <c r="FEU1" s="24" t="n"/>
      <c r="FEV1" s="24" t="n"/>
      <c r="FEW1" s="24" t="n"/>
      <c r="FEX1" s="24" t="n"/>
      <c r="FEY1" s="24" t="n"/>
      <c r="FEZ1" s="24" t="n"/>
      <c r="FFA1" s="24" t="n"/>
      <c r="FFB1" s="24" t="n"/>
      <c r="FFC1" s="24" t="n"/>
      <c r="FFD1" s="24" t="n"/>
      <c r="FFE1" s="24" t="n"/>
      <c r="FFF1" s="24" t="n"/>
      <c r="FFG1" s="24" t="n"/>
      <c r="FFH1" s="24" t="n"/>
      <c r="FFI1" s="24" t="n"/>
      <c r="FFJ1" s="24" t="n"/>
      <c r="FFK1" s="24" t="n"/>
      <c r="FFL1" s="24" t="n"/>
      <c r="FFM1" s="24" t="n"/>
      <c r="FFN1" s="24" t="n"/>
      <c r="FFO1" s="24" t="n"/>
      <c r="FFP1" s="24" t="n"/>
      <c r="FFQ1" s="24" t="n"/>
      <c r="FFR1" s="24" t="n"/>
      <c r="FFS1" s="24" t="n"/>
      <c r="FFT1" s="24" t="n"/>
      <c r="FFU1" s="24" t="n"/>
      <c r="FFV1" s="24" t="n"/>
      <c r="FFW1" s="24" t="n"/>
      <c r="FFX1" s="24" t="n"/>
      <c r="FFY1" s="24" t="n"/>
      <c r="FFZ1" s="24" t="n"/>
      <c r="FGA1" s="24" t="n"/>
      <c r="FGB1" s="24" t="n"/>
      <c r="FGC1" s="24" t="n"/>
      <c r="FGD1" s="24" t="n"/>
      <c r="FGE1" s="24" t="n"/>
      <c r="FGF1" s="24" t="n"/>
      <c r="FGG1" s="24" t="n"/>
      <c r="FGH1" s="24" t="n"/>
      <c r="FGI1" s="24" t="n"/>
      <c r="FGJ1" s="24" t="n"/>
      <c r="FGK1" s="24" t="n"/>
      <c r="FGL1" s="24" t="n"/>
      <c r="FGM1" s="24" t="n"/>
      <c r="FGN1" s="24" t="n"/>
      <c r="FGO1" s="24" t="n"/>
      <c r="FGP1" s="24" t="n"/>
      <c r="FGQ1" s="24" t="n"/>
      <c r="FGR1" s="24" t="n"/>
      <c r="FGS1" s="24" t="n"/>
      <c r="FGT1" s="24" t="n"/>
      <c r="FGU1" s="24" t="n"/>
      <c r="FGV1" s="24" t="n"/>
      <c r="FGW1" s="24" t="n"/>
      <c r="FGX1" s="24" t="n"/>
      <c r="FGY1" s="24" t="n"/>
      <c r="FGZ1" s="24" t="n"/>
      <c r="FHA1" s="24" t="n"/>
      <c r="FHB1" s="24" t="n"/>
      <c r="FHC1" s="24" t="n"/>
      <c r="FHD1" s="24" t="n"/>
      <c r="FHE1" s="24" t="n"/>
      <c r="FHF1" s="24" t="n"/>
      <c r="FHG1" s="24" t="n"/>
      <c r="FHH1" s="24" t="n"/>
      <c r="FHI1" s="24" t="n"/>
      <c r="FHJ1" s="24" t="n"/>
      <c r="FHK1" s="24" t="n"/>
      <c r="FHL1" s="24" t="n"/>
      <c r="FHM1" s="24" t="n"/>
      <c r="FHN1" s="24" t="n"/>
      <c r="FHO1" s="24" t="n"/>
      <c r="FHP1" s="24" t="n"/>
      <c r="FHQ1" s="24" t="n"/>
      <c r="FHR1" s="24" t="n"/>
      <c r="FHS1" s="24" t="n"/>
      <c r="FHT1" s="24" t="n"/>
      <c r="FHU1" s="24" t="n"/>
      <c r="FHV1" s="24" t="n"/>
      <c r="FHW1" s="24" t="n"/>
      <c r="FHX1" s="24" t="n"/>
      <c r="FHY1" s="24" t="n"/>
      <c r="FHZ1" s="24" t="n"/>
      <c r="FIA1" s="24" t="n"/>
      <c r="FIB1" s="24" t="n"/>
      <c r="FIC1" s="24" t="n"/>
      <c r="FID1" s="24" t="n"/>
      <c r="FIE1" s="24" t="n"/>
      <c r="FIF1" s="24" t="n"/>
      <c r="FIG1" s="24" t="n"/>
      <c r="FIH1" s="24" t="n"/>
      <c r="FII1" s="24" t="n"/>
      <c r="FIJ1" s="24" t="n"/>
      <c r="FIK1" s="24" t="n"/>
      <c r="FIL1" s="24" t="n"/>
      <c r="FIM1" s="24" t="n"/>
      <c r="FIN1" s="24" t="n"/>
      <c r="FIO1" s="24" t="n"/>
      <c r="FIP1" s="24" t="n"/>
      <c r="FIQ1" s="24" t="n"/>
      <c r="FIR1" s="24" t="n"/>
      <c r="FIS1" s="24" t="n"/>
      <c r="FIT1" s="24" t="n"/>
      <c r="FIU1" s="24" t="n"/>
      <c r="FIV1" s="24" t="n"/>
      <c r="FIW1" s="24" t="n"/>
      <c r="FIX1" s="24" t="n"/>
      <c r="FIY1" s="24" t="n"/>
      <c r="FIZ1" s="24" t="n"/>
      <c r="FJA1" s="24" t="n"/>
      <c r="FJB1" s="24" t="n"/>
      <c r="FJC1" s="24" t="n"/>
      <c r="FJD1" s="24" t="n"/>
      <c r="FJE1" s="24" t="n"/>
      <c r="FJF1" s="24" t="n"/>
      <c r="FJG1" s="24" t="n"/>
      <c r="FJH1" s="24" t="n"/>
      <c r="FJI1" s="24" t="n"/>
      <c r="FJJ1" s="24" t="n"/>
      <c r="FJK1" s="24" t="n"/>
      <c r="FJL1" s="24" t="n"/>
      <c r="FJM1" s="24" t="n"/>
      <c r="FJN1" s="24" t="n"/>
      <c r="FJO1" s="24" t="n"/>
      <c r="FJP1" s="24" t="n"/>
      <c r="FJQ1" s="24" t="n"/>
      <c r="FJR1" s="24" t="n"/>
      <c r="FJS1" s="24" t="n"/>
      <c r="FJT1" s="24" t="n"/>
      <c r="FJU1" s="24" t="n"/>
      <c r="FJV1" s="24" t="n"/>
      <c r="FJW1" s="24" t="n"/>
      <c r="FJX1" s="24" t="n"/>
      <c r="FJY1" s="24" t="n"/>
      <c r="FJZ1" s="24" t="n"/>
      <c r="FKA1" s="24" t="n"/>
      <c r="FKB1" s="24" t="n"/>
      <c r="FKC1" s="24" t="n"/>
      <c r="FKD1" s="24" t="n"/>
      <c r="FKE1" s="24" t="n"/>
      <c r="FKF1" s="24" t="n"/>
      <c r="FKG1" s="24" t="n"/>
      <c r="FKH1" s="24" t="n"/>
      <c r="FKI1" s="24" t="n"/>
      <c r="FKJ1" s="24" t="n"/>
      <c r="FKK1" s="24" t="n"/>
      <c r="FKL1" s="24" t="n"/>
      <c r="FKM1" s="24" t="n"/>
      <c r="FKN1" s="24" t="n"/>
      <c r="FKO1" s="24" t="n"/>
      <c r="FKP1" s="24" t="n"/>
      <c r="FKQ1" s="24" t="n"/>
      <c r="FKR1" s="24" t="n"/>
      <c r="FKS1" s="24" t="n"/>
      <c r="FKT1" s="24" t="n"/>
      <c r="FKU1" s="24" t="n"/>
      <c r="FKV1" s="24" t="n"/>
      <c r="FKW1" s="24" t="n"/>
      <c r="FKX1" s="24" t="n"/>
      <c r="FKY1" s="24" t="n"/>
      <c r="FKZ1" s="24" t="n"/>
      <c r="FLA1" s="24" t="n"/>
      <c r="FLB1" s="24" t="n"/>
      <c r="FLC1" s="24" t="n"/>
      <c r="FLD1" s="24" t="n"/>
      <c r="FLE1" s="24" t="n"/>
      <c r="FLF1" s="24" t="n"/>
      <c r="FLG1" s="24" t="n"/>
      <c r="FLH1" s="24" t="n"/>
      <c r="FLI1" s="24" t="n"/>
      <c r="FLJ1" s="24" t="n"/>
      <c r="FLK1" s="24" t="n"/>
      <c r="FLL1" s="24" t="n"/>
      <c r="FLM1" s="24" t="n"/>
      <c r="FLN1" s="24" t="n"/>
      <c r="FLO1" s="24" t="n"/>
      <c r="FLP1" s="24" t="n"/>
      <c r="FLQ1" s="24" t="n"/>
      <c r="FLR1" s="24" t="n"/>
      <c r="FLS1" s="24" t="n"/>
      <c r="FLT1" s="24" t="n"/>
      <c r="FLU1" s="24" t="n"/>
      <c r="FLV1" s="24" t="n"/>
      <c r="FLW1" s="24" t="n"/>
      <c r="FLX1" s="24" t="n"/>
      <c r="FLY1" s="24" t="n"/>
      <c r="FLZ1" s="24" t="n"/>
      <c r="FMA1" s="24" t="n"/>
      <c r="FMB1" s="24" t="n"/>
      <c r="FMC1" s="24" t="n"/>
      <c r="FMD1" s="24" t="n"/>
      <c r="FME1" s="24" t="n"/>
      <c r="FMF1" s="24" t="n"/>
      <c r="FMG1" s="24" t="n"/>
      <c r="FMH1" s="24" t="n"/>
      <c r="FMI1" s="24" t="n"/>
      <c r="FMJ1" s="24" t="n"/>
      <c r="FMK1" s="24" t="n"/>
      <c r="FML1" s="24" t="n"/>
      <c r="FMM1" s="24" t="n"/>
      <c r="FMN1" s="24" t="n"/>
      <c r="FMO1" s="24" t="n"/>
      <c r="FMP1" s="24" t="n"/>
      <c r="FMQ1" s="24" t="n"/>
      <c r="FMR1" s="24" t="n"/>
      <c r="FMS1" s="24" t="n"/>
      <c r="FMT1" s="24" t="n"/>
      <c r="FMU1" s="24" t="n"/>
      <c r="FMV1" s="24" t="n"/>
      <c r="FMW1" s="24" t="n"/>
      <c r="FMX1" s="24" t="n"/>
      <c r="FMY1" s="24" t="n"/>
      <c r="FMZ1" s="24" t="n"/>
      <c r="FNA1" s="24" t="n"/>
      <c r="FNB1" s="24" t="n"/>
      <c r="FNC1" s="24" t="n"/>
      <c r="FND1" s="24" t="n"/>
      <c r="FNE1" s="24" t="n"/>
      <c r="FNF1" s="24" t="n"/>
      <c r="FNG1" s="24" t="n"/>
      <c r="FNH1" s="24" t="n"/>
      <c r="FNI1" s="24" t="n"/>
      <c r="FNJ1" s="24" t="n"/>
      <c r="FNK1" s="24" t="n"/>
      <c r="FNL1" s="24" t="n"/>
      <c r="FNM1" s="24" t="n"/>
      <c r="FNN1" s="24" t="n"/>
      <c r="FNO1" s="24" t="n"/>
      <c r="FNP1" s="24" t="n"/>
      <c r="FNQ1" s="24" t="n"/>
      <c r="FNR1" s="24" t="n"/>
      <c r="FNS1" s="24" t="n"/>
      <c r="FNT1" s="24" t="n"/>
      <c r="FNU1" s="24" t="n"/>
      <c r="FNV1" s="24" t="n"/>
      <c r="FNW1" s="24" t="n"/>
      <c r="FNX1" s="24" t="n"/>
      <c r="FNY1" s="24" t="n"/>
      <c r="FNZ1" s="24" t="n"/>
      <c r="FOA1" s="24" t="n"/>
      <c r="FOB1" s="24" t="n"/>
      <c r="FOC1" s="24" t="n"/>
      <c r="FOD1" s="24" t="n"/>
      <c r="FOE1" s="24" t="n"/>
      <c r="FOF1" s="24" t="n"/>
      <c r="FOG1" s="24" t="n"/>
      <c r="FOH1" s="24" t="n"/>
      <c r="FOI1" s="24" t="n"/>
      <c r="FOJ1" s="24" t="n"/>
      <c r="FOK1" s="24" t="n"/>
      <c r="FOL1" s="24" t="n"/>
      <c r="FOM1" s="24" t="n"/>
      <c r="FON1" s="24" t="n"/>
      <c r="FOO1" s="24" t="n"/>
      <c r="FOP1" s="24" t="n"/>
      <c r="FOQ1" s="24" t="n"/>
      <c r="FOR1" s="24" t="n"/>
      <c r="FOS1" s="24" t="n"/>
      <c r="FOT1" s="24" t="n"/>
      <c r="FOU1" s="24" t="n"/>
      <c r="FOV1" s="24" t="n"/>
      <c r="FOW1" s="24" t="n"/>
      <c r="FOX1" s="24" t="n"/>
      <c r="FOY1" s="24" t="n"/>
      <c r="FOZ1" s="24" t="n"/>
      <c r="FPA1" s="24" t="n"/>
      <c r="FPB1" s="24" t="n"/>
      <c r="FPC1" s="24" t="n"/>
      <c r="FPD1" s="24" t="n"/>
      <c r="FPE1" s="24" t="n"/>
      <c r="FPF1" s="24" t="n"/>
      <c r="FPG1" s="24" t="n"/>
      <c r="FPH1" s="24" t="n"/>
      <c r="FPI1" s="24" t="n"/>
      <c r="FPJ1" s="24" t="n"/>
      <c r="FPK1" s="24" t="n"/>
      <c r="FPL1" s="24" t="n"/>
      <c r="FPM1" s="24" t="n"/>
      <c r="FPN1" s="24" t="n"/>
      <c r="FPO1" s="24" t="n"/>
      <c r="FPP1" s="24" t="n"/>
      <c r="FPQ1" s="24" t="n"/>
      <c r="FPR1" s="24" t="n"/>
      <c r="FPS1" s="24" t="n"/>
      <c r="FPT1" s="24" t="n"/>
      <c r="FPU1" s="24" t="n"/>
      <c r="FPV1" s="24" t="n"/>
      <c r="FPW1" s="24" t="n"/>
      <c r="FPX1" s="24" t="n"/>
      <c r="FPY1" s="24" t="n"/>
      <c r="FPZ1" s="24" t="n"/>
      <c r="FQA1" s="24" t="n"/>
      <c r="FQB1" s="24" t="n"/>
      <c r="FQC1" s="24" t="n"/>
      <c r="FQD1" s="24" t="n"/>
      <c r="FQE1" s="24" t="n"/>
      <c r="FQF1" s="24" t="n"/>
      <c r="FQG1" s="24" t="n"/>
      <c r="FQH1" s="24" t="n"/>
      <c r="FQI1" s="24" t="n"/>
      <c r="FQJ1" s="24" t="n"/>
      <c r="FQK1" s="24" t="n"/>
      <c r="FQL1" s="24" t="n"/>
      <c r="FQM1" s="24" t="n"/>
      <c r="FQN1" s="24" t="n"/>
      <c r="FQO1" s="24" t="n"/>
      <c r="FQP1" s="24" t="n"/>
      <c r="FQQ1" s="24" t="n"/>
      <c r="FQR1" s="24" t="n"/>
      <c r="FQS1" s="24" t="n"/>
      <c r="FQT1" s="24" t="n"/>
      <c r="FQU1" s="24" t="n"/>
      <c r="FQV1" s="24" t="n"/>
      <c r="FQW1" s="24" t="n"/>
      <c r="FQX1" s="24" t="n"/>
      <c r="FQY1" s="24" t="n"/>
      <c r="FQZ1" s="24" t="n"/>
      <c r="FRA1" s="24" t="n"/>
      <c r="FRB1" s="24" t="n"/>
      <c r="FRC1" s="24" t="n"/>
      <c r="FRD1" s="24" t="n"/>
      <c r="FRE1" s="24" t="n"/>
      <c r="FRF1" s="24" t="n"/>
      <c r="FRG1" s="24" t="n"/>
      <c r="FRH1" s="24" t="n"/>
      <c r="FRI1" s="24" t="n"/>
      <c r="FRJ1" s="24" t="n"/>
      <c r="FRK1" s="24" t="n"/>
      <c r="FRL1" s="24" t="n"/>
      <c r="FRM1" s="24" t="n"/>
      <c r="FRN1" s="24" t="n"/>
      <c r="FRO1" s="24" t="n"/>
      <c r="FRP1" s="24" t="n"/>
      <c r="FRQ1" s="24" t="n"/>
      <c r="FRR1" s="24" t="n"/>
      <c r="FRS1" s="24" t="n"/>
      <c r="FRT1" s="24" t="n"/>
      <c r="FRU1" s="24" t="n"/>
      <c r="FRV1" s="24" t="n"/>
      <c r="FRW1" s="24" t="n"/>
      <c r="FRX1" s="24" t="n"/>
      <c r="FRY1" s="24" t="n"/>
      <c r="FRZ1" s="24" t="n"/>
      <c r="FSA1" s="24" t="n"/>
      <c r="FSB1" s="24" t="n"/>
      <c r="FSC1" s="24" t="n"/>
      <c r="FSD1" s="24" t="n"/>
      <c r="FSE1" s="24" t="n"/>
      <c r="FSF1" s="24" t="n"/>
      <c r="FSG1" s="24" t="n"/>
      <c r="FSH1" s="24" t="n"/>
      <c r="FSI1" s="24" t="n"/>
      <c r="FSJ1" s="24" t="n"/>
      <c r="FSK1" s="24" t="n"/>
      <c r="FSL1" s="24" t="n"/>
      <c r="FSM1" s="24" t="n"/>
      <c r="FSN1" s="24" t="n"/>
      <c r="FSO1" s="24" t="n"/>
      <c r="FSP1" s="24" t="n"/>
      <c r="FSQ1" s="24" t="n"/>
      <c r="FSR1" s="24" t="n"/>
      <c r="FSS1" s="24" t="n"/>
      <c r="FST1" s="24" t="n"/>
      <c r="FSU1" s="24" t="n"/>
      <c r="FSV1" s="24" t="n"/>
      <c r="FSW1" s="24" t="n"/>
      <c r="FSX1" s="24" t="n"/>
      <c r="FSY1" s="24" t="n"/>
      <c r="FSZ1" s="24" t="n"/>
      <c r="FTA1" s="24" t="n"/>
      <c r="FTB1" s="24" t="n"/>
      <c r="FTC1" s="24" t="n"/>
      <c r="FTD1" s="24" t="n"/>
      <c r="FTE1" s="24" t="n"/>
      <c r="FTF1" s="24" t="n"/>
      <c r="FTG1" s="24" t="n"/>
      <c r="FTH1" s="24" t="n"/>
      <c r="FTI1" s="24" t="n"/>
      <c r="FTJ1" s="24" t="n"/>
      <c r="FTK1" s="24" t="n"/>
      <c r="FTL1" s="24" t="n"/>
      <c r="FTM1" s="24" t="n"/>
      <c r="FTN1" s="24" t="n"/>
      <c r="FTO1" s="24" t="n"/>
      <c r="FTP1" s="24" t="n"/>
      <c r="FTQ1" s="24" t="n"/>
      <c r="FTR1" s="24" t="n"/>
      <c r="FTS1" s="24" t="n"/>
      <c r="FTT1" s="24" t="n"/>
      <c r="FTU1" s="24" t="n"/>
      <c r="FTV1" s="24" t="n"/>
      <c r="FTW1" s="24" t="n"/>
      <c r="FTX1" s="24" t="n"/>
      <c r="FTY1" s="24" t="n"/>
      <c r="FTZ1" s="24" t="n"/>
      <c r="FUA1" s="24" t="n"/>
      <c r="FUB1" s="24" t="n"/>
      <c r="FUC1" s="24" t="n"/>
      <c r="FUD1" s="24" t="n"/>
      <c r="FUE1" s="24" t="n"/>
      <c r="FUF1" s="24" t="n"/>
      <c r="FUG1" s="24" t="n"/>
      <c r="FUH1" s="24" t="n"/>
      <c r="FUI1" s="24" t="n"/>
      <c r="FUJ1" s="24" t="n"/>
      <c r="FUK1" s="24" t="n"/>
      <c r="FUL1" s="24" t="n"/>
      <c r="FUM1" s="24" t="n"/>
      <c r="FUN1" s="24" t="n"/>
      <c r="FUO1" s="24" t="n"/>
      <c r="FUP1" s="24" t="n"/>
      <c r="FUQ1" s="24" t="n"/>
      <c r="FUR1" s="24" t="n"/>
      <c r="FUS1" s="24" t="n"/>
      <c r="FUT1" s="24" t="n"/>
      <c r="FUU1" s="24" t="n"/>
      <c r="FUV1" s="24" t="n"/>
      <c r="FUW1" s="24" t="n"/>
      <c r="FUX1" s="24" t="n"/>
      <c r="FUY1" s="24" t="n"/>
      <c r="FUZ1" s="24" t="n"/>
      <c r="FVA1" s="24" t="n"/>
      <c r="FVB1" s="24" t="n"/>
      <c r="FVC1" s="24" t="n"/>
      <c r="FVD1" s="24" t="n"/>
      <c r="FVE1" s="24" t="n"/>
      <c r="FVF1" s="24" t="n"/>
      <c r="FVG1" s="24" t="n"/>
      <c r="FVH1" s="24" t="n"/>
      <c r="FVI1" s="24" t="n"/>
      <c r="FVJ1" s="24" t="n"/>
      <c r="FVK1" s="24" t="n"/>
      <c r="FVL1" s="24" t="n"/>
      <c r="FVM1" s="24" t="n"/>
      <c r="FVN1" s="24" t="n"/>
      <c r="FVO1" s="24" t="n"/>
      <c r="FVP1" s="24" t="n"/>
      <c r="FVQ1" s="24" t="n"/>
      <c r="FVR1" s="24" t="n"/>
      <c r="FVS1" s="24" t="n"/>
      <c r="FVT1" s="24" t="n"/>
      <c r="FVU1" s="24" t="n"/>
      <c r="FVV1" s="24" t="n"/>
      <c r="FVW1" s="24" t="n"/>
      <c r="FVX1" s="24" t="n"/>
      <c r="FVY1" s="24" t="n"/>
      <c r="FVZ1" s="24" t="n"/>
      <c r="FWA1" s="24" t="n"/>
      <c r="FWB1" s="24" t="n"/>
      <c r="FWC1" s="24" t="n"/>
      <c r="FWD1" s="24" t="n"/>
      <c r="FWE1" s="24" t="n"/>
      <c r="FWF1" s="24" t="n"/>
      <c r="FWG1" s="24" t="n"/>
      <c r="FWH1" s="24" t="n"/>
      <c r="FWI1" s="24" t="n"/>
      <c r="FWJ1" s="24" t="n"/>
      <c r="FWK1" s="24" t="n"/>
      <c r="FWL1" s="24" t="n"/>
      <c r="FWM1" s="24" t="n"/>
      <c r="FWN1" s="24" t="n"/>
      <c r="FWO1" s="24" t="n"/>
      <c r="FWP1" s="24" t="n"/>
      <c r="FWQ1" s="24" t="n"/>
      <c r="FWR1" s="24" t="n"/>
      <c r="FWS1" s="24" t="n"/>
      <c r="FWT1" s="24" t="n"/>
      <c r="FWU1" s="24" t="n"/>
      <c r="FWV1" s="24" t="n"/>
      <c r="FWW1" s="24" t="n"/>
      <c r="FWX1" s="24" t="n"/>
      <c r="FWY1" s="24" t="n"/>
      <c r="FWZ1" s="24" t="n"/>
      <c r="FXA1" s="24" t="n"/>
      <c r="FXB1" s="24" t="n"/>
      <c r="FXC1" s="24" t="n"/>
      <c r="FXD1" s="24" t="n"/>
      <c r="FXE1" s="24" t="n"/>
      <c r="FXF1" s="24" t="n"/>
      <c r="FXG1" s="24" t="n"/>
      <c r="FXH1" s="24" t="n"/>
      <c r="FXI1" s="24" t="n"/>
      <c r="FXJ1" s="24" t="n"/>
      <c r="FXK1" s="24" t="n"/>
      <c r="FXL1" s="24" t="n"/>
      <c r="FXM1" s="24" t="n"/>
      <c r="FXN1" s="24" t="n"/>
      <c r="FXO1" s="24" t="n"/>
      <c r="FXP1" s="24" t="n"/>
      <c r="FXQ1" s="24" t="n"/>
      <c r="FXR1" s="24" t="n"/>
      <c r="FXS1" s="24" t="n"/>
      <c r="FXT1" s="24" t="n"/>
      <c r="FXU1" s="24" t="n"/>
      <c r="FXV1" s="24" t="n"/>
      <c r="FXW1" s="24" t="n"/>
      <c r="FXX1" s="24" t="n"/>
      <c r="FXY1" s="24" t="n"/>
      <c r="FXZ1" s="24" t="n"/>
      <c r="FYA1" s="24" t="n"/>
      <c r="FYB1" s="24" t="n"/>
      <c r="FYC1" s="24" t="n"/>
      <c r="FYD1" s="24" t="n"/>
      <c r="FYE1" s="24" t="n"/>
      <c r="FYF1" s="24" t="n"/>
      <c r="FYG1" s="24" t="n"/>
      <c r="FYH1" s="24" t="n"/>
      <c r="FYI1" s="24" t="n"/>
      <c r="FYJ1" s="24" t="n"/>
      <c r="FYK1" s="24" t="n"/>
      <c r="FYL1" s="24" t="n"/>
      <c r="FYM1" s="24" t="n"/>
      <c r="FYN1" s="24" t="n"/>
      <c r="FYO1" s="24" t="n"/>
      <c r="FYP1" s="24" t="n"/>
      <c r="FYQ1" s="24" t="n"/>
      <c r="FYR1" s="24" t="n"/>
      <c r="FYS1" s="24" t="n"/>
      <c r="FYT1" s="24" t="n"/>
      <c r="FYU1" s="24" t="n"/>
      <c r="FYV1" s="24" t="n"/>
      <c r="FYW1" s="24" t="n"/>
      <c r="FYX1" s="24" t="n"/>
      <c r="FYY1" s="24" t="n"/>
      <c r="FYZ1" s="24" t="n"/>
      <c r="FZA1" s="24" t="n"/>
      <c r="FZB1" s="24" t="n"/>
      <c r="FZC1" s="24" t="n"/>
      <c r="FZD1" s="24" t="n"/>
      <c r="FZE1" s="24" t="n"/>
      <c r="FZF1" s="24" t="n"/>
      <c r="FZG1" s="24" t="n"/>
      <c r="FZH1" s="24" t="n"/>
      <c r="FZI1" s="24" t="n"/>
      <c r="FZJ1" s="24" t="n"/>
      <c r="FZK1" s="24" t="n"/>
      <c r="FZL1" s="24" t="n"/>
      <c r="FZM1" s="24" t="n"/>
      <c r="FZN1" s="24" t="n"/>
      <c r="FZO1" s="24" t="n"/>
      <c r="FZP1" s="24" t="n"/>
      <c r="FZQ1" s="24" t="n"/>
      <c r="FZR1" s="24" t="n"/>
      <c r="FZS1" s="24" t="n"/>
      <c r="FZT1" s="24" t="n"/>
      <c r="FZU1" s="24" t="n"/>
      <c r="FZV1" s="24" t="n"/>
      <c r="FZW1" s="24" t="n"/>
      <c r="FZX1" s="24" t="n"/>
      <c r="FZY1" s="24" t="n"/>
      <c r="FZZ1" s="24" t="n"/>
      <c r="GAA1" s="24" t="n"/>
      <c r="GAB1" s="24" t="n"/>
      <c r="GAC1" s="24" t="n"/>
      <c r="GAD1" s="24" t="n"/>
      <c r="GAE1" s="24" t="n"/>
      <c r="GAF1" s="24" t="n"/>
      <c r="GAG1" s="24" t="n"/>
      <c r="GAH1" s="24" t="n"/>
      <c r="GAI1" s="24" t="n"/>
      <c r="GAJ1" s="24" t="n"/>
      <c r="GAK1" s="24" t="n"/>
      <c r="GAL1" s="24" t="n"/>
      <c r="GAM1" s="24" t="n"/>
      <c r="GAN1" s="24" t="n"/>
      <c r="GAO1" s="24" t="n"/>
      <c r="GAP1" s="24" t="n"/>
      <c r="GAQ1" s="24" t="n"/>
      <c r="GAR1" s="24" t="n"/>
      <c r="GAS1" s="24" t="n"/>
      <c r="GAT1" s="24" t="n"/>
      <c r="GAU1" s="24" t="n"/>
      <c r="GAV1" s="24" t="n"/>
      <c r="GAW1" s="24" t="n"/>
      <c r="GAX1" s="24" t="n"/>
      <c r="GAY1" s="24" t="n"/>
      <c r="GAZ1" s="24" t="n"/>
      <c r="GBA1" s="24" t="n"/>
      <c r="GBB1" s="24" t="n"/>
      <c r="GBC1" s="24" t="n"/>
      <c r="GBD1" s="24" t="n"/>
      <c r="GBE1" s="24" t="n"/>
      <c r="GBF1" s="24" t="n"/>
      <c r="GBG1" s="24" t="n"/>
      <c r="GBH1" s="24" t="n"/>
      <c r="GBI1" s="24" t="n"/>
      <c r="GBJ1" s="24" t="n"/>
      <c r="GBK1" s="24" t="n"/>
      <c r="GBL1" s="24" t="n"/>
      <c r="GBM1" s="24" t="n"/>
      <c r="GBN1" s="24" t="n"/>
      <c r="GBO1" s="24" t="n"/>
      <c r="GBP1" s="24" t="n"/>
      <c r="GBQ1" s="24" t="n"/>
      <c r="GBR1" s="24" t="n"/>
      <c r="GBS1" s="24" t="n"/>
      <c r="GBT1" s="24" t="n"/>
      <c r="GBU1" s="24" t="n"/>
      <c r="GBV1" s="24" t="n"/>
      <c r="GBW1" s="24" t="n"/>
      <c r="GBX1" s="24" t="n"/>
      <c r="GBY1" s="24" t="n"/>
      <c r="GBZ1" s="24" t="n"/>
      <c r="GCA1" s="24" t="n"/>
      <c r="GCB1" s="24" t="n"/>
      <c r="GCC1" s="24" t="n"/>
      <c r="GCD1" s="24" t="n"/>
      <c r="GCE1" s="24" t="n"/>
      <c r="GCF1" s="24" t="n"/>
      <c r="GCG1" s="24" t="n"/>
      <c r="GCH1" s="24" t="n"/>
      <c r="GCI1" s="24" t="n"/>
      <c r="GCJ1" s="24" t="n"/>
      <c r="GCK1" s="24" t="n"/>
      <c r="GCL1" s="24" t="n"/>
      <c r="GCM1" s="24" t="n"/>
      <c r="GCN1" s="24" t="n"/>
      <c r="GCO1" s="24" t="n"/>
      <c r="GCP1" s="24" t="n"/>
      <c r="GCQ1" s="24" t="n"/>
      <c r="GCR1" s="24" t="n"/>
      <c r="GCS1" s="24" t="n"/>
      <c r="GCT1" s="24" t="n"/>
      <c r="GCU1" s="24" t="n"/>
      <c r="GCV1" s="24" t="n"/>
      <c r="GCW1" s="24" t="n"/>
      <c r="GCX1" s="24" t="n"/>
      <c r="GCY1" s="24" t="n"/>
      <c r="GCZ1" s="24" t="n"/>
      <c r="GDA1" s="24" t="n"/>
      <c r="GDB1" s="24" t="n"/>
      <c r="GDC1" s="24" t="n"/>
      <c r="GDD1" s="24" t="n"/>
      <c r="GDE1" s="24" t="n"/>
      <c r="GDF1" s="24" t="n"/>
      <c r="GDG1" s="24" t="n"/>
      <c r="GDH1" s="24" t="n"/>
      <c r="GDI1" s="24" t="n"/>
      <c r="GDJ1" s="24" t="n"/>
      <c r="GDK1" s="24" t="n"/>
      <c r="GDL1" s="24" t="n"/>
      <c r="GDM1" s="24" t="n"/>
      <c r="GDN1" s="24" t="n"/>
      <c r="GDO1" s="24" t="n"/>
      <c r="GDP1" s="24" t="n"/>
      <c r="GDQ1" s="24" t="n"/>
      <c r="GDR1" s="24" t="n"/>
      <c r="GDS1" s="24" t="n"/>
      <c r="GDT1" s="24" t="n"/>
      <c r="GDU1" s="24" t="n"/>
      <c r="GDV1" s="24" t="n"/>
      <c r="GDW1" s="24" t="n"/>
      <c r="GDX1" s="24" t="n"/>
      <c r="GDY1" s="24" t="n"/>
      <c r="GDZ1" s="24" t="n"/>
      <c r="GEA1" s="24" t="n"/>
      <c r="GEB1" s="24" t="n"/>
      <c r="GEC1" s="24" t="n"/>
      <c r="GED1" s="24" t="n"/>
      <c r="GEE1" s="24" t="n"/>
      <c r="GEF1" s="24" t="n"/>
      <c r="GEG1" s="24" t="n"/>
      <c r="GEH1" s="24" t="n"/>
      <c r="GEI1" s="24" t="n"/>
      <c r="GEJ1" s="24" t="n"/>
      <c r="GEK1" s="24" t="n"/>
      <c r="GEL1" s="24" t="n"/>
      <c r="GEM1" s="24" t="n"/>
      <c r="GEN1" s="24" t="n"/>
      <c r="GEO1" s="24" t="n"/>
      <c r="GEP1" s="24" t="n"/>
      <c r="GEQ1" s="24" t="n"/>
      <c r="GER1" s="24" t="n"/>
      <c r="GES1" s="24" t="n"/>
      <c r="GET1" s="24" t="n"/>
      <c r="GEU1" s="24" t="n"/>
      <c r="GEV1" s="24" t="n"/>
      <c r="GEW1" s="24" t="n"/>
      <c r="GEX1" s="24" t="n"/>
      <c r="GEY1" s="24" t="n"/>
      <c r="GEZ1" s="24" t="n"/>
      <c r="GFA1" s="24" t="n"/>
      <c r="GFB1" s="24" t="n"/>
      <c r="GFC1" s="24" t="n"/>
      <c r="GFD1" s="24" t="n"/>
      <c r="GFE1" s="24" t="n"/>
      <c r="GFF1" s="24" t="n"/>
      <c r="GFG1" s="24" t="n"/>
      <c r="GFH1" s="24" t="n"/>
      <c r="GFI1" s="24" t="n"/>
      <c r="GFJ1" s="24" t="n"/>
      <c r="GFK1" s="24" t="n"/>
      <c r="GFL1" s="24" t="n"/>
      <c r="GFM1" s="24" t="n"/>
      <c r="GFN1" s="24" t="n"/>
      <c r="GFO1" s="24" t="n"/>
      <c r="GFP1" s="24" t="n"/>
      <c r="GFQ1" s="24" t="n"/>
      <c r="GFR1" s="24" t="n"/>
      <c r="GFS1" s="24" t="n"/>
      <c r="GFT1" s="24" t="n"/>
      <c r="GFU1" s="24" t="n"/>
      <c r="GFV1" s="24" t="n"/>
      <c r="GFW1" s="24" t="n"/>
      <c r="GFX1" s="24" t="n"/>
      <c r="GFY1" s="24" t="n"/>
      <c r="GFZ1" s="24" t="n"/>
      <c r="GGA1" s="24" t="n"/>
      <c r="GGB1" s="24" t="n"/>
      <c r="GGC1" s="24" t="n"/>
      <c r="GGD1" s="24" t="n"/>
      <c r="GGE1" s="24" t="n"/>
      <c r="GGF1" s="24" t="n"/>
      <c r="GGG1" s="24" t="n"/>
      <c r="GGH1" s="24" t="n"/>
      <c r="GGI1" s="24" t="n"/>
      <c r="GGJ1" s="24" t="n"/>
      <c r="GGK1" s="24" t="n"/>
      <c r="GGL1" s="24" t="n"/>
      <c r="GGM1" s="24" t="n"/>
      <c r="GGN1" s="24" t="n"/>
      <c r="GGO1" s="24" t="n"/>
      <c r="GGP1" s="24" t="n"/>
      <c r="GGQ1" s="24" t="n"/>
      <c r="GGR1" s="24" t="n"/>
      <c r="GGS1" s="24" t="n"/>
      <c r="GGT1" s="24" t="n"/>
      <c r="GGU1" s="24" t="n"/>
      <c r="GGV1" s="24" t="n"/>
      <c r="GGW1" s="24" t="n"/>
      <c r="GGX1" s="24" t="n"/>
      <c r="GGY1" s="24" t="n"/>
      <c r="GGZ1" s="24" t="n"/>
      <c r="GHA1" s="24" t="n"/>
      <c r="GHB1" s="24" t="n"/>
      <c r="GHC1" s="24" t="n"/>
      <c r="GHD1" s="24" t="n"/>
      <c r="GHE1" s="24" t="n"/>
      <c r="GHF1" s="24" t="n"/>
      <c r="GHG1" s="24" t="n"/>
      <c r="GHH1" s="24" t="n"/>
      <c r="GHI1" s="24" t="n"/>
      <c r="GHJ1" s="24" t="n"/>
      <c r="GHK1" s="24" t="n"/>
      <c r="GHL1" s="24" t="n"/>
      <c r="GHM1" s="24" t="n"/>
      <c r="GHN1" s="24" t="n"/>
      <c r="GHO1" s="24" t="n"/>
      <c r="GHP1" s="24" t="n"/>
      <c r="GHQ1" s="24" t="n"/>
      <c r="GHR1" s="24" t="n"/>
      <c r="GHS1" s="24" t="n"/>
      <c r="GHT1" s="24" t="n"/>
      <c r="GHU1" s="24" t="n"/>
      <c r="GHV1" s="24" t="n"/>
      <c r="GHW1" s="24" t="n"/>
      <c r="GHX1" s="24" t="n"/>
      <c r="GHY1" s="24" t="n"/>
      <c r="GHZ1" s="24" t="n"/>
      <c r="GIA1" s="24" t="n"/>
      <c r="GIB1" s="24" t="n"/>
      <c r="GIC1" s="24" t="n"/>
      <c r="GID1" s="24" t="n"/>
      <c r="GIE1" s="24" t="n"/>
      <c r="GIF1" s="24" t="n"/>
      <c r="GIG1" s="24" t="n"/>
      <c r="GIH1" s="24" t="n"/>
      <c r="GII1" s="24" t="n"/>
      <c r="GIJ1" s="24" t="n"/>
      <c r="GIK1" s="24" t="n"/>
      <c r="GIL1" s="24" t="n"/>
      <c r="GIM1" s="24" t="n"/>
      <c r="GIN1" s="24" t="n"/>
      <c r="GIO1" s="24" t="n"/>
      <c r="GIP1" s="24" t="n"/>
      <c r="GIQ1" s="24" t="n"/>
      <c r="GIR1" s="24" t="n"/>
      <c r="GIS1" s="24" t="n"/>
      <c r="GIT1" s="24" t="n"/>
      <c r="GIU1" s="24" t="n"/>
      <c r="GIV1" s="24" t="n"/>
      <c r="GIW1" s="24" t="n"/>
      <c r="GIX1" s="24" t="n"/>
      <c r="GIY1" s="24" t="n"/>
      <c r="GIZ1" s="24" t="n"/>
      <c r="GJA1" s="24" t="n"/>
      <c r="GJB1" s="24" t="n"/>
      <c r="GJC1" s="24" t="n"/>
      <c r="GJD1" s="24" t="n"/>
      <c r="GJE1" s="24" t="n"/>
      <c r="GJF1" s="24" t="n"/>
      <c r="GJG1" s="24" t="n"/>
      <c r="GJH1" s="24" t="n"/>
      <c r="GJI1" s="24" t="n"/>
      <c r="GJJ1" s="24" t="n"/>
      <c r="GJK1" s="24" t="n"/>
      <c r="GJL1" s="24" t="n"/>
      <c r="GJM1" s="24" t="n"/>
      <c r="GJN1" s="24" t="n"/>
      <c r="GJO1" s="24" t="n"/>
      <c r="GJP1" s="24" t="n"/>
      <c r="GJQ1" s="24" t="n"/>
      <c r="GJR1" s="24" t="n"/>
      <c r="GJS1" s="24" t="n"/>
      <c r="GJT1" s="24" t="n"/>
      <c r="GJU1" s="24" t="n"/>
      <c r="GJV1" s="24" t="n"/>
      <c r="GJW1" s="24" t="n"/>
      <c r="GJX1" s="24" t="n"/>
      <c r="GJY1" s="24" t="n"/>
      <c r="GJZ1" s="24" t="n"/>
      <c r="GKA1" s="24" t="n"/>
      <c r="GKB1" s="24" t="n"/>
      <c r="GKC1" s="24" t="n"/>
      <c r="GKD1" s="24" t="n"/>
      <c r="GKE1" s="24" t="n"/>
      <c r="GKF1" s="24" t="n"/>
      <c r="GKG1" s="24" t="n"/>
      <c r="GKH1" s="24" t="n"/>
      <c r="GKI1" s="24" t="n"/>
      <c r="GKJ1" s="24" t="n"/>
      <c r="GKK1" s="24" t="n"/>
      <c r="GKL1" s="24" t="n"/>
      <c r="GKM1" s="24" t="n"/>
      <c r="GKN1" s="24" t="n"/>
      <c r="GKO1" s="24" t="n"/>
      <c r="GKP1" s="24" t="n"/>
      <c r="GKQ1" s="24" t="n"/>
      <c r="GKR1" s="24" t="n"/>
      <c r="GKS1" s="24" t="n"/>
      <c r="GKT1" s="24" t="n"/>
      <c r="GKU1" s="24" t="n"/>
      <c r="GKV1" s="24" t="n"/>
      <c r="GKW1" s="24" t="n"/>
      <c r="GKX1" s="24" t="n"/>
      <c r="GKY1" s="24" t="n"/>
      <c r="GKZ1" s="24" t="n"/>
      <c r="GLA1" s="24" t="n"/>
      <c r="GLB1" s="24" t="n"/>
      <c r="GLC1" s="24" t="n"/>
      <c r="GLD1" s="24" t="n"/>
      <c r="GLE1" s="24" t="n"/>
      <c r="GLF1" s="24" t="n"/>
      <c r="GLG1" s="24" t="n"/>
      <c r="GLH1" s="24" t="n"/>
      <c r="GLI1" s="24" t="n"/>
      <c r="GLJ1" s="24" t="n"/>
      <c r="GLK1" s="24" t="n"/>
      <c r="GLL1" s="24" t="n"/>
      <c r="GLM1" s="24" t="n"/>
      <c r="GLN1" s="24" t="n"/>
      <c r="GLO1" s="24" t="n"/>
      <c r="GLP1" s="24" t="n"/>
      <c r="GLQ1" s="24" t="n"/>
      <c r="GLR1" s="24" t="n"/>
      <c r="GLS1" s="24" t="n"/>
      <c r="GLT1" s="24" t="n"/>
      <c r="GLU1" s="24" t="n"/>
      <c r="GLV1" s="24" t="n"/>
      <c r="GLW1" s="24" t="n"/>
      <c r="GLX1" s="24" t="n"/>
      <c r="GLY1" s="24" t="n"/>
      <c r="GLZ1" s="24" t="n"/>
      <c r="GMA1" s="24" t="n"/>
      <c r="GMB1" s="24" t="n"/>
      <c r="GMC1" s="24" t="n"/>
      <c r="GMD1" s="24" t="n"/>
      <c r="GME1" s="24" t="n"/>
      <c r="GMF1" s="24" t="n"/>
      <c r="GMG1" s="24" t="n"/>
      <c r="GMH1" s="24" t="n"/>
      <c r="GMI1" s="24" t="n"/>
      <c r="GMJ1" s="24" t="n"/>
      <c r="GMK1" s="24" t="n"/>
      <c r="GML1" s="24" t="n"/>
      <c r="GMM1" s="24" t="n"/>
      <c r="GMN1" s="24" t="n"/>
      <c r="GMO1" s="24" t="n"/>
      <c r="GMP1" s="24" t="n"/>
      <c r="GMQ1" s="24" t="n"/>
      <c r="GMR1" s="24" t="n"/>
      <c r="GMS1" s="24" t="n"/>
      <c r="GMT1" s="24" t="n"/>
      <c r="GMU1" s="24" t="n"/>
      <c r="GMV1" s="24" t="n"/>
      <c r="GMW1" s="24" t="n"/>
      <c r="GMX1" s="24" t="n"/>
      <c r="GMY1" s="24" t="n"/>
      <c r="GMZ1" s="24" t="n"/>
      <c r="GNA1" s="24" t="n"/>
      <c r="GNB1" s="24" t="n"/>
      <c r="GNC1" s="24" t="n"/>
      <c r="GND1" s="24" t="n"/>
      <c r="GNE1" s="24" t="n"/>
      <c r="GNF1" s="24" t="n"/>
      <c r="GNG1" s="24" t="n"/>
      <c r="GNH1" s="24" t="n"/>
      <c r="GNI1" s="24" t="n"/>
      <c r="GNJ1" s="24" t="n"/>
      <c r="GNK1" s="24" t="n"/>
      <c r="GNL1" s="24" t="n"/>
      <c r="GNM1" s="24" t="n"/>
      <c r="GNN1" s="24" t="n"/>
      <c r="GNO1" s="24" t="n"/>
      <c r="GNP1" s="24" t="n"/>
      <c r="GNQ1" s="24" t="n"/>
      <c r="GNR1" s="24" t="n"/>
      <c r="GNS1" s="24" t="n"/>
      <c r="GNT1" s="24" t="n"/>
      <c r="GNU1" s="24" t="n"/>
      <c r="GNV1" s="24" t="n"/>
      <c r="GNW1" s="24" t="n"/>
      <c r="GNX1" s="24" t="n"/>
      <c r="GNY1" s="24" t="n"/>
      <c r="GNZ1" s="24" t="n"/>
      <c r="GOA1" s="24" t="n"/>
      <c r="GOB1" s="24" t="n"/>
      <c r="GOC1" s="24" t="n"/>
      <c r="GOD1" s="24" t="n"/>
      <c r="GOE1" s="24" t="n"/>
      <c r="GOF1" s="24" t="n"/>
      <c r="GOG1" s="24" t="n"/>
      <c r="GOH1" s="24" t="n"/>
      <c r="GOI1" s="24" t="n"/>
      <c r="GOJ1" s="24" t="n"/>
      <c r="GOK1" s="24" t="n"/>
      <c r="GOL1" s="24" t="n"/>
      <c r="GOM1" s="24" t="n"/>
      <c r="GON1" s="24" t="n"/>
      <c r="GOO1" s="24" t="n"/>
      <c r="GOP1" s="24" t="n"/>
      <c r="GOQ1" s="24" t="n"/>
      <c r="GOR1" s="24" t="n"/>
      <c r="GOS1" s="24" t="n"/>
      <c r="GOT1" s="24" t="n"/>
      <c r="GOU1" s="24" t="n"/>
      <c r="GOV1" s="24" t="n"/>
      <c r="GOW1" s="24" t="n"/>
      <c r="GOX1" s="24" t="n"/>
      <c r="GOY1" s="24" t="n"/>
      <c r="GOZ1" s="24" t="n"/>
      <c r="GPA1" s="24" t="n"/>
      <c r="GPB1" s="24" t="n"/>
      <c r="GPC1" s="24" t="n"/>
      <c r="GPD1" s="24" t="n"/>
      <c r="GPE1" s="24" t="n"/>
      <c r="GPF1" s="24" t="n"/>
      <c r="GPG1" s="24" t="n"/>
      <c r="GPH1" s="24" t="n"/>
      <c r="GPI1" s="24" t="n"/>
      <c r="GPJ1" s="24" t="n"/>
      <c r="GPK1" s="24" t="n"/>
      <c r="GPL1" s="24" t="n"/>
      <c r="GPM1" s="24" t="n"/>
      <c r="GPN1" s="24" t="n"/>
      <c r="GPO1" s="24" t="n"/>
      <c r="GPP1" s="24" t="n"/>
      <c r="GPQ1" s="24" t="n"/>
      <c r="GPR1" s="24" t="n"/>
      <c r="GPS1" s="24" t="n"/>
      <c r="GPT1" s="24" t="n"/>
      <c r="GPU1" s="24" t="n"/>
      <c r="GPV1" s="24" t="n"/>
      <c r="GPW1" s="24" t="n"/>
      <c r="GPX1" s="24" t="n"/>
      <c r="GPY1" s="24" t="n"/>
      <c r="GPZ1" s="24" t="n"/>
      <c r="GQA1" s="24" t="n"/>
      <c r="GQB1" s="24" t="n"/>
      <c r="GQC1" s="24" t="n"/>
      <c r="GQD1" s="24" t="n"/>
      <c r="GQE1" s="24" t="n"/>
      <c r="GQF1" s="24" t="n"/>
      <c r="GQG1" s="24" t="n"/>
      <c r="GQH1" s="24" t="n"/>
      <c r="GQI1" s="24" t="n"/>
      <c r="GQJ1" s="24" t="n"/>
      <c r="GQK1" s="24" t="n"/>
      <c r="GQL1" s="24" t="n"/>
      <c r="GQM1" s="24" t="n"/>
      <c r="GQN1" s="24" t="n"/>
      <c r="GQO1" s="24" t="n"/>
      <c r="GQP1" s="24" t="n"/>
      <c r="GQQ1" s="24" t="n"/>
      <c r="GQR1" s="24" t="n"/>
      <c r="GQS1" s="24" t="n"/>
      <c r="GQT1" s="24" t="n"/>
      <c r="GQU1" s="24" t="n"/>
      <c r="GQV1" s="24" t="n"/>
      <c r="GQW1" s="24" t="n"/>
      <c r="GQX1" s="24" t="n"/>
      <c r="GQY1" s="24" t="n"/>
      <c r="GQZ1" s="24" t="n"/>
      <c r="GRA1" s="24" t="n"/>
      <c r="GRB1" s="24" t="n"/>
      <c r="GRC1" s="24" t="n"/>
      <c r="GRD1" s="24" t="n"/>
      <c r="GRE1" s="24" t="n"/>
      <c r="GRF1" s="24" t="n"/>
      <c r="GRG1" s="24" t="n"/>
      <c r="GRH1" s="24" t="n"/>
      <c r="GRI1" s="24" t="n"/>
      <c r="GRJ1" s="24" t="n"/>
      <c r="GRK1" s="24" t="n"/>
      <c r="GRL1" s="24" t="n"/>
      <c r="GRM1" s="24" t="n"/>
      <c r="GRN1" s="24" t="n"/>
      <c r="GRO1" s="24" t="n"/>
      <c r="GRP1" s="24" t="n"/>
      <c r="GRQ1" s="24" t="n"/>
      <c r="GRR1" s="24" t="n"/>
      <c r="GRS1" s="24" t="n"/>
      <c r="GRT1" s="24" t="n"/>
      <c r="GRU1" s="24" t="n"/>
      <c r="GRV1" s="24" t="n"/>
      <c r="GRW1" s="24" t="n"/>
      <c r="GRX1" s="24" t="n"/>
      <c r="GRY1" s="24" t="n"/>
      <c r="GRZ1" s="24" t="n"/>
      <c r="GSA1" s="24" t="n"/>
      <c r="GSB1" s="24" t="n"/>
      <c r="GSC1" s="24" t="n"/>
      <c r="GSD1" s="24" t="n"/>
      <c r="GSE1" s="24" t="n"/>
      <c r="GSF1" s="24" t="n"/>
      <c r="GSG1" s="24" t="n"/>
      <c r="GSH1" s="24" t="n"/>
      <c r="GSI1" s="24" t="n"/>
      <c r="GSJ1" s="24" t="n"/>
      <c r="GSK1" s="24" t="n"/>
      <c r="GSL1" s="24" t="n"/>
      <c r="GSM1" s="24" t="n"/>
      <c r="GSN1" s="24" t="n"/>
      <c r="GSO1" s="24" t="n"/>
      <c r="GSP1" s="24" t="n"/>
      <c r="GSQ1" s="24" t="n"/>
      <c r="GSR1" s="24" t="n"/>
      <c r="GSS1" s="24" t="n"/>
      <c r="GST1" s="24" t="n"/>
      <c r="GSU1" s="24" t="n"/>
      <c r="GSV1" s="24" t="n"/>
      <c r="GSW1" s="24" t="n"/>
      <c r="GSX1" s="24" t="n"/>
      <c r="GSY1" s="24" t="n"/>
      <c r="GSZ1" s="24" t="n"/>
      <c r="GTA1" s="24" t="n"/>
      <c r="GTB1" s="24" t="n"/>
      <c r="GTC1" s="24" t="n"/>
      <c r="GTD1" s="24" t="n"/>
      <c r="GTE1" s="24" t="n"/>
      <c r="GTF1" s="24" t="n"/>
      <c r="GTG1" s="24" t="n"/>
      <c r="GTH1" s="24" t="n"/>
      <c r="GTI1" s="24" t="n"/>
      <c r="GTJ1" s="24" t="n"/>
      <c r="GTK1" s="24" t="n"/>
      <c r="GTL1" s="24" t="n"/>
      <c r="GTM1" s="24" t="n"/>
      <c r="GTN1" s="24" t="n"/>
      <c r="GTO1" s="24" t="n"/>
      <c r="GTP1" s="24" t="n"/>
      <c r="GTQ1" s="24" t="n"/>
      <c r="GTR1" s="24" t="n"/>
      <c r="GTS1" s="24" t="n"/>
      <c r="GTT1" s="24" t="n"/>
      <c r="GTU1" s="24" t="n"/>
      <c r="GTV1" s="24" t="n"/>
      <c r="GTW1" s="24" t="n"/>
      <c r="GTX1" s="24" t="n"/>
      <c r="GTY1" s="24" t="n"/>
      <c r="GTZ1" s="24" t="n"/>
      <c r="GUA1" s="24" t="n"/>
      <c r="GUB1" s="24" t="n"/>
      <c r="GUC1" s="24" t="n"/>
      <c r="GUD1" s="24" t="n"/>
      <c r="GUE1" s="24" t="n"/>
      <c r="GUF1" s="24" t="n"/>
      <c r="GUG1" s="24" t="n"/>
      <c r="GUH1" s="24" t="n"/>
      <c r="GUI1" s="24" t="n"/>
      <c r="GUJ1" s="24" t="n"/>
      <c r="GUK1" s="24" t="n"/>
      <c r="GUL1" s="24" t="n"/>
      <c r="GUM1" s="24" t="n"/>
      <c r="GUN1" s="24" t="n"/>
      <c r="GUO1" s="24" t="n"/>
      <c r="GUP1" s="24" t="n"/>
      <c r="GUQ1" s="24" t="n"/>
      <c r="GUR1" s="24" t="n"/>
      <c r="GUS1" s="24" t="n"/>
      <c r="GUT1" s="24" t="n"/>
      <c r="GUU1" s="24" t="n"/>
      <c r="GUV1" s="24" t="n"/>
      <c r="GUW1" s="24" t="n"/>
      <c r="GUX1" s="24" t="n"/>
      <c r="GUY1" s="24" t="n"/>
      <c r="GUZ1" s="24" t="n"/>
      <c r="GVA1" s="24" t="n"/>
      <c r="GVB1" s="24" t="n"/>
      <c r="GVC1" s="24" t="n"/>
      <c r="GVD1" s="24" t="n"/>
      <c r="GVE1" s="24" t="n"/>
      <c r="GVF1" s="24" t="n"/>
      <c r="GVG1" s="24" t="n"/>
      <c r="GVH1" s="24" t="n"/>
      <c r="GVI1" s="24" t="n"/>
      <c r="GVJ1" s="24" t="n"/>
      <c r="GVK1" s="24" t="n"/>
      <c r="GVL1" s="24" t="n"/>
      <c r="GVM1" s="24" t="n"/>
      <c r="GVN1" s="24" t="n"/>
      <c r="GVO1" s="24" t="n"/>
      <c r="GVP1" s="24" t="n"/>
      <c r="GVQ1" s="24" t="n"/>
      <c r="GVR1" s="24" t="n"/>
      <c r="GVS1" s="24" t="n"/>
      <c r="GVT1" s="24" t="n"/>
      <c r="GVU1" s="24" t="n"/>
      <c r="GVV1" s="24" t="n"/>
      <c r="GVW1" s="24" t="n"/>
      <c r="GVX1" s="24" t="n"/>
      <c r="GVY1" s="24" t="n"/>
      <c r="GVZ1" s="24" t="n"/>
      <c r="GWA1" s="24" t="n"/>
      <c r="GWB1" s="24" t="n"/>
      <c r="GWC1" s="24" t="n"/>
      <c r="GWD1" s="24" t="n"/>
      <c r="GWE1" s="24" t="n"/>
      <c r="GWF1" s="24" t="n"/>
      <c r="GWG1" s="24" t="n"/>
      <c r="GWH1" s="24" t="n"/>
      <c r="GWI1" s="24" t="n"/>
      <c r="GWJ1" s="24" t="n"/>
      <c r="GWK1" s="24" t="n"/>
      <c r="GWL1" s="24" t="n"/>
      <c r="GWM1" s="24" t="n"/>
      <c r="GWN1" s="24" t="n"/>
      <c r="GWO1" s="24" t="n"/>
      <c r="GWP1" s="24" t="n"/>
      <c r="GWQ1" s="24" t="n"/>
      <c r="GWR1" s="24" t="n"/>
      <c r="GWS1" s="24" t="n"/>
      <c r="GWT1" s="24" t="n"/>
      <c r="GWU1" s="24" t="n"/>
      <c r="GWV1" s="24" t="n"/>
      <c r="GWW1" s="24" t="n"/>
      <c r="GWX1" s="24" t="n"/>
      <c r="GWY1" s="24" t="n"/>
      <c r="GWZ1" s="24" t="n"/>
      <c r="GXA1" s="24" t="n"/>
      <c r="GXB1" s="24" t="n"/>
      <c r="GXC1" s="24" t="n"/>
      <c r="GXD1" s="24" t="n"/>
      <c r="GXE1" s="24" t="n"/>
      <c r="GXF1" s="24" t="n"/>
      <c r="GXG1" s="24" t="n"/>
      <c r="GXH1" s="24" t="n"/>
      <c r="GXI1" s="24" t="n"/>
      <c r="GXJ1" s="24" t="n"/>
      <c r="GXK1" s="24" t="n"/>
      <c r="GXL1" s="24" t="n"/>
      <c r="GXM1" s="24" t="n"/>
      <c r="GXN1" s="24" t="n"/>
      <c r="GXO1" s="24" t="n"/>
      <c r="GXP1" s="24" t="n"/>
      <c r="GXQ1" s="24" t="n"/>
      <c r="GXR1" s="24" t="n"/>
      <c r="GXS1" s="24" t="n"/>
      <c r="GXT1" s="24" t="n"/>
      <c r="GXU1" s="24" t="n"/>
      <c r="GXV1" s="24" t="n"/>
      <c r="GXW1" s="24" t="n"/>
      <c r="GXX1" s="24" t="n"/>
      <c r="GXY1" s="24" t="n"/>
      <c r="GXZ1" s="24" t="n"/>
      <c r="GYA1" s="24" t="n"/>
      <c r="GYB1" s="24" t="n"/>
      <c r="GYC1" s="24" t="n"/>
      <c r="GYD1" s="24" t="n"/>
      <c r="GYE1" s="24" t="n"/>
      <c r="GYF1" s="24" t="n"/>
      <c r="GYG1" s="24" t="n"/>
      <c r="GYH1" s="24" t="n"/>
      <c r="GYI1" s="24" t="n"/>
      <c r="GYJ1" s="24" t="n"/>
      <c r="GYK1" s="24" t="n"/>
      <c r="GYL1" s="24" t="n"/>
      <c r="GYM1" s="24" t="n"/>
      <c r="GYN1" s="24" t="n"/>
      <c r="GYO1" s="24" t="n"/>
      <c r="GYP1" s="24" t="n"/>
      <c r="GYQ1" s="24" t="n"/>
      <c r="GYR1" s="24" t="n"/>
      <c r="GYS1" s="24" t="n"/>
      <c r="GYT1" s="24" t="n"/>
      <c r="GYU1" s="24" t="n"/>
      <c r="GYV1" s="24" t="n"/>
      <c r="GYW1" s="24" t="n"/>
      <c r="GYX1" s="24" t="n"/>
      <c r="GYY1" s="24" t="n"/>
      <c r="GYZ1" s="24" t="n"/>
      <c r="GZA1" s="24" t="n"/>
      <c r="GZB1" s="24" t="n"/>
      <c r="GZC1" s="24" t="n"/>
      <c r="GZD1" s="24" t="n"/>
      <c r="GZE1" s="24" t="n"/>
      <c r="GZF1" s="24" t="n"/>
      <c r="GZG1" s="24" t="n"/>
      <c r="GZH1" s="24" t="n"/>
      <c r="GZI1" s="24" t="n"/>
      <c r="GZJ1" s="24" t="n"/>
      <c r="GZK1" s="24" t="n"/>
      <c r="GZL1" s="24" t="n"/>
      <c r="GZM1" s="24" t="n"/>
      <c r="GZN1" s="24" t="n"/>
      <c r="GZO1" s="24" t="n"/>
      <c r="GZP1" s="24" t="n"/>
      <c r="GZQ1" s="24" t="n"/>
      <c r="GZR1" s="24" t="n"/>
      <c r="GZS1" s="24" t="n"/>
      <c r="GZT1" s="24" t="n"/>
      <c r="GZU1" s="24" t="n"/>
      <c r="GZV1" s="24" t="n"/>
      <c r="GZW1" s="24" t="n"/>
      <c r="GZX1" s="24" t="n"/>
      <c r="GZY1" s="24" t="n"/>
      <c r="GZZ1" s="24" t="n"/>
      <c r="HAA1" s="24" t="n"/>
      <c r="HAB1" s="24" t="n"/>
      <c r="HAC1" s="24" t="n"/>
      <c r="HAD1" s="24" t="n"/>
      <c r="HAE1" s="24" t="n"/>
      <c r="HAF1" s="24" t="n"/>
      <c r="HAG1" s="24" t="n"/>
      <c r="HAH1" s="24" t="n"/>
      <c r="HAI1" s="24" t="n"/>
      <c r="HAJ1" s="24" t="n"/>
      <c r="HAK1" s="24" t="n"/>
      <c r="HAL1" s="24" t="n"/>
      <c r="HAM1" s="24" t="n"/>
      <c r="HAN1" s="24" t="n"/>
      <c r="HAO1" s="24" t="n"/>
      <c r="HAP1" s="24" t="n"/>
      <c r="HAQ1" s="24" t="n"/>
      <c r="HAR1" s="24" t="n"/>
      <c r="HAS1" s="24" t="n"/>
      <c r="HAT1" s="24" t="n"/>
      <c r="HAU1" s="24" t="n"/>
      <c r="HAV1" s="24" t="n"/>
      <c r="HAW1" s="24" t="n"/>
      <c r="HAX1" s="24" t="n"/>
      <c r="HAY1" s="24" t="n"/>
      <c r="HAZ1" s="24" t="n"/>
      <c r="HBA1" s="24" t="n"/>
      <c r="HBB1" s="24" t="n"/>
      <c r="HBC1" s="24" t="n"/>
      <c r="HBD1" s="24" t="n"/>
      <c r="HBE1" s="24" t="n"/>
      <c r="HBF1" s="24" t="n"/>
      <c r="HBG1" s="24" t="n"/>
      <c r="HBH1" s="24" t="n"/>
      <c r="HBI1" s="24" t="n"/>
      <c r="HBJ1" s="24" t="n"/>
      <c r="HBK1" s="24" t="n"/>
      <c r="HBL1" s="24" t="n"/>
      <c r="HBM1" s="24" t="n"/>
      <c r="HBN1" s="24" t="n"/>
      <c r="HBO1" s="24" t="n"/>
      <c r="HBP1" s="24" t="n"/>
      <c r="HBQ1" s="24" t="n"/>
      <c r="HBR1" s="24" t="n"/>
      <c r="HBS1" s="24" t="n"/>
      <c r="HBT1" s="24" t="n"/>
      <c r="HBU1" s="24" t="n"/>
      <c r="HBV1" s="24" t="n"/>
      <c r="HBW1" s="24" t="n"/>
      <c r="HBX1" s="24" t="n"/>
      <c r="HBY1" s="24" t="n"/>
      <c r="HBZ1" s="24" t="n"/>
      <c r="HCA1" s="24" t="n"/>
      <c r="HCB1" s="24" t="n"/>
      <c r="HCC1" s="24" t="n"/>
      <c r="HCD1" s="24" t="n"/>
      <c r="HCE1" s="24" t="n"/>
      <c r="HCF1" s="24" t="n"/>
      <c r="HCG1" s="24" t="n"/>
      <c r="HCH1" s="24" t="n"/>
      <c r="HCI1" s="24" t="n"/>
      <c r="HCJ1" s="24" t="n"/>
      <c r="HCK1" s="24" t="n"/>
      <c r="HCL1" s="24" t="n"/>
      <c r="HCM1" s="24" t="n"/>
      <c r="HCN1" s="24" t="n"/>
      <c r="HCO1" s="24" t="n"/>
      <c r="HCP1" s="24" t="n"/>
      <c r="HCQ1" s="24" t="n"/>
      <c r="HCR1" s="24" t="n"/>
      <c r="HCS1" s="24" t="n"/>
      <c r="HCT1" s="24" t="n"/>
      <c r="HCU1" s="24" t="n"/>
      <c r="HCV1" s="24" t="n"/>
      <c r="HCW1" s="24" t="n"/>
      <c r="HCX1" s="24" t="n"/>
      <c r="HCY1" s="24" t="n"/>
      <c r="HCZ1" s="24" t="n"/>
      <c r="HDA1" s="24" t="n"/>
      <c r="HDB1" s="24" t="n"/>
      <c r="HDC1" s="24" t="n"/>
      <c r="HDD1" s="24" t="n"/>
      <c r="HDE1" s="24" t="n"/>
      <c r="HDF1" s="24" t="n"/>
      <c r="HDG1" s="24" t="n"/>
      <c r="HDH1" s="24" t="n"/>
      <c r="HDI1" s="24" t="n"/>
      <c r="HDJ1" s="24" t="n"/>
      <c r="HDK1" s="24" t="n"/>
      <c r="HDL1" s="24" t="n"/>
      <c r="HDM1" s="24" t="n"/>
      <c r="HDN1" s="24" t="n"/>
      <c r="HDO1" s="24" t="n"/>
      <c r="HDP1" s="24" t="n"/>
      <c r="HDQ1" s="24" t="n"/>
      <c r="HDR1" s="24" t="n"/>
      <c r="HDS1" s="24" t="n"/>
      <c r="HDT1" s="24" t="n"/>
      <c r="HDU1" s="24" t="n"/>
      <c r="HDV1" s="24" t="n"/>
      <c r="HDW1" s="24" t="n"/>
      <c r="HDX1" s="24" t="n"/>
      <c r="HDY1" s="24" t="n"/>
      <c r="HDZ1" s="24" t="n"/>
      <c r="HEA1" s="24" t="n"/>
      <c r="HEB1" s="24" t="n"/>
      <c r="HEC1" s="24" t="n"/>
      <c r="HED1" s="24" t="n"/>
      <c r="HEE1" s="24" t="n"/>
      <c r="HEF1" s="24" t="n"/>
      <c r="HEG1" s="24" t="n"/>
      <c r="HEH1" s="24" t="n"/>
      <c r="HEI1" s="24" t="n"/>
      <c r="HEJ1" s="24" t="n"/>
      <c r="HEK1" s="24" t="n"/>
      <c r="HEL1" s="24" t="n"/>
      <c r="HEM1" s="24" t="n"/>
      <c r="HEN1" s="24" t="n"/>
      <c r="HEO1" s="24" t="n"/>
      <c r="HEP1" s="24" t="n"/>
      <c r="HEQ1" s="24" t="n"/>
      <c r="HER1" s="24" t="n"/>
      <c r="HES1" s="24" t="n"/>
      <c r="HET1" s="24" t="n"/>
      <c r="HEU1" s="24" t="n"/>
      <c r="HEV1" s="24" t="n"/>
      <c r="HEW1" s="24" t="n"/>
      <c r="HEX1" s="24" t="n"/>
      <c r="HEY1" s="24" t="n"/>
      <c r="HEZ1" s="24" t="n"/>
      <c r="HFA1" s="24" t="n"/>
      <c r="HFB1" s="24" t="n"/>
      <c r="HFC1" s="24" t="n"/>
      <c r="HFD1" s="24" t="n"/>
      <c r="HFE1" s="24" t="n"/>
      <c r="HFF1" s="24" t="n"/>
      <c r="HFG1" s="24" t="n"/>
      <c r="HFH1" s="24" t="n"/>
      <c r="HFI1" s="24" t="n"/>
      <c r="HFJ1" s="24" t="n"/>
      <c r="HFK1" s="24" t="n"/>
      <c r="HFL1" s="24" t="n"/>
      <c r="HFM1" s="24" t="n"/>
      <c r="HFN1" s="24" t="n"/>
      <c r="HFO1" s="24" t="n"/>
      <c r="HFP1" s="24" t="n"/>
      <c r="HFQ1" s="24" t="n"/>
      <c r="HFR1" s="24" t="n"/>
      <c r="HFS1" s="24" t="n"/>
      <c r="HFT1" s="24" t="n"/>
      <c r="HFU1" s="24" t="n"/>
      <c r="HFV1" s="24" t="n"/>
      <c r="HFW1" s="24" t="n"/>
      <c r="HFX1" s="24" t="n"/>
      <c r="HFY1" s="24" t="n"/>
      <c r="HFZ1" s="24" t="n"/>
      <c r="HGA1" s="24" t="n"/>
      <c r="HGB1" s="24" t="n"/>
      <c r="HGC1" s="24" t="n"/>
      <c r="HGD1" s="24" t="n"/>
      <c r="HGE1" s="24" t="n"/>
      <c r="HGF1" s="24" t="n"/>
      <c r="HGG1" s="24" t="n"/>
      <c r="HGH1" s="24" t="n"/>
      <c r="HGI1" s="24" t="n"/>
      <c r="HGJ1" s="24" t="n"/>
      <c r="HGK1" s="24" t="n"/>
      <c r="HGL1" s="24" t="n"/>
      <c r="HGM1" s="24" t="n"/>
      <c r="HGN1" s="24" t="n"/>
      <c r="HGO1" s="24" t="n"/>
      <c r="HGP1" s="24" t="n"/>
      <c r="HGQ1" s="24" t="n"/>
      <c r="HGR1" s="24" t="n"/>
      <c r="HGS1" s="24" t="n"/>
      <c r="HGT1" s="24" t="n"/>
      <c r="HGU1" s="24" t="n"/>
      <c r="HGV1" s="24" t="n"/>
      <c r="HGW1" s="24" t="n"/>
      <c r="HGX1" s="24" t="n"/>
      <c r="HGY1" s="24" t="n"/>
      <c r="HGZ1" s="24" t="n"/>
      <c r="HHA1" s="24" t="n"/>
      <c r="HHB1" s="24" t="n"/>
      <c r="HHC1" s="24" t="n"/>
      <c r="HHD1" s="24" t="n"/>
      <c r="HHE1" s="24" t="n"/>
      <c r="HHF1" s="24" t="n"/>
      <c r="HHG1" s="24" t="n"/>
      <c r="HHH1" s="24" t="n"/>
      <c r="HHI1" s="24" t="n"/>
      <c r="HHJ1" s="24" t="n"/>
      <c r="HHK1" s="24" t="n"/>
      <c r="HHL1" s="24" t="n"/>
      <c r="HHM1" s="24" t="n"/>
      <c r="HHN1" s="24" t="n"/>
      <c r="HHO1" s="24" t="n"/>
      <c r="HHP1" s="24" t="n"/>
      <c r="HHQ1" s="24" t="n"/>
      <c r="HHR1" s="24" t="n"/>
      <c r="HHS1" s="24" t="n"/>
      <c r="HHT1" s="24" t="n"/>
      <c r="HHU1" s="24" t="n"/>
      <c r="HHV1" s="24" t="n"/>
      <c r="HHW1" s="24" t="n"/>
      <c r="HHX1" s="24" t="n"/>
      <c r="HHY1" s="24" t="n"/>
      <c r="HHZ1" s="24" t="n"/>
      <c r="HIA1" s="24" t="n"/>
      <c r="HIB1" s="24" t="n"/>
      <c r="HIC1" s="24" t="n"/>
      <c r="HID1" s="24" t="n"/>
      <c r="HIE1" s="24" t="n"/>
      <c r="HIF1" s="24" t="n"/>
      <c r="HIG1" s="24" t="n"/>
      <c r="HIH1" s="24" t="n"/>
      <c r="HII1" s="24" t="n"/>
      <c r="HIJ1" s="24" t="n"/>
      <c r="HIK1" s="24" t="n"/>
      <c r="HIL1" s="24" t="n"/>
      <c r="HIM1" s="24" t="n"/>
      <c r="HIN1" s="24" t="n"/>
      <c r="HIO1" s="24" t="n"/>
      <c r="HIP1" s="24" t="n"/>
      <c r="HIQ1" s="24" t="n"/>
      <c r="HIR1" s="24" t="n"/>
      <c r="HIS1" s="24" t="n"/>
      <c r="HIT1" s="24" t="n"/>
      <c r="HIU1" s="24" t="n"/>
      <c r="HIV1" s="24" t="n"/>
      <c r="HIW1" s="24" t="n"/>
      <c r="HIX1" s="24" t="n"/>
      <c r="HIY1" s="24" t="n"/>
      <c r="HIZ1" s="24" t="n"/>
      <c r="HJA1" s="24" t="n"/>
      <c r="HJB1" s="24" t="n"/>
      <c r="HJC1" s="24" t="n"/>
      <c r="HJD1" s="24" t="n"/>
      <c r="HJE1" s="24" t="n"/>
      <c r="HJF1" s="24" t="n"/>
      <c r="HJG1" s="24" t="n"/>
      <c r="HJH1" s="24" t="n"/>
      <c r="HJI1" s="24" t="n"/>
      <c r="HJJ1" s="24" t="n"/>
      <c r="HJK1" s="24" t="n"/>
      <c r="HJL1" s="24" t="n"/>
      <c r="HJM1" s="24" t="n"/>
      <c r="HJN1" s="24" t="n"/>
      <c r="HJO1" s="24" t="n"/>
      <c r="HJP1" s="24" t="n"/>
      <c r="HJQ1" s="24" t="n"/>
      <c r="HJR1" s="24" t="n"/>
      <c r="HJS1" s="24" t="n"/>
      <c r="HJT1" s="24" t="n"/>
      <c r="HJU1" s="24" t="n"/>
      <c r="HJV1" s="24" t="n"/>
      <c r="HJW1" s="24" t="n"/>
      <c r="HJX1" s="24" t="n"/>
      <c r="HJY1" s="24" t="n"/>
      <c r="HJZ1" s="24" t="n"/>
      <c r="HKA1" s="24" t="n"/>
      <c r="HKB1" s="24" t="n"/>
      <c r="HKC1" s="24" t="n"/>
      <c r="HKD1" s="24" t="n"/>
      <c r="HKE1" s="24" t="n"/>
      <c r="HKF1" s="24" t="n"/>
      <c r="HKG1" s="24" t="n"/>
      <c r="HKH1" s="24" t="n"/>
      <c r="HKI1" s="24" t="n"/>
      <c r="HKJ1" s="24" t="n"/>
      <c r="HKK1" s="24" t="n"/>
      <c r="HKL1" s="24" t="n"/>
      <c r="HKM1" s="24" t="n"/>
      <c r="HKN1" s="24" t="n"/>
      <c r="HKO1" s="24" t="n"/>
      <c r="HKP1" s="24" t="n"/>
      <c r="HKQ1" s="24" t="n"/>
      <c r="HKR1" s="24" t="n"/>
      <c r="HKS1" s="24" t="n"/>
      <c r="HKT1" s="24" t="n"/>
      <c r="HKU1" s="24" t="n"/>
      <c r="HKV1" s="24" t="n"/>
      <c r="HKW1" s="24" t="n"/>
      <c r="HKX1" s="24" t="n"/>
      <c r="HKY1" s="24" t="n"/>
      <c r="HKZ1" s="24" t="n"/>
      <c r="HLA1" s="24" t="n"/>
      <c r="HLB1" s="24" t="n"/>
      <c r="HLC1" s="24" t="n"/>
      <c r="HLD1" s="24" t="n"/>
      <c r="HLE1" s="24" t="n"/>
      <c r="HLF1" s="24" t="n"/>
      <c r="HLG1" s="24" t="n"/>
      <c r="HLH1" s="24" t="n"/>
      <c r="HLI1" s="24" t="n"/>
      <c r="HLJ1" s="24" t="n"/>
      <c r="HLK1" s="24" t="n"/>
      <c r="HLL1" s="24" t="n"/>
      <c r="HLM1" s="24" t="n"/>
      <c r="HLN1" s="24" t="n"/>
      <c r="HLO1" s="24" t="n"/>
      <c r="HLP1" s="24" t="n"/>
      <c r="HLQ1" s="24" t="n"/>
      <c r="HLR1" s="24" t="n"/>
      <c r="HLS1" s="24" t="n"/>
      <c r="HLT1" s="24" t="n"/>
      <c r="HLU1" s="24" t="n"/>
      <c r="HLV1" s="24" t="n"/>
      <c r="HLW1" s="24" t="n"/>
      <c r="HLX1" s="24" t="n"/>
      <c r="HLY1" s="24" t="n"/>
      <c r="HLZ1" s="24" t="n"/>
      <c r="HMA1" s="24" t="n"/>
      <c r="HMB1" s="24" t="n"/>
      <c r="HMC1" s="24" t="n"/>
      <c r="HMD1" s="24" t="n"/>
      <c r="HME1" s="24" t="n"/>
      <c r="HMF1" s="24" t="n"/>
      <c r="HMG1" s="24" t="n"/>
      <c r="HMH1" s="24" t="n"/>
      <c r="HMI1" s="24" t="n"/>
      <c r="HMJ1" s="24" t="n"/>
      <c r="HMK1" s="24" t="n"/>
      <c r="HML1" s="24" t="n"/>
      <c r="HMM1" s="24" t="n"/>
      <c r="HMN1" s="24" t="n"/>
      <c r="HMO1" s="24" t="n"/>
      <c r="HMP1" s="24" t="n"/>
      <c r="HMQ1" s="24" t="n"/>
      <c r="HMR1" s="24" t="n"/>
      <c r="HMS1" s="24" t="n"/>
      <c r="HMT1" s="24" t="n"/>
      <c r="HMU1" s="24" t="n"/>
      <c r="HMV1" s="24" t="n"/>
      <c r="HMW1" s="24" t="n"/>
      <c r="HMX1" s="24" t="n"/>
      <c r="HMY1" s="24" t="n"/>
      <c r="HMZ1" s="24" t="n"/>
      <c r="HNA1" s="24" t="n"/>
      <c r="HNB1" s="24" t="n"/>
      <c r="HNC1" s="24" t="n"/>
      <c r="HND1" s="24" t="n"/>
      <c r="HNE1" s="24" t="n"/>
      <c r="HNF1" s="24" t="n"/>
      <c r="HNG1" s="24" t="n"/>
      <c r="HNH1" s="24" t="n"/>
      <c r="HNI1" s="24" t="n"/>
      <c r="HNJ1" s="24" t="n"/>
      <c r="HNK1" s="24" t="n"/>
      <c r="HNL1" s="24" t="n"/>
      <c r="HNM1" s="24" t="n"/>
      <c r="HNN1" s="24" t="n"/>
      <c r="HNO1" s="24" t="n"/>
      <c r="HNP1" s="24" t="n"/>
      <c r="HNQ1" s="24" t="n"/>
      <c r="HNR1" s="24" t="n"/>
      <c r="HNS1" s="24" t="n"/>
      <c r="HNT1" s="24" t="n"/>
      <c r="HNU1" s="24" t="n"/>
      <c r="HNV1" s="24" t="n"/>
      <c r="HNW1" s="24" t="n"/>
      <c r="HNX1" s="24" t="n"/>
      <c r="HNY1" s="24" t="n"/>
      <c r="HNZ1" s="24" t="n"/>
      <c r="HOA1" s="24" t="n"/>
      <c r="HOB1" s="24" t="n"/>
      <c r="HOC1" s="24" t="n"/>
      <c r="HOD1" s="24" t="n"/>
      <c r="HOE1" s="24" t="n"/>
      <c r="HOF1" s="24" t="n"/>
      <c r="HOG1" s="24" t="n"/>
      <c r="HOH1" s="24" t="n"/>
      <c r="HOI1" s="24" t="n"/>
      <c r="HOJ1" s="24" t="n"/>
      <c r="HOK1" s="24" t="n"/>
      <c r="HOL1" s="24" t="n"/>
      <c r="HOM1" s="24" t="n"/>
      <c r="HON1" s="24" t="n"/>
      <c r="HOO1" s="24" t="n"/>
      <c r="HOP1" s="24" t="n"/>
      <c r="HOQ1" s="24" t="n"/>
      <c r="HOR1" s="24" t="n"/>
      <c r="HOS1" s="24" t="n"/>
      <c r="HOT1" s="24" t="n"/>
      <c r="HOU1" s="24" t="n"/>
      <c r="HOV1" s="24" t="n"/>
      <c r="HOW1" s="24" t="n"/>
      <c r="HOX1" s="24" t="n"/>
      <c r="HOY1" s="24" t="n"/>
      <c r="HOZ1" s="24" t="n"/>
      <c r="HPA1" s="24" t="n"/>
      <c r="HPB1" s="24" t="n"/>
      <c r="HPC1" s="24" t="n"/>
      <c r="HPD1" s="24" t="n"/>
      <c r="HPE1" s="24" t="n"/>
      <c r="HPF1" s="24" t="n"/>
      <c r="HPG1" s="24" t="n"/>
      <c r="HPH1" s="24" t="n"/>
      <c r="HPI1" s="24" t="n"/>
      <c r="HPJ1" s="24" t="n"/>
      <c r="HPK1" s="24" t="n"/>
      <c r="HPL1" s="24" t="n"/>
      <c r="HPM1" s="24" t="n"/>
      <c r="HPN1" s="24" t="n"/>
      <c r="HPO1" s="24" t="n"/>
      <c r="HPP1" s="24" t="n"/>
      <c r="HPQ1" s="24" t="n"/>
      <c r="HPR1" s="24" t="n"/>
      <c r="HPS1" s="24" t="n"/>
      <c r="HPT1" s="24" t="n"/>
      <c r="HPU1" s="24" t="n"/>
      <c r="HPV1" s="24" t="n"/>
      <c r="HPW1" s="24" t="n"/>
      <c r="HPX1" s="24" t="n"/>
      <c r="HPY1" s="24" t="n"/>
      <c r="HPZ1" s="24" t="n"/>
      <c r="HQA1" s="24" t="n"/>
      <c r="HQB1" s="24" t="n"/>
      <c r="HQC1" s="24" t="n"/>
      <c r="HQD1" s="24" t="n"/>
      <c r="HQE1" s="24" t="n"/>
      <c r="HQF1" s="24" t="n"/>
      <c r="HQG1" s="24" t="n"/>
      <c r="HQH1" s="24" t="n"/>
      <c r="HQI1" s="24" t="n"/>
      <c r="HQJ1" s="24" t="n"/>
      <c r="HQK1" s="24" t="n"/>
      <c r="HQL1" s="24" t="n"/>
      <c r="HQM1" s="24" t="n"/>
      <c r="HQN1" s="24" t="n"/>
      <c r="HQO1" s="24" t="n"/>
      <c r="HQP1" s="24" t="n"/>
      <c r="HQQ1" s="24" t="n"/>
      <c r="HQR1" s="24" t="n"/>
      <c r="HQS1" s="24" t="n"/>
      <c r="HQT1" s="24" t="n"/>
      <c r="HQU1" s="24" t="n"/>
      <c r="HQV1" s="24" t="n"/>
      <c r="HQW1" s="24" t="n"/>
      <c r="HQX1" s="24" t="n"/>
      <c r="HQY1" s="24" t="n"/>
      <c r="HQZ1" s="24" t="n"/>
      <c r="HRA1" s="24" t="n"/>
      <c r="HRB1" s="24" t="n"/>
      <c r="HRC1" s="24" t="n"/>
      <c r="HRD1" s="24" t="n"/>
      <c r="HRE1" s="24" t="n"/>
      <c r="HRF1" s="24" t="n"/>
      <c r="HRG1" s="24" t="n"/>
      <c r="HRH1" s="24" t="n"/>
      <c r="HRI1" s="24" t="n"/>
      <c r="HRJ1" s="24" t="n"/>
      <c r="HRK1" s="24" t="n"/>
      <c r="HRL1" s="24" t="n"/>
      <c r="HRM1" s="24" t="n"/>
      <c r="HRN1" s="24" t="n"/>
      <c r="HRO1" s="24" t="n"/>
      <c r="HRP1" s="24" t="n"/>
      <c r="HRQ1" s="24" t="n"/>
      <c r="HRR1" s="24" t="n"/>
      <c r="HRS1" s="24" t="n"/>
      <c r="HRT1" s="24" t="n"/>
      <c r="HRU1" s="24" t="n"/>
      <c r="HRV1" s="24" t="n"/>
      <c r="HRW1" s="24" t="n"/>
      <c r="HRX1" s="24" t="n"/>
      <c r="HRY1" s="24" t="n"/>
      <c r="HRZ1" s="24" t="n"/>
      <c r="HSA1" s="24" t="n"/>
      <c r="HSB1" s="24" t="n"/>
      <c r="HSC1" s="24" t="n"/>
      <c r="HSD1" s="24" t="n"/>
      <c r="HSE1" s="24" t="n"/>
      <c r="HSF1" s="24" t="n"/>
      <c r="HSG1" s="24" t="n"/>
      <c r="HSH1" s="24" t="n"/>
      <c r="HSI1" s="24" t="n"/>
      <c r="HSJ1" s="24" t="n"/>
      <c r="HSK1" s="24" t="n"/>
      <c r="HSL1" s="24" t="n"/>
      <c r="HSM1" s="24" t="n"/>
      <c r="HSN1" s="24" t="n"/>
      <c r="HSO1" s="24" t="n"/>
      <c r="HSP1" s="24" t="n"/>
      <c r="HSQ1" s="24" t="n"/>
      <c r="HSR1" s="24" t="n"/>
      <c r="HSS1" s="24" t="n"/>
      <c r="HST1" s="24" t="n"/>
      <c r="HSU1" s="24" t="n"/>
      <c r="HSV1" s="24" t="n"/>
      <c r="HSW1" s="24" t="n"/>
      <c r="HSX1" s="24" t="n"/>
      <c r="HSY1" s="24" t="n"/>
      <c r="HSZ1" s="24" t="n"/>
      <c r="HTA1" s="24" t="n"/>
      <c r="HTB1" s="24" t="n"/>
      <c r="HTC1" s="24" t="n"/>
      <c r="HTD1" s="24" t="n"/>
      <c r="HTE1" s="24" t="n"/>
      <c r="HTF1" s="24" t="n"/>
      <c r="HTG1" s="24" t="n"/>
      <c r="HTH1" s="24" t="n"/>
      <c r="HTI1" s="24" t="n"/>
      <c r="HTJ1" s="24" t="n"/>
      <c r="HTK1" s="24" t="n"/>
      <c r="HTL1" s="24" t="n"/>
      <c r="HTM1" s="24" t="n"/>
      <c r="HTN1" s="24" t="n"/>
      <c r="HTO1" s="24" t="n"/>
      <c r="HTP1" s="24" t="n"/>
      <c r="HTQ1" s="24" t="n"/>
      <c r="HTR1" s="24" t="n"/>
      <c r="HTS1" s="24" t="n"/>
      <c r="HTT1" s="24" t="n"/>
      <c r="HTU1" s="24" t="n"/>
      <c r="HTV1" s="24" t="n"/>
      <c r="HTW1" s="24" t="n"/>
      <c r="HTX1" s="24" t="n"/>
      <c r="HTY1" s="24" t="n"/>
      <c r="HTZ1" s="24" t="n"/>
      <c r="HUA1" s="24" t="n"/>
      <c r="HUB1" s="24" t="n"/>
      <c r="HUC1" s="24" t="n"/>
      <c r="HUD1" s="24" t="n"/>
      <c r="HUE1" s="24" t="n"/>
      <c r="HUF1" s="24" t="n"/>
      <c r="HUG1" s="24" t="n"/>
      <c r="HUH1" s="24" t="n"/>
      <c r="HUI1" s="24" t="n"/>
      <c r="HUJ1" s="24" t="n"/>
      <c r="HUK1" s="24" t="n"/>
      <c r="HUL1" s="24" t="n"/>
      <c r="HUM1" s="24" t="n"/>
      <c r="HUN1" s="24" t="n"/>
      <c r="HUO1" s="24" t="n"/>
      <c r="HUP1" s="24" t="n"/>
      <c r="HUQ1" s="24" t="n"/>
      <c r="HUR1" s="24" t="n"/>
      <c r="HUS1" s="24" t="n"/>
      <c r="HUT1" s="24" t="n"/>
      <c r="HUU1" s="24" t="n"/>
      <c r="HUV1" s="24" t="n"/>
      <c r="HUW1" s="24" t="n"/>
      <c r="HUX1" s="24" t="n"/>
      <c r="HUY1" s="24" t="n"/>
      <c r="HUZ1" s="24" t="n"/>
      <c r="HVA1" s="24" t="n"/>
      <c r="HVB1" s="24" t="n"/>
      <c r="HVC1" s="24" t="n"/>
      <c r="HVD1" s="24" t="n"/>
      <c r="HVE1" s="24" t="n"/>
      <c r="HVF1" s="24" t="n"/>
      <c r="HVG1" s="24" t="n"/>
      <c r="HVH1" s="24" t="n"/>
      <c r="HVI1" s="24" t="n"/>
      <c r="HVJ1" s="24" t="n"/>
      <c r="HVK1" s="24" t="n"/>
      <c r="HVL1" s="24" t="n"/>
      <c r="HVM1" s="24" t="n"/>
      <c r="HVN1" s="24" t="n"/>
      <c r="HVO1" s="24" t="n"/>
      <c r="HVP1" s="24" t="n"/>
      <c r="HVQ1" s="24" t="n"/>
      <c r="HVR1" s="24" t="n"/>
      <c r="HVS1" s="24" t="n"/>
      <c r="HVT1" s="24" t="n"/>
      <c r="HVU1" s="24" t="n"/>
      <c r="HVV1" s="24" t="n"/>
      <c r="HVW1" s="24" t="n"/>
      <c r="HVX1" s="24" t="n"/>
      <c r="HVY1" s="24" t="n"/>
      <c r="HVZ1" s="24" t="n"/>
      <c r="HWA1" s="24" t="n"/>
      <c r="HWB1" s="24" t="n"/>
      <c r="HWC1" s="24" t="n"/>
      <c r="HWD1" s="24" t="n"/>
      <c r="HWE1" s="24" t="n"/>
      <c r="HWF1" s="24" t="n"/>
      <c r="HWG1" s="24" t="n"/>
      <c r="HWH1" s="24" t="n"/>
      <c r="HWI1" s="24" t="n"/>
      <c r="HWJ1" s="24" t="n"/>
      <c r="HWK1" s="24" t="n"/>
      <c r="HWL1" s="24" t="n"/>
      <c r="HWM1" s="24" t="n"/>
      <c r="HWN1" s="24" t="n"/>
      <c r="HWO1" s="24" t="n"/>
      <c r="HWP1" s="24" t="n"/>
      <c r="HWQ1" s="24" t="n"/>
      <c r="HWR1" s="24" t="n"/>
      <c r="HWS1" s="24" t="n"/>
      <c r="HWT1" s="24" t="n"/>
      <c r="HWU1" s="24" t="n"/>
      <c r="HWV1" s="24" t="n"/>
      <c r="HWW1" s="24" t="n"/>
      <c r="HWX1" s="24" t="n"/>
      <c r="HWY1" s="24" t="n"/>
      <c r="HWZ1" s="24" t="n"/>
      <c r="HXA1" s="24" t="n"/>
      <c r="HXB1" s="24" t="n"/>
      <c r="HXC1" s="24" t="n"/>
      <c r="HXD1" s="24" t="n"/>
      <c r="HXE1" s="24" t="n"/>
      <c r="HXF1" s="24" t="n"/>
      <c r="HXG1" s="24" t="n"/>
      <c r="HXH1" s="24" t="n"/>
      <c r="HXI1" s="24" t="n"/>
      <c r="HXJ1" s="24" t="n"/>
      <c r="HXK1" s="24" t="n"/>
      <c r="HXL1" s="24" t="n"/>
      <c r="HXM1" s="24" t="n"/>
      <c r="HXN1" s="24" t="n"/>
      <c r="HXO1" s="24" t="n"/>
      <c r="HXP1" s="24" t="n"/>
      <c r="HXQ1" s="24" t="n"/>
      <c r="HXR1" s="24" t="n"/>
      <c r="HXS1" s="24" t="n"/>
      <c r="HXT1" s="24" t="n"/>
      <c r="HXU1" s="24" t="n"/>
      <c r="HXV1" s="24" t="n"/>
      <c r="HXW1" s="24" t="n"/>
      <c r="HXX1" s="24" t="n"/>
      <c r="HXY1" s="24" t="n"/>
      <c r="HXZ1" s="24" t="n"/>
      <c r="HYA1" s="24" t="n"/>
      <c r="HYB1" s="24" t="n"/>
      <c r="HYC1" s="24" t="n"/>
      <c r="HYD1" s="24" t="n"/>
      <c r="HYE1" s="24" t="n"/>
      <c r="HYF1" s="24" t="n"/>
      <c r="HYG1" s="24" t="n"/>
      <c r="HYH1" s="24" t="n"/>
      <c r="HYI1" s="24" t="n"/>
      <c r="HYJ1" s="24" t="n"/>
      <c r="HYK1" s="24" t="n"/>
      <c r="HYL1" s="24" t="n"/>
      <c r="HYM1" s="24" t="n"/>
      <c r="HYN1" s="24" t="n"/>
      <c r="HYO1" s="24" t="n"/>
      <c r="HYP1" s="24" t="n"/>
      <c r="HYQ1" s="24" t="n"/>
      <c r="HYR1" s="24" t="n"/>
      <c r="HYS1" s="24" t="n"/>
      <c r="HYT1" s="24" t="n"/>
      <c r="HYU1" s="24" t="n"/>
      <c r="HYV1" s="24" t="n"/>
      <c r="HYW1" s="24" t="n"/>
      <c r="HYX1" s="24" t="n"/>
      <c r="HYY1" s="24" t="n"/>
      <c r="HYZ1" s="24" t="n"/>
      <c r="HZA1" s="24" t="n"/>
      <c r="HZB1" s="24" t="n"/>
      <c r="HZC1" s="24" t="n"/>
      <c r="HZD1" s="24" t="n"/>
      <c r="HZE1" s="24" t="n"/>
      <c r="HZF1" s="24" t="n"/>
      <c r="HZG1" s="24" t="n"/>
      <c r="HZH1" s="24" t="n"/>
      <c r="HZI1" s="24" t="n"/>
      <c r="HZJ1" s="24" t="n"/>
      <c r="HZK1" s="24" t="n"/>
      <c r="HZL1" s="24" t="n"/>
      <c r="HZM1" s="24" t="n"/>
      <c r="HZN1" s="24" t="n"/>
      <c r="HZO1" s="24" t="n"/>
      <c r="HZP1" s="24" t="n"/>
      <c r="HZQ1" s="24" t="n"/>
      <c r="HZR1" s="24" t="n"/>
      <c r="HZS1" s="24" t="n"/>
      <c r="HZT1" s="24" t="n"/>
      <c r="HZU1" s="24" t="n"/>
      <c r="HZV1" s="24" t="n"/>
      <c r="HZW1" s="24" t="n"/>
      <c r="HZX1" s="24" t="n"/>
      <c r="HZY1" s="24" t="n"/>
      <c r="HZZ1" s="24" t="n"/>
      <c r="IAA1" s="24" t="n"/>
      <c r="IAB1" s="24" t="n"/>
      <c r="IAC1" s="24" t="n"/>
      <c r="IAD1" s="24" t="n"/>
      <c r="IAE1" s="24" t="n"/>
      <c r="IAF1" s="24" t="n"/>
      <c r="IAG1" s="24" t="n"/>
      <c r="IAH1" s="24" t="n"/>
      <c r="IAI1" s="24" t="n"/>
      <c r="IAJ1" s="24" t="n"/>
      <c r="IAK1" s="24" t="n"/>
      <c r="IAL1" s="24" t="n"/>
      <c r="IAM1" s="24" t="n"/>
      <c r="IAN1" s="24" t="n"/>
      <c r="IAO1" s="24" t="n"/>
      <c r="IAP1" s="24" t="n"/>
      <c r="IAQ1" s="24" t="n"/>
      <c r="IAR1" s="24" t="n"/>
      <c r="IAS1" s="24" t="n"/>
      <c r="IAT1" s="24" t="n"/>
      <c r="IAU1" s="24" t="n"/>
      <c r="IAV1" s="24" t="n"/>
      <c r="IAW1" s="24" t="n"/>
      <c r="IAX1" s="24" t="n"/>
      <c r="IAY1" s="24" t="n"/>
      <c r="IAZ1" s="24" t="n"/>
      <c r="IBA1" s="24" t="n"/>
      <c r="IBB1" s="24" t="n"/>
      <c r="IBC1" s="24" t="n"/>
      <c r="IBD1" s="24" t="n"/>
      <c r="IBE1" s="24" t="n"/>
      <c r="IBF1" s="24" t="n"/>
      <c r="IBG1" s="24" t="n"/>
      <c r="IBH1" s="24" t="n"/>
      <c r="IBI1" s="24" t="n"/>
      <c r="IBJ1" s="24" t="n"/>
      <c r="IBK1" s="24" t="n"/>
      <c r="IBL1" s="24" t="n"/>
      <c r="IBM1" s="24" t="n"/>
      <c r="IBN1" s="24" t="n"/>
      <c r="IBO1" s="24" t="n"/>
      <c r="IBP1" s="24" t="n"/>
      <c r="IBQ1" s="24" t="n"/>
      <c r="IBR1" s="24" t="n"/>
      <c r="IBS1" s="24" t="n"/>
      <c r="IBT1" s="24" t="n"/>
      <c r="IBU1" s="24" t="n"/>
      <c r="IBV1" s="24" t="n"/>
      <c r="IBW1" s="24" t="n"/>
      <c r="IBX1" s="24" t="n"/>
      <c r="IBY1" s="24" t="n"/>
      <c r="IBZ1" s="24" t="n"/>
      <c r="ICA1" s="24" t="n"/>
      <c r="ICB1" s="24" t="n"/>
      <c r="ICC1" s="24" t="n"/>
      <c r="ICD1" s="24" t="n"/>
      <c r="ICE1" s="24" t="n"/>
      <c r="ICF1" s="24" t="n"/>
      <c r="ICG1" s="24" t="n"/>
      <c r="ICH1" s="24" t="n"/>
      <c r="ICI1" s="24" t="n"/>
      <c r="ICJ1" s="24" t="n"/>
      <c r="ICK1" s="24" t="n"/>
      <c r="ICL1" s="24" t="n"/>
      <c r="ICM1" s="24" t="n"/>
      <c r="ICN1" s="24" t="n"/>
      <c r="ICO1" s="24" t="n"/>
      <c r="ICP1" s="24" t="n"/>
      <c r="ICQ1" s="24" t="n"/>
      <c r="ICR1" s="24" t="n"/>
      <c r="ICS1" s="24" t="n"/>
      <c r="ICT1" s="24" t="n"/>
      <c r="ICU1" s="24" t="n"/>
      <c r="ICV1" s="24" t="n"/>
      <c r="ICW1" s="24" t="n"/>
      <c r="ICX1" s="24" t="n"/>
      <c r="ICY1" s="24" t="n"/>
      <c r="ICZ1" s="24" t="n"/>
      <c r="IDA1" s="24" t="n"/>
      <c r="IDB1" s="24" t="n"/>
      <c r="IDC1" s="24" t="n"/>
      <c r="IDD1" s="24" t="n"/>
      <c r="IDE1" s="24" t="n"/>
      <c r="IDF1" s="24" t="n"/>
      <c r="IDG1" s="24" t="n"/>
      <c r="IDH1" s="24" t="n"/>
      <c r="IDI1" s="24" t="n"/>
      <c r="IDJ1" s="24" t="n"/>
      <c r="IDK1" s="24" t="n"/>
      <c r="IDL1" s="24" t="n"/>
      <c r="IDM1" s="24" t="n"/>
      <c r="IDN1" s="24" t="n"/>
      <c r="IDO1" s="24" t="n"/>
      <c r="IDP1" s="24" t="n"/>
      <c r="IDQ1" s="24" t="n"/>
      <c r="IDR1" s="24" t="n"/>
      <c r="IDS1" s="24" t="n"/>
      <c r="IDT1" s="24" t="n"/>
      <c r="IDU1" s="24" t="n"/>
      <c r="IDV1" s="24" t="n"/>
      <c r="IDW1" s="24" t="n"/>
      <c r="IDX1" s="24" t="n"/>
      <c r="IDY1" s="24" t="n"/>
      <c r="IDZ1" s="24" t="n"/>
      <c r="IEA1" s="24" t="n"/>
      <c r="IEB1" s="24" t="n"/>
      <c r="IEC1" s="24" t="n"/>
      <c r="IED1" s="24" t="n"/>
      <c r="IEE1" s="24" t="n"/>
      <c r="IEF1" s="24" t="n"/>
      <c r="IEG1" s="24" t="n"/>
      <c r="IEH1" s="24" t="n"/>
      <c r="IEI1" s="24" t="n"/>
      <c r="IEJ1" s="24" t="n"/>
      <c r="IEK1" s="24" t="n"/>
      <c r="IEL1" s="24" t="n"/>
      <c r="IEM1" s="24" t="n"/>
      <c r="IEN1" s="24" t="n"/>
      <c r="IEO1" s="24" t="n"/>
      <c r="IEP1" s="24" t="n"/>
      <c r="IEQ1" s="24" t="n"/>
      <c r="IER1" s="24" t="n"/>
      <c r="IES1" s="24" t="n"/>
      <c r="IET1" s="24" t="n"/>
      <c r="IEU1" s="24" t="n"/>
      <c r="IEV1" s="24" t="n"/>
      <c r="IEW1" s="24" t="n"/>
      <c r="IEX1" s="24" t="n"/>
      <c r="IEY1" s="24" t="n"/>
      <c r="IEZ1" s="24" t="n"/>
      <c r="IFA1" s="24" t="n"/>
      <c r="IFB1" s="24" t="n"/>
      <c r="IFC1" s="24" t="n"/>
      <c r="IFD1" s="24" t="n"/>
      <c r="IFE1" s="24" t="n"/>
      <c r="IFF1" s="24" t="n"/>
      <c r="IFG1" s="24" t="n"/>
      <c r="IFH1" s="24" t="n"/>
      <c r="IFI1" s="24" t="n"/>
      <c r="IFJ1" s="24" t="n"/>
      <c r="IFK1" s="24" t="n"/>
      <c r="IFL1" s="24" t="n"/>
      <c r="IFM1" s="24" t="n"/>
      <c r="IFN1" s="24" t="n"/>
      <c r="IFO1" s="24" t="n"/>
      <c r="IFP1" s="24" t="n"/>
      <c r="IFQ1" s="24" t="n"/>
      <c r="IFR1" s="24" t="n"/>
      <c r="IFS1" s="24" t="n"/>
      <c r="IFT1" s="24" t="n"/>
      <c r="IFU1" s="24" t="n"/>
      <c r="IFV1" s="24" t="n"/>
      <c r="IFW1" s="24" t="n"/>
      <c r="IFX1" s="24" t="n"/>
      <c r="IFY1" s="24" t="n"/>
      <c r="IFZ1" s="24" t="n"/>
      <c r="IGA1" s="24" t="n"/>
      <c r="IGB1" s="24" t="n"/>
      <c r="IGC1" s="24" t="n"/>
      <c r="IGD1" s="24" t="n"/>
      <c r="IGE1" s="24" t="n"/>
      <c r="IGF1" s="24" t="n"/>
      <c r="IGG1" s="24" t="n"/>
      <c r="IGH1" s="24" t="n"/>
      <c r="IGI1" s="24" t="n"/>
      <c r="IGJ1" s="24" t="n"/>
      <c r="IGK1" s="24" t="n"/>
      <c r="IGL1" s="24" t="n"/>
      <c r="IGM1" s="24" t="n"/>
      <c r="IGN1" s="24" t="n"/>
      <c r="IGO1" s="24" t="n"/>
      <c r="IGP1" s="24" t="n"/>
      <c r="IGQ1" s="24" t="n"/>
      <c r="IGR1" s="24" t="n"/>
      <c r="IGS1" s="24" t="n"/>
      <c r="IGT1" s="24" t="n"/>
      <c r="IGU1" s="24" t="n"/>
      <c r="IGV1" s="24" t="n"/>
      <c r="IGW1" s="24" t="n"/>
      <c r="IGX1" s="24" t="n"/>
      <c r="IGY1" s="24" t="n"/>
      <c r="IGZ1" s="24" t="n"/>
      <c r="IHA1" s="24" t="n"/>
      <c r="IHB1" s="24" t="n"/>
      <c r="IHC1" s="24" t="n"/>
      <c r="IHD1" s="24" t="n"/>
      <c r="IHE1" s="24" t="n"/>
      <c r="IHF1" s="24" t="n"/>
      <c r="IHG1" s="24" t="n"/>
      <c r="IHH1" s="24" t="n"/>
      <c r="IHI1" s="24" t="n"/>
      <c r="IHJ1" s="24" t="n"/>
      <c r="IHK1" s="24" t="n"/>
      <c r="IHL1" s="24" t="n"/>
      <c r="IHM1" s="24" t="n"/>
      <c r="IHN1" s="24" t="n"/>
      <c r="IHO1" s="24" t="n"/>
      <c r="IHP1" s="24" t="n"/>
      <c r="IHQ1" s="24" t="n"/>
      <c r="IHR1" s="24" t="n"/>
      <c r="IHS1" s="24" t="n"/>
      <c r="IHT1" s="24" t="n"/>
      <c r="IHU1" s="24" t="n"/>
      <c r="IHV1" s="24" t="n"/>
      <c r="IHW1" s="24" t="n"/>
      <c r="IHX1" s="24" t="n"/>
      <c r="IHY1" s="24" t="n"/>
      <c r="IHZ1" s="24" t="n"/>
      <c r="IIA1" s="24" t="n"/>
      <c r="IIB1" s="24" t="n"/>
      <c r="IIC1" s="24" t="n"/>
      <c r="IID1" s="24" t="n"/>
      <c r="IIE1" s="24" t="n"/>
      <c r="IIF1" s="24" t="n"/>
      <c r="IIG1" s="24" t="n"/>
      <c r="IIH1" s="24" t="n"/>
      <c r="III1" s="24" t="n"/>
      <c r="IIJ1" s="24" t="n"/>
      <c r="IIK1" s="24" t="n"/>
      <c r="IIL1" s="24" t="n"/>
      <c r="IIM1" s="24" t="n"/>
      <c r="IIN1" s="24" t="n"/>
      <c r="IIO1" s="24" t="n"/>
      <c r="IIP1" s="24" t="n"/>
      <c r="IIQ1" s="24" t="n"/>
      <c r="IIR1" s="24" t="n"/>
      <c r="IIS1" s="24" t="n"/>
      <c r="IIT1" s="24" t="n"/>
      <c r="IIU1" s="24" t="n"/>
      <c r="IIV1" s="24" t="n"/>
      <c r="IIW1" s="24" t="n"/>
      <c r="IIX1" s="24" t="n"/>
      <c r="IIY1" s="24" t="n"/>
      <c r="IIZ1" s="24" t="n"/>
      <c r="IJA1" s="24" t="n"/>
      <c r="IJB1" s="24" t="n"/>
      <c r="IJC1" s="24" t="n"/>
      <c r="IJD1" s="24" t="n"/>
      <c r="IJE1" s="24" t="n"/>
      <c r="IJF1" s="24" t="n"/>
      <c r="IJG1" s="24" t="n"/>
      <c r="IJH1" s="24" t="n"/>
      <c r="IJI1" s="24" t="n"/>
      <c r="IJJ1" s="24" t="n"/>
      <c r="IJK1" s="24" t="n"/>
      <c r="IJL1" s="24" t="n"/>
      <c r="IJM1" s="24" t="n"/>
      <c r="IJN1" s="24" t="n"/>
      <c r="IJO1" s="24" t="n"/>
      <c r="IJP1" s="24" t="n"/>
      <c r="IJQ1" s="24" t="n"/>
      <c r="IJR1" s="24" t="n"/>
      <c r="IJS1" s="24" t="n"/>
      <c r="IJT1" s="24" t="n"/>
      <c r="IJU1" s="24" t="n"/>
      <c r="IJV1" s="24" t="n"/>
      <c r="IJW1" s="24" t="n"/>
      <c r="IJX1" s="24" t="n"/>
      <c r="IJY1" s="24" t="n"/>
      <c r="IJZ1" s="24" t="n"/>
      <c r="IKA1" s="24" t="n"/>
      <c r="IKB1" s="24" t="n"/>
      <c r="IKC1" s="24" t="n"/>
      <c r="IKD1" s="24" t="n"/>
      <c r="IKE1" s="24" t="n"/>
      <c r="IKF1" s="24" t="n"/>
      <c r="IKG1" s="24" t="n"/>
      <c r="IKH1" s="24" t="n"/>
      <c r="IKI1" s="24" t="n"/>
      <c r="IKJ1" s="24" t="n"/>
      <c r="IKK1" s="24" t="n"/>
      <c r="IKL1" s="24" t="n"/>
      <c r="IKM1" s="24" t="n"/>
      <c r="IKN1" s="24" t="n"/>
      <c r="IKO1" s="24" t="n"/>
      <c r="IKP1" s="24" t="n"/>
      <c r="IKQ1" s="24" t="n"/>
      <c r="IKR1" s="24" t="n"/>
      <c r="IKS1" s="24" t="n"/>
      <c r="IKT1" s="24" t="n"/>
      <c r="IKU1" s="24" t="n"/>
      <c r="IKV1" s="24" t="n"/>
      <c r="IKW1" s="24" t="n"/>
      <c r="IKX1" s="24" t="n"/>
      <c r="IKY1" s="24" t="n"/>
      <c r="IKZ1" s="24" t="n"/>
      <c r="ILA1" s="24" t="n"/>
      <c r="ILB1" s="24" t="n"/>
      <c r="ILC1" s="24" t="n"/>
      <c r="ILD1" s="24" t="n"/>
      <c r="ILE1" s="24" t="n"/>
      <c r="ILF1" s="24" t="n"/>
      <c r="ILG1" s="24" t="n"/>
      <c r="ILH1" s="24" t="n"/>
      <c r="ILI1" s="24" t="n"/>
      <c r="ILJ1" s="24" t="n"/>
      <c r="ILK1" s="24" t="n"/>
      <c r="ILL1" s="24" t="n"/>
      <c r="ILM1" s="24" t="n"/>
      <c r="ILN1" s="24" t="n"/>
      <c r="ILO1" s="24" t="n"/>
      <c r="ILP1" s="24" t="n"/>
      <c r="ILQ1" s="24" t="n"/>
      <c r="ILR1" s="24" t="n"/>
      <c r="ILS1" s="24" t="n"/>
      <c r="ILT1" s="24" t="n"/>
      <c r="ILU1" s="24" t="n"/>
      <c r="ILV1" s="24" t="n"/>
      <c r="ILW1" s="24" t="n"/>
      <c r="ILX1" s="24" t="n"/>
      <c r="ILY1" s="24" t="n"/>
      <c r="ILZ1" s="24" t="n"/>
      <c r="IMA1" s="24" t="n"/>
      <c r="IMB1" s="24" t="n"/>
      <c r="IMC1" s="24" t="n"/>
      <c r="IMD1" s="24" t="n"/>
      <c r="IME1" s="24" t="n"/>
      <c r="IMF1" s="24" t="n"/>
      <c r="IMG1" s="24" t="n"/>
      <c r="IMH1" s="24" t="n"/>
      <c r="IMI1" s="24" t="n"/>
      <c r="IMJ1" s="24" t="n"/>
      <c r="IMK1" s="24" t="n"/>
      <c r="IML1" s="24" t="n"/>
      <c r="IMM1" s="24" t="n"/>
      <c r="IMN1" s="24" t="n"/>
      <c r="IMO1" s="24" t="n"/>
      <c r="IMP1" s="24" t="n"/>
      <c r="IMQ1" s="24" t="n"/>
      <c r="IMR1" s="24" t="n"/>
      <c r="IMS1" s="24" t="n"/>
      <c r="IMT1" s="24" t="n"/>
      <c r="IMU1" s="24" t="n"/>
      <c r="IMV1" s="24" t="n"/>
      <c r="IMW1" s="24" t="n"/>
      <c r="IMX1" s="24" t="n"/>
      <c r="IMY1" s="24" t="n"/>
      <c r="IMZ1" s="24" t="n"/>
      <c r="INA1" s="24" t="n"/>
      <c r="INB1" s="24" t="n"/>
      <c r="INC1" s="24" t="n"/>
      <c r="IND1" s="24" t="n"/>
      <c r="INE1" s="24" t="n"/>
      <c r="INF1" s="24" t="n"/>
      <c r="ING1" s="24" t="n"/>
      <c r="INH1" s="24" t="n"/>
      <c r="INI1" s="24" t="n"/>
      <c r="INJ1" s="24" t="n"/>
      <c r="INK1" s="24" t="n"/>
      <c r="INL1" s="24" t="n"/>
      <c r="INM1" s="24" t="n"/>
      <c r="INN1" s="24" t="n"/>
      <c r="INO1" s="24" t="n"/>
      <c r="INP1" s="24" t="n"/>
      <c r="INQ1" s="24" t="n"/>
      <c r="INR1" s="24" t="n"/>
      <c r="INS1" s="24" t="n"/>
      <c r="INT1" s="24" t="n"/>
      <c r="INU1" s="24" t="n"/>
      <c r="INV1" s="24" t="n"/>
      <c r="INW1" s="24" t="n"/>
      <c r="INX1" s="24" t="n"/>
      <c r="INY1" s="24" t="n"/>
      <c r="INZ1" s="24" t="n"/>
      <c r="IOA1" s="24" t="n"/>
      <c r="IOB1" s="24" t="n"/>
      <c r="IOC1" s="24" t="n"/>
      <c r="IOD1" s="24" t="n"/>
      <c r="IOE1" s="24" t="n"/>
      <c r="IOF1" s="24" t="n"/>
      <c r="IOG1" s="24" t="n"/>
      <c r="IOH1" s="24" t="n"/>
      <c r="IOI1" s="24" t="n"/>
      <c r="IOJ1" s="24" t="n"/>
      <c r="IOK1" s="24" t="n"/>
      <c r="IOL1" s="24" t="n"/>
      <c r="IOM1" s="24" t="n"/>
      <c r="ION1" s="24" t="n"/>
      <c r="IOO1" s="24" t="n"/>
      <c r="IOP1" s="24" t="n"/>
      <c r="IOQ1" s="24" t="n"/>
      <c r="IOR1" s="24" t="n"/>
      <c r="IOS1" s="24" t="n"/>
      <c r="IOT1" s="24" t="n"/>
      <c r="IOU1" s="24" t="n"/>
      <c r="IOV1" s="24" t="n"/>
      <c r="IOW1" s="24" t="n"/>
      <c r="IOX1" s="24" t="n"/>
      <c r="IOY1" s="24" t="n"/>
      <c r="IOZ1" s="24" t="n"/>
      <c r="IPA1" s="24" t="n"/>
      <c r="IPB1" s="24" t="n"/>
      <c r="IPC1" s="24" t="n"/>
      <c r="IPD1" s="24" t="n"/>
      <c r="IPE1" s="24" t="n"/>
      <c r="IPF1" s="24" t="n"/>
      <c r="IPG1" s="24" t="n"/>
      <c r="IPH1" s="24" t="n"/>
      <c r="IPI1" s="24" t="n"/>
      <c r="IPJ1" s="24" t="n"/>
      <c r="IPK1" s="24" t="n"/>
      <c r="IPL1" s="24" t="n"/>
      <c r="IPM1" s="24" t="n"/>
      <c r="IPN1" s="24" t="n"/>
      <c r="IPO1" s="24" t="n"/>
      <c r="IPP1" s="24" t="n"/>
      <c r="IPQ1" s="24" t="n"/>
      <c r="IPR1" s="24" t="n"/>
      <c r="IPS1" s="24" t="n"/>
      <c r="IPT1" s="24" t="n"/>
      <c r="IPU1" s="24" t="n"/>
      <c r="IPV1" s="24" t="n"/>
      <c r="IPW1" s="24" t="n"/>
      <c r="IPX1" s="24" t="n"/>
      <c r="IPY1" s="24" t="n"/>
      <c r="IPZ1" s="24" t="n"/>
      <c r="IQA1" s="24" t="n"/>
      <c r="IQB1" s="24" t="n"/>
      <c r="IQC1" s="24" t="n"/>
      <c r="IQD1" s="24" t="n"/>
      <c r="IQE1" s="24" t="n"/>
      <c r="IQF1" s="24" t="n"/>
      <c r="IQG1" s="24" t="n"/>
      <c r="IQH1" s="24" t="n"/>
      <c r="IQI1" s="24" t="n"/>
      <c r="IQJ1" s="24" t="n"/>
      <c r="IQK1" s="24" t="n"/>
      <c r="IQL1" s="24" t="n"/>
      <c r="IQM1" s="24" t="n"/>
      <c r="IQN1" s="24" t="n"/>
      <c r="IQO1" s="24" t="n"/>
      <c r="IQP1" s="24" t="n"/>
      <c r="IQQ1" s="24" t="n"/>
      <c r="IQR1" s="24" t="n"/>
      <c r="IQS1" s="24" t="n"/>
      <c r="IQT1" s="24" t="n"/>
      <c r="IQU1" s="24" t="n"/>
      <c r="IQV1" s="24" t="n"/>
      <c r="IQW1" s="24" t="n"/>
      <c r="IQX1" s="24" t="n"/>
      <c r="IQY1" s="24" t="n"/>
      <c r="IQZ1" s="24" t="n"/>
      <c r="IRA1" s="24" t="n"/>
      <c r="IRB1" s="24" t="n"/>
      <c r="IRC1" s="24" t="n"/>
      <c r="IRD1" s="24" t="n"/>
      <c r="IRE1" s="24" t="n"/>
      <c r="IRF1" s="24" t="n"/>
      <c r="IRG1" s="24" t="n"/>
      <c r="IRH1" s="24" t="n"/>
      <c r="IRI1" s="24" t="n"/>
      <c r="IRJ1" s="24" t="n"/>
      <c r="IRK1" s="24" t="n"/>
      <c r="IRL1" s="24" t="n"/>
      <c r="IRM1" s="24" t="n"/>
      <c r="IRN1" s="24" t="n"/>
      <c r="IRO1" s="24" t="n"/>
      <c r="IRP1" s="24" t="n"/>
      <c r="IRQ1" s="24" t="n"/>
      <c r="IRR1" s="24" t="n"/>
      <c r="IRS1" s="24" t="n"/>
      <c r="IRT1" s="24" t="n"/>
      <c r="IRU1" s="24" t="n"/>
      <c r="IRV1" s="24" t="n"/>
      <c r="IRW1" s="24" t="n"/>
      <c r="IRX1" s="24" t="n"/>
      <c r="IRY1" s="24" t="n"/>
      <c r="IRZ1" s="24" t="n"/>
      <c r="ISA1" s="24" t="n"/>
      <c r="ISB1" s="24" t="n"/>
      <c r="ISC1" s="24" t="n"/>
      <c r="ISD1" s="24" t="n"/>
      <c r="ISE1" s="24" t="n"/>
      <c r="ISF1" s="24" t="n"/>
      <c r="ISG1" s="24" t="n"/>
      <c r="ISH1" s="24" t="n"/>
      <c r="ISI1" s="24" t="n"/>
      <c r="ISJ1" s="24" t="n"/>
      <c r="ISK1" s="24" t="n"/>
      <c r="ISL1" s="24" t="n"/>
      <c r="ISM1" s="24" t="n"/>
      <c r="ISN1" s="24" t="n"/>
      <c r="ISO1" s="24" t="n"/>
      <c r="ISP1" s="24" t="n"/>
      <c r="ISQ1" s="24" t="n"/>
      <c r="ISR1" s="24" t="n"/>
      <c r="ISS1" s="24" t="n"/>
      <c r="IST1" s="24" t="n"/>
      <c r="ISU1" s="24" t="n"/>
      <c r="ISV1" s="24" t="n"/>
      <c r="ISW1" s="24" t="n"/>
      <c r="ISX1" s="24" t="n"/>
      <c r="ISY1" s="24" t="n"/>
      <c r="ISZ1" s="24" t="n"/>
      <c r="ITA1" s="24" t="n"/>
      <c r="ITB1" s="24" t="n"/>
      <c r="ITC1" s="24" t="n"/>
      <c r="ITD1" s="24" t="n"/>
      <c r="ITE1" s="24" t="n"/>
      <c r="ITF1" s="24" t="n"/>
      <c r="ITG1" s="24" t="n"/>
      <c r="ITH1" s="24" t="n"/>
      <c r="ITI1" s="24" t="n"/>
      <c r="ITJ1" s="24" t="n"/>
      <c r="ITK1" s="24" t="n"/>
      <c r="ITL1" s="24" t="n"/>
      <c r="ITM1" s="24" t="n"/>
      <c r="ITN1" s="24" t="n"/>
      <c r="ITO1" s="24" t="n"/>
      <c r="ITP1" s="24" t="n"/>
      <c r="ITQ1" s="24" t="n"/>
      <c r="ITR1" s="24" t="n"/>
      <c r="ITS1" s="24" t="n"/>
      <c r="ITT1" s="24" t="n"/>
      <c r="ITU1" s="24" t="n"/>
      <c r="ITV1" s="24" t="n"/>
      <c r="ITW1" s="24" t="n"/>
      <c r="ITX1" s="24" t="n"/>
      <c r="ITY1" s="24" t="n"/>
      <c r="ITZ1" s="24" t="n"/>
      <c r="IUA1" s="24" t="n"/>
      <c r="IUB1" s="24" t="n"/>
      <c r="IUC1" s="24" t="n"/>
      <c r="IUD1" s="24" t="n"/>
      <c r="IUE1" s="24" t="n"/>
      <c r="IUF1" s="24" t="n"/>
      <c r="IUG1" s="24" t="n"/>
      <c r="IUH1" s="24" t="n"/>
      <c r="IUI1" s="24" t="n"/>
      <c r="IUJ1" s="24" t="n"/>
      <c r="IUK1" s="24" t="n"/>
      <c r="IUL1" s="24" t="n"/>
      <c r="IUM1" s="24" t="n"/>
      <c r="IUN1" s="24" t="n"/>
      <c r="IUO1" s="24" t="n"/>
      <c r="IUP1" s="24" t="n"/>
      <c r="IUQ1" s="24" t="n"/>
      <c r="IUR1" s="24" t="n"/>
      <c r="IUS1" s="24" t="n"/>
      <c r="IUT1" s="24" t="n"/>
      <c r="IUU1" s="24" t="n"/>
      <c r="IUV1" s="24" t="n"/>
      <c r="IUW1" s="24" t="n"/>
      <c r="IUX1" s="24" t="n"/>
      <c r="IUY1" s="24" t="n"/>
      <c r="IUZ1" s="24" t="n"/>
      <c r="IVA1" s="24" t="n"/>
      <c r="IVB1" s="24" t="n"/>
      <c r="IVC1" s="24" t="n"/>
      <c r="IVD1" s="24" t="n"/>
      <c r="IVE1" s="24" t="n"/>
      <c r="IVF1" s="24" t="n"/>
      <c r="IVG1" s="24" t="n"/>
      <c r="IVH1" s="24" t="n"/>
      <c r="IVI1" s="24" t="n"/>
      <c r="IVJ1" s="24" t="n"/>
      <c r="IVK1" s="24" t="n"/>
      <c r="IVL1" s="24" t="n"/>
      <c r="IVM1" s="24" t="n"/>
      <c r="IVN1" s="24" t="n"/>
      <c r="IVO1" s="24" t="n"/>
      <c r="IVP1" s="24" t="n"/>
      <c r="IVQ1" s="24" t="n"/>
      <c r="IVR1" s="24" t="n"/>
      <c r="IVS1" s="24" t="n"/>
      <c r="IVT1" s="24" t="n"/>
      <c r="IVU1" s="24" t="n"/>
      <c r="IVV1" s="24" t="n"/>
      <c r="IVW1" s="24" t="n"/>
      <c r="IVX1" s="24" t="n"/>
      <c r="IVY1" s="24" t="n"/>
      <c r="IVZ1" s="24" t="n"/>
      <c r="IWA1" s="24" t="n"/>
      <c r="IWB1" s="24" t="n"/>
      <c r="IWC1" s="24" t="n"/>
      <c r="IWD1" s="24" t="n"/>
      <c r="IWE1" s="24" t="n"/>
      <c r="IWF1" s="24" t="n"/>
      <c r="IWG1" s="24" t="n"/>
      <c r="IWH1" s="24" t="n"/>
      <c r="IWI1" s="24" t="n"/>
      <c r="IWJ1" s="24" t="n"/>
      <c r="IWK1" s="24" t="n"/>
      <c r="IWL1" s="24" t="n"/>
      <c r="IWM1" s="24" t="n"/>
      <c r="IWN1" s="24" t="n"/>
      <c r="IWO1" s="24" t="n"/>
      <c r="IWP1" s="24" t="n"/>
      <c r="IWQ1" s="24" t="n"/>
      <c r="IWR1" s="24" t="n"/>
      <c r="IWS1" s="24" t="n"/>
      <c r="IWT1" s="24" t="n"/>
      <c r="IWU1" s="24" t="n"/>
      <c r="IWV1" s="24" t="n"/>
      <c r="IWW1" s="24" t="n"/>
      <c r="IWX1" s="24" t="n"/>
      <c r="IWY1" s="24" t="n"/>
      <c r="IWZ1" s="24" t="n"/>
      <c r="IXA1" s="24" t="n"/>
      <c r="IXB1" s="24" t="n"/>
      <c r="IXC1" s="24" t="n"/>
      <c r="IXD1" s="24" t="n"/>
      <c r="IXE1" s="24" t="n"/>
      <c r="IXF1" s="24" t="n"/>
      <c r="IXG1" s="24" t="n"/>
      <c r="IXH1" s="24" t="n"/>
      <c r="IXI1" s="24" t="n"/>
      <c r="IXJ1" s="24" t="n"/>
      <c r="IXK1" s="24" t="n"/>
      <c r="IXL1" s="24" t="n"/>
      <c r="IXM1" s="24" t="n"/>
      <c r="IXN1" s="24" t="n"/>
      <c r="IXO1" s="24" t="n"/>
      <c r="IXP1" s="24" t="n"/>
      <c r="IXQ1" s="24" t="n"/>
      <c r="IXR1" s="24" t="n"/>
      <c r="IXS1" s="24" t="n"/>
      <c r="IXT1" s="24" t="n"/>
      <c r="IXU1" s="24" t="n"/>
      <c r="IXV1" s="24" t="n"/>
      <c r="IXW1" s="24" t="n"/>
      <c r="IXX1" s="24" t="n"/>
      <c r="IXY1" s="24" t="n"/>
      <c r="IXZ1" s="24" t="n"/>
      <c r="IYA1" s="24" t="n"/>
      <c r="IYB1" s="24" t="n"/>
      <c r="IYC1" s="24" t="n"/>
      <c r="IYD1" s="24" t="n"/>
      <c r="IYE1" s="24" t="n"/>
      <c r="IYF1" s="24" t="n"/>
      <c r="IYG1" s="24" t="n"/>
      <c r="IYH1" s="24" t="n"/>
      <c r="IYI1" s="24" t="n"/>
      <c r="IYJ1" s="24" t="n"/>
      <c r="IYK1" s="24" t="n"/>
      <c r="IYL1" s="24" t="n"/>
      <c r="IYM1" s="24" t="n"/>
      <c r="IYN1" s="24" t="n"/>
      <c r="IYO1" s="24" t="n"/>
      <c r="IYP1" s="24" t="n"/>
      <c r="IYQ1" s="24" t="n"/>
      <c r="IYR1" s="24" t="n"/>
      <c r="IYS1" s="24" t="n"/>
      <c r="IYT1" s="24" t="n"/>
      <c r="IYU1" s="24" t="n"/>
      <c r="IYV1" s="24" t="n"/>
      <c r="IYW1" s="24" t="n"/>
      <c r="IYX1" s="24" t="n"/>
      <c r="IYY1" s="24" t="n"/>
      <c r="IYZ1" s="24" t="n"/>
      <c r="IZA1" s="24" t="n"/>
      <c r="IZB1" s="24" t="n"/>
      <c r="IZC1" s="24" t="n"/>
      <c r="IZD1" s="24" t="n"/>
      <c r="IZE1" s="24" t="n"/>
      <c r="IZF1" s="24" t="n"/>
      <c r="IZG1" s="24" t="n"/>
      <c r="IZH1" s="24" t="n"/>
      <c r="IZI1" s="24" t="n"/>
      <c r="IZJ1" s="24" t="n"/>
      <c r="IZK1" s="24" t="n"/>
      <c r="IZL1" s="24" t="n"/>
      <c r="IZM1" s="24" t="n"/>
      <c r="IZN1" s="24" t="n"/>
      <c r="IZO1" s="24" t="n"/>
      <c r="IZP1" s="24" t="n"/>
      <c r="IZQ1" s="24" t="n"/>
      <c r="IZR1" s="24" t="n"/>
      <c r="IZS1" s="24" t="n"/>
      <c r="IZT1" s="24" t="n"/>
      <c r="IZU1" s="24" t="n"/>
      <c r="IZV1" s="24" t="n"/>
      <c r="IZW1" s="24" t="n"/>
      <c r="IZX1" s="24" t="n"/>
      <c r="IZY1" s="24" t="n"/>
      <c r="IZZ1" s="24" t="n"/>
      <c r="JAA1" s="24" t="n"/>
      <c r="JAB1" s="24" t="n"/>
      <c r="JAC1" s="24" t="n"/>
      <c r="JAD1" s="24" t="n"/>
      <c r="JAE1" s="24" t="n"/>
      <c r="JAF1" s="24" t="n"/>
      <c r="JAG1" s="24" t="n"/>
      <c r="JAH1" s="24" t="n"/>
      <c r="JAI1" s="24" t="n"/>
      <c r="JAJ1" s="24" t="n"/>
      <c r="JAK1" s="24" t="n"/>
      <c r="JAL1" s="24" t="n"/>
      <c r="JAM1" s="24" t="n"/>
      <c r="JAN1" s="24" t="n"/>
      <c r="JAO1" s="24" t="n"/>
      <c r="JAP1" s="24" t="n"/>
      <c r="JAQ1" s="24" t="n"/>
      <c r="JAR1" s="24" t="n"/>
      <c r="JAS1" s="24" t="n"/>
      <c r="JAT1" s="24" t="n"/>
      <c r="JAU1" s="24" t="n"/>
      <c r="JAV1" s="24" t="n"/>
      <c r="JAW1" s="24" t="n"/>
      <c r="JAX1" s="24" t="n"/>
      <c r="JAY1" s="24" t="n"/>
      <c r="JAZ1" s="24" t="n"/>
      <c r="JBA1" s="24" t="n"/>
      <c r="JBB1" s="24" t="n"/>
      <c r="JBC1" s="24" t="n"/>
      <c r="JBD1" s="24" t="n"/>
      <c r="JBE1" s="24" t="n"/>
      <c r="JBF1" s="24" t="n"/>
      <c r="JBG1" s="24" t="n"/>
      <c r="JBH1" s="24" t="n"/>
      <c r="JBI1" s="24" t="n"/>
      <c r="JBJ1" s="24" t="n"/>
      <c r="JBK1" s="24" t="n"/>
      <c r="JBL1" s="24" t="n"/>
      <c r="JBM1" s="24" t="n"/>
      <c r="JBN1" s="24" t="n"/>
      <c r="JBO1" s="24" t="n"/>
      <c r="JBP1" s="24" t="n"/>
      <c r="JBQ1" s="24" t="n"/>
      <c r="JBR1" s="24" t="n"/>
      <c r="JBS1" s="24" t="n"/>
      <c r="JBT1" s="24" t="n"/>
      <c r="JBU1" s="24" t="n"/>
      <c r="JBV1" s="24" t="n"/>
      <c r="JBW1" s="24" t="n"/>
      <c r="JBX1" s="24" t="n"/>
      <c r="JBY1" s="24" t="n"/>
      <c r="JBZ1" s="24" t="n"/>
      <c r="JCA1" s="24" t="n"/>
      <c r="JCB1" s="24" t="n"/>
      <c r="JCC1" s="24" t="n"/>
      <c r="JCD1" s="24" t="n"/>
      <c r="JCE1" s="24" t="n"/>
      <c r="JCF1" s="24" t="n"/>
      <c r="JCG1" s="24" t="n"/>
      <c r="JCH1" s="24" t="n"/>
      <c r="JCI1" s="24" t="n"/>
      <c r="JCJ1" s="24" t="n"/>
      <c r="JCK1" s="24" t="n"/>
      <c r="JCL1" s="24" t="n"/>
      <c r="JCM1" s="24" t="n"/>
      <c r="JCN1" s="24" t="n"/>
      <c r="JCO1" s="24" t="n"/>
      <c r="JCP1" s="24" t="n"/>
      <c r="JCQ1" s="24" t="n"/>
      <c r="JCR1" s="24" t="n"/>
      <c r="JCS1" s="24" t="n"/>
      <c r="JCT1" s="24" t="n"/>
      <c r="JCU1" s="24" t="n"/>
      <c r="JCV1" s="24" t="n"/>
      <c r="JCW1" s="24" t="n"/>
      <c r="JCX1" s="24" t="n"/>
      <c r="JCY1" s="24" t="n"/>
      <c r="JCZ1" s="24" t="n"/>
      <c r="JDA1" s="24" t="n"/>
      <c r="JDB1" s="24" t="n"/>
      <c r="JDC1" s="24" t="n"/>
      <c r="JDD1" s="24" t="n"/>
      <c r="JDE1" s="24" t="n"/>
      <c r="JDF1" s="24" t="n"/>
      <c r="JDG1" s="24" t="n"/>
      <c r="JDH1" s="24" t="n"/>
      <c r="JDI1" s="24" t="n"/>
      <c r="JDJ1" s="24" t="n"/>
      <c r="JDK1" s="24" t="n"/>
      <c r="JDL1" s="24" t="n"/>
      <c r="JDM1" s="24" t="n"/>
      <c r="JDN1" s="24" t="n"/>
      <c r="JDO1" s="24" t="n"/>
      <c r="JDP1" s="24" t="n"/>
      <c r="JDQ1" s="24" t="n"/>
      <c r="JDR1" s="24" t="n"/>
      <c r="JDS1" s="24" t="n"/>
      <c r="JDT1" s="24" t="n"/>
      <c r="JDU1" s="24" t="n"/>
      <c r="JDV1" s="24" t="n"/>
      <c r="JDW1" s="24" t="n"/>
      <c r="JDX1" s="24" t="n"/>
      <c r="JDY1" s="24" t="n"/>
      <c r="JDZ1" s="24" t="n"/>
      <c r="JEA1" s="24" t="n"/>
      <c r="JEB1" s="24" t="n"/>
      <c r="JEC1" s="24" t="n"/>
      <c r="JED1" s="24" t="n"/>
      <c r="JEE1" s="24" t="n"/>
      <c r="JEF1" s="24" t="n"/>
      <c r="JEG1" s="24" t="n"/>
      <c r="JEH1" s="24" t="n"/>
      <c r="JEI1" s="24" t="n"/>
      <c r="JEJ1" s="24" t="n"/>
      <c r="JEK1" s="24" t="n"/>
      <c r="JEL1" s="24" t="n"/>
      <c r="JEM1" s="24" t="n"/>
      <c r="JEN1" s="24" t="n"/>
      <c r="JEO1" s="24" t="n"/>
      <c r="JEP1" s="24" t="n"/>
      <c r="JEQ1" s="24" t="n"/>
      <c r="JER1" s="24" t="n"/>
      <c r="JES1" s="24" t="n"/>
      <c r="JET1" s="24" t="n"/>
      <c r="JEU1" s="24" t="n"/>
      <c r="JEV1" s="24" t="n"/>
      <c r="JEW1" s="24" t="n"/>
      <c r="JEX1" s="24" t="n"/>
      <c r="JEY1" s="24" t="n"/>
      <c r="JEZ1" s="24" t="n"/>
      <c r="JFA1" s="24" t="n"/>
      <c r="JFB1" s="24" t="n"/>
      <c r="JFC1" s="24" t="n"/>
      <c r="JFD1" s="24" t="n"/>
      <c r="JFE1" s="24" t="n"/>
      <c r="JFF1" s="24" t="n"/>
      <c r="JFG1" s="24" t="n"/>
      <c r="JFH1" s="24" t="n"/>
      <c r="JFI1" s="24" t="n"/>
      <c r="JFJ1" s="24" t="n"/>
      <c r="JFK1" s="24" t="n"/>
      <c r="JFL1" s="24" t="n"/>
      <c r="JFM1" s="24" t="n"/>
      <c r="JFN1" s="24" t="n"/>
      <c r="JFO1" s="24" t="n"/>
      <c r="JFP1" s="24" t="n"/>
      <c r="JFQ1" s="24" t="n"/>
      <c r="JFR1" s="24" t="n"/>
      <c r="JFS1" s="24" t="n"/>
      <c r="JFT1" s="24" t="n"/>
      <c r="JFU1" s="24" t="n"/>
      <c r="JFV1" s="24" t="n"/>
      <c r="JFW1" s="24" t="n"/>
      <c r="JFX1" s="24" t="n"/>
      <c r="JFY1" s="24" t="n"/>
      <c r="JFZ1" s="24" t="n"/>
      <c r="JGA1" s="24" t="n"/>
      <c r="JGB1" s="24" t="n"/>
      <c r="JGC1" s="24" t="n"/>
      <c r="JGD1" s="24" t="n"/>
      <c r="JGE1" s="24" t="n"/>
      <c r="JGF1" s="24" t="n"/>
      <c r="JGG1" s="24" t="n"/>
      <c r="JGH1" s="24" t="n"/>
      <c r="JGI1" s="24" t="n"/>
      <c r="JGJ1" s="24" t="n"/>
      <c r="JGK1" s="24" t="n"/>
      <c r="JGL1" s="24" t="n"/>
      <c r="JGM1" s="24" t="n"/>
      <c r="JGN1" s="24" t="n"/>
      <c r="JGO1" s="24" t="n"/>
      <c r="JGP1" s="24" t="n"/>
      <c r="JGQ1" s="24" t="n"/>
      <c r="JGR1" s="24" t="n"/>
      <c r="JGS1" s="24" t="n"/>
      <c r="JGT1" s="24" t="n"/>
      <c r="JGU1" s="24" t="n"/>
      <c r="JGV1" s="24" t="n"/>
      <c r="JGW1" s="24" t="n"/>
      <c r="JGX1" s="24" t="n"/>
      <c r="JGY1" s="24" t="n"/>
      <c r="JGZ1" s="24" t="n"/>
      <c r="JHA1" s="24" t="n"/>
      <c r="JHB1" s="24" t="n"/>
      <c r="JHC1" s="24" t="n"/>
      <c r="JHD1" s="24" t="n"/>
      <c r="JHE1" s="24" t="n"/>
      <c r="JHF1" s="24" t="n"/>
      <c r="JHG1" s="24" t="n"/>
      <c r="JHH1" s="24" t="n"/>
      <c r="JHI1" s="24" t="n"/>
      <c r="JHJ1" s="24" t="n"/>
      <c r="JHK1" s="24" t="n"/>
      <c r="JHL1" s="24" t="n"/>
      <c r="JHM1" s="24" t="n"/>
      <c r="JHN1" s="24" t="n"/>
      <c r="JHO1" s="24" t="n"/>
      <c r="JHP1" s="24" t="n"/>
      <c r="JHQ1" s="24" t="n"/>
      <c r="JHR1" s="24" t="n"/>
      <c r="JHS1" s="24" t="n"/>
      <c r="JHT1" s="24" t="n"/>
      <c r="JHU1" s="24" t="n"/>
      <c r="JHV1" s="24" t="n"/>
      <c r="JHW1" s="24" t="n"/>
      <c r="JHX1" s="24" t="n"/>
      <c r="JHY1" s="24" t="n"/>
      <c r="JHZ1" s="24" t="n"/>
      <c r="JIA1" s="24" t="n"/>
      <c r="JIB1" s="24" t="n"/>
      <c r="JIC1" s="24" t="n"/>
      <c r="JID1" s="24" t="n"/>
      <c r="JIE1" s="24" t="n"/>
      <c r="JIF1" s="24" t="n"/>
      <c r="JIG1" s="24" t="n"/>
      <c r="JIH1" s="24" t="n"/>
      <c r="JII1" s="24" t="n"/>
      <c r="JIJ1" s="24" t="n"/>
      <c r="JIK1" s="24" t="n"/>
      <c r="JIL1" s="24" t="n"/>
      <c r="JIM1" s="24" t="n"/>
      <c r="JIN1" s="24" t="n"/>
      <c r="JIO1" s="24" t="n"/>
      <c r="JIP1" s="24" t="n"/>
      <c r="JIQ1" s="24" t="n"/>
      <c r="JIR1" s="24" t="n"/>
      <c r="JIS1" s="24" t="n"/>
      <c r="JIT1" s="24" t="n"/>
      <c r="JIU1" s="24" t="n"/>
      <c r="JIV1" s="24" t="n"/>
      <c r="JIW1" s="24" t="n"/>
      <c r="JIX1" s="24" t="n"/>
      <c r="JIY1" s="24" t="n"/>
      <c r="JIZ1" s="24" t="n"/>
      <c r="JJA1" s="24" t="n"/>
      <c r="JJB1" s="24" t="n"/>
      <c r="JJC1" s="24" t="n"/>
      <c r="JJD1" s="24" t="n"/>
      <c r="JJE1" s="24" t="n"/>
      <c r="JJF1" s="24" t="n"/>
      <c r="JJG1" s="24" t="n"/>
      <c r="JJH1" s="24" t="n"/>
      <c r="JJI1" s="24" t="n"/>
      <c r="JJJ1" s="24" t="n"/>
      <c r="JJK1" s="24" t="n"/>
      <c r="JJL1" s="24" t="n"/>
      <c r="JJM1" s="24" t="n"/>
      <c r="JJN1" s="24" t="n"/>
      <c r="JJO1" s="24" t="n"/>
      <c r="JJP1" s="24" t="n"/>
      <c r="JJQ1" s="24" t="n"/>
      <c r="JJR1" s="24" t="n"/>
      <c r="JJS1" s="24" t="n"/>
      <c r="JJT1" s="24" t="n"/>
      <c r="JJU1" s="24" t="n"/>
      <c r="JJV1" s="24" t="n"/>
      <c r="JJW1" s="24" t="n"/>
      <c r="JJX1" s="24" t="n"/>
      <c r="JJY1" s="24" t="n"/>
      <c r="JJZ1" s="24" t="n"/>
      <c r="JKA1" s="24" t="n"/>
      <c r="JKB1" s="24" t="n"/>
      <c r="JKC1" s="24" t="n"/>
      <c r="JKD1" s="24" t="n"/>
      <c r="JKE1" s="24" t="n"/>
      <c r="JKF1" s="24" t="n"/>
      <c r="JKG1" s="24" t="n"/>
      <c r="JKH1" s="24" t="n"/>
      <c r="JKI1" s="24" t="n"/>
      <c r="JKJ1" s="24" t="n"/>
      <c r="JKK1" s="24" t="n"/>
      <c r="JKL1" s="24" t="n"/>
      <c r="JKM1" s="24" t="n"/>
      <c r="JKN1" s="24" t="n"/>
      <c r="JKO1" s="24" t="n"/>
      <c r="JKP1" s="24" t="n"/>
      <c r="JKQ1" s="24" t="n"/>
      <c r="JKR1" s="24" t="n"/>
      <c r="JKS1" s="24" t="n"/>
      <c r="JKT1" s="24" t="n"/>
      <c r="JKU1" s="24" t="n"/>
      <c r="JKV1" s="24" t="n"/>
      <c r="JKW1" s="24" t="n"/>
      <c r="JKX1" s="24" t="n"/>
      <c r="JKY1" s="24" t="n"/>
      <c r="JKZ1" s="24" t="n"/>
      <c r="JLA1" s="24" t="n"/>
      <c r="JLB1" s="24" t="n"/>
      <c r="JLC1" s="24" t="n"/>
      <c r="JLD1" s="24" t="n"/>
      <c r="JLE1" s="24" t="n"/>
      <c r="JLF1" s="24" t="n"/>
      <c r="JLG1" s="24" t="n"/>
      <c r="JLH1" s="24" t="n"/>
      <c r="JLI1" s="24" t="n"/>
      <c r="JLJ1" s="24" t="n"/>
      <c r="JLK1" s="24" t="n"/>
      <c r="JLL1" s="24" t="n"/>
      <c r="JLM1" s="24" t="n"/>
      <c r="JLN1" s="24" t="n"/>
      <c r="JLO1" s="24" t="n"/>
      <c r="JLP1" s="24" t="n"/>
      <c r="JLQ1" s="24" t="n"/>
      <c r="JLR1" s="24" t="n"/>
      <c r="JLS1" s="24" t="n"/>
      <c r="JLT1" s="24" t="n"/>
      <c r="JLU1" s="24" t="n"/>
      <c r="JLV1" s="24" t="n"/>
      <c r="JLW1" s="24" t="n"/>
      <c r="JLX1" s="24" t="n"/>
      <c r="JLY1" s="24" t="n"/>
      <c r="JLZ1" s="24" t="n"/>
      <c r="JMA1" s="24" t="n"/>
      <c r="JMB1" s="24" t="n"/>
      <c r="JMC1" s="24" t="n"/>
      <c r="JMD1" s="24" t="n"/>
      <c r="JME1" s="24" t="n"/>
      <c r="JMF1" s="24" t="n"/>
      <c r="JMG1" s="24" t="n"/>
      <c r="JMH1" s="24" t="n"/>
      <c r="JMI1" s="24" t="n"/>
      <c r="JMJ1" s="24" t="n"/>
      <c r="JMK1" s="24" t="n"/>
      <c r="JML1" s="24" t="n"/>
      <c r="JMM1" s="24" t="n"/>
      <c r="JMN1" s="24" t="n"/>
      <c r="JMO1" s="24" t="n"/>
      <c r="JMP1" s="24" t="n"/>
      <c r="JMQ1" s="24" t="n"/>
      <c r="JMR1" s="24" t="n"/>
      <c r="JMS1" s="24" t="n"/>
      <c r="JMT1" s="24" t="n"/>
      <c r="JMU1" s="24" t="n"/>
      <c r="JMV1" s="24" t="n"/>
      <c r="JMW1" s="24" t="n"/>
      <c r="JMX1" s="24" t="n"/>
      <c r="JMY1" s="24" t="n"/>
      <c r="JMZ1" s="24" t="n"/>
      <c r="JNA1" s="24" t="n"/>
      <c r="JNB1" s="24" t="n"/>
      <c r="JNC1" s="24" t="n"/>
      <c r="JND1" s="24" t="n"/>
      <c r="JNE1" s="24" t="n"/>
      <c r="JNF1" s="24" t="n"/>
      <c r="JNG1" s="24" t="n"/>
      <c r="JNH1" s="24" t="n"/>
      <c r="JNI1" s="24" t="n"/>
      <c r="JNJ1" s="24" t="n"/>
      <c r="JNK1" s="24" t="n"/>
      <c r="JNL1" s="24" t="n"/>
      <c r="JNM1" s="24" t="n"/>
      <c r="JNN1" s="24" t="n"/>
      <c r="JNO1" s="24" t="n"/>
      <c r="JNP1" s="24" t="n"/>
      <c r="JNQ1" s="24" t="n"/>
      <c r="JNR1" s="24" t="n"/>
      <c r="JNS1" s="24" t="n"/>
      <c r="JNT1" s="24" t="n"/>
      <c r="JNU1" s="24" t="n"/>
      <c r="JNV1" s="24" t="n"/>
      <c r="JNW1" s="24" t="n"/>
      <c r="JNX1" s="24" t="n"/>
      <c r="JNY1" s="24" t="n"/>
      <c r="JNZ1" s="24" t="n"/>
      <c r="JOA1" s="24" t="n"/>
      <c r="JOB1" s="24" t="n"/>
      <c r="JOC1" s="24" t="n"/>
      <c r="JOD1" s="24" t="n"/>
      <c r="JOE1" s="24" t="n"/>
      <c r="JOF1" s="24" t="n"/>
      <c r="JOG1" s="24" t="n"/>
      <c r="JOH1" s="24" t="n"/>
      <c r="JOI1" s="24" t="n"/>
      <c r="JOJ1" s="24" t="n"/>
      <c r="JOK1" s="24" t="n"/>
      <c r="JOL1" s="24" t="n"/>
      <c r="JOM1" s="24" t="n"/>
      <c r="JON1" s="24" t="n"/>
      <c r="JOO1" s="24" t="n"/>
      <c r="JOP1" s="24" t="n"/>
      <c r="JOQ1" s="24" t="n"/>
      <c r="JOR1" s="24" t="n"/>
      <c r="JOS1" s="24" t="n"/>
      <c r="JOT1" s="24" t="n"/>
      <c r="JOU1" s="24" t="n"/>
      <c r="JOV1" s="24" t="n"/>
      <c r="JOW1" s="24" t="n"/>
      <c r="JOX1" s="24" t="n"/>
      <c r="JOY1" s="24" t="n"/>
      <c r="JOZ1" s="24" t="n"/>
      <c r="JPA1" s="24" t="n"/>
      <c r="JPB1" s="24" t="n"/>
      <c r="JPC1" s="24" t="n"/>
      <c r="JPD1" s="24" t="n"/>
      <c r="JPE1" s="24" t="n"/>
      <c r="JPF1" s="24" t="n"/>
      <c r="JPG1" s="24" t="n"/>
      <c r="JPH1" s="24" t="n"/>
      <c r="JPI1" s="24" t="n"/>
      <c r="JPJ1" s="24" t="n"/>
      <c r="JPK1" s="24" t="n"/>
      <c r="JPL1" s="24" t="n"/>
      <c r="JPM1" s="24" t="n"/>
      <c r="JPN1" s="24" t="n"/>
      <c r="JPO1" s="24" t="n"/>
      <c r="JPP1" s="24" t="n"/>
      <c r="JPQ1" s="24" t="n"/>
      <c r="JPR1" s="24" t="n"/>
      <c r="JPS1" s="24" t="n"/>
      <c r="JPT1" s="24" t="n"/>
      <c r="JPU1" s="24" t="n"/>
      <c r="JPV1" s="24" t="n"/>
      <c r="JPW1" s="24" t="n"/>
      <c r="JPX1" s="24" t="n"/>
      <c r="JPY1" s="24" t="n"/>
      <c r="JPZ1" s="24" t="n"/>
      <c r="JQA1" s="24" t="n"/>
      <c r="JQB1" s="24" t="n"/>
      <c r="JQC1" s="24" t="n"/>
      <c r="JQD1" s="24" t="n"/>
      <c r="JQE1" s="24" t="n"/>
      <c r="JQF1" s="24" t="n"/>
      <c r="JQG1" s="24" t="n"/>
      <c r="JQH1" s="24" t="n"/>
      <c r="JQI1" s="24" t="n"/>
      <c r="JQJ1" s="24" t="n"/>
      <c r="JQK1" s="24" t="n"/>
      <c r="JQL1" s="24" t="n"/>
      <c r="JQM1" s="24" t="n"/>
      <c r="JQN1" s="24" t="n"/>
      <c r="JQO1" s="24" t="n"/>
      <c r="JQP1" s="24" t="n"/>
      <c r="JQQ1" s="24" t="n"/>
      <c r="JQR1" s="24" t="n"/>
      <c r="JQS1" s="24" t="n"/>
      <c r="JQT1" s="24" t="n"/>
      <c r="JQU1" s="24" t="n"/>
      <c r="JQV1" s="24" t="n"/>
      <c r="JQW1" s="24" t="n"/>
      <c r="JQX1" s="24" t="n"/>
      <c r="JQY1" s="24" t="n"/>
      <c r="JQZ1" s="24" t="n"/>
      <c r="JRA1" s="24" t="n"/>
      <c r="JRB1" s="24" t="n"/>
      <c r="JRC1" s="24" t="n"/>
      <c r="JRD1" s="24" t="n"/>
      <c r="JRE1" s="24" t="n"/>
      <c r="JRF1" s="24" t="n"/>
      <c r="JRG1" s="24" t="n"/>
      <c r="JRH1" s="24" t="n"/>
      <c r="JRI1" s="24" t="n"/>
      <c r="JRJ1" s="24" t="n"/>
      <c r="JRK1" s="24" t="n"/>
      <c r="JRL1" s="24" t="n"/>
      <c r="JRM1" s="24" t="n"/>
      <c r="JRN1" s="24" t="n"/>
      <c r="JRO1" s="24" t="n"/>
      <c r="JRP1" s="24" t="n"/>
      <c r="JRQ1" s="24" t="n"/>
      <c r="JRR1" s="24" t="n"/>
      <c r="JRS1" s="24" t="n"/>
      <c r="JRT1" s="24" t="n"/>
      <c r="JRU1" s="24" t="n"/>
      <c r="JRV1" s="24" t="n"/>
      <c r="JRW1" s="24" t="n"/>
      <c r="JRX1" s="24" t="n"/>
      <c r="JRY1" s="24" t="n"/>
      <c r="JRZ1" s="24" t="n"/>
      <c r="JSA1" s="24" t="n"/>
      <c r="JSB1" s="24" t="n"/>
      <c r="JSC1" s="24" t="n"/>
      <c r="JSD1" s="24" t="n"/>
      <c r="JSE1" s="24" t="n"/>
      <c r="JSF1" s="24" t="n"/>
      <c r="JSG1" s="24" t="n"/>
      <c r="JSH1" s="24" t="n"/>
      <c r="JSI1" s="24" t="n"/>
      <c r="JSJ1" s="24" t="n"/>
      <c r="JSK1" s="24" t="n"/>
      <c r="JSL1" s="24" t="n"/>
      <c r="JSM1" s="24" t="n"/>
      <c r="JSN1" s="24" t="n"/>
      <c r="JSO1" s="24" t="n"/>
      <c r="JSP1" s="24" t="n"/>
      <c r="JSQ1" s="24" t="n"/>
      <c r="JSR1" s="24" t="n"/>
      <c r="JSS1" s="24" t="n"/>
      <c r="JST1" s="24" t="n"/>
      <c r="JSU1" s="24" t="n"/>
      <c r="JSV1" s="24" t="n"/>
      <c r="JSW1" s="24" t="n"/>
      <c r="JSX1" s="24" t="n"/>
      <c r="JSY1" s="24" t="n"/>
      <c r="JSZ1" s="24" t="n"/>
      <c r="JTA1" s="24" t="n"/>
      <c r="JTB1" s="24" t="n"/>
      <c r="JTC1" s="24" t="n"/>
      <c r="JTD1" s="24" t="n"/>
      <c r="JTE1" s="24" t="n"/>
      <c r="JTF1" s="24" t="n"/>
      <c r="JTG1" s="24" t="n"/>
      <c r="JTH1" s="24" t="n"/>
      <c r="JTI1" s="24" t="n"/>
      <c r="JTJ1" s="24" t="n"/>
      <c r="JTK1" s="24" t="n"/>
      <c r="JTL1" s="24" t="n"/>
      <c r="JTM1" s="24" t="n"/>
      <c r="JTN1" s="24" t="n"/>
      <c r="JTO1" s="24" t="n"/>
      <c r="JTP1" s="24" t="n"/>
      <c r="JTQ1" s="24" t="n"/>
      <c r="JTR1" s="24" t="n"/>
      <c r="JTS1" s="24" t="n"/>
      <c r="JTT1" s="24" t="n"/>
      <c r="JTU1" s="24" t="n"/>
      <c r="JTV1" s="24" t="n"/>
      <c r="JTW1" s="24" t="n"/>
      <c r="JTX1" s="24" t="n"/>
      <c r="JTY1" s="24" t="n"/>
      <c r="JTZ1" s="24" t="n"/>
      <c r="JUA1" s="24" t="n"/>
      <c r="JUB1" s="24" t="n"/>
      <c r="JUC1" s="24" t="n"/>
      <c r="JUD1" s="24" t="n"/>
      <c r="JUE1" s="24" t="n"/>
      <c r="JUF1" s="24" t="n"/>
      <c r="JUG1" s="24" t="n"/>
      <c r="JUH1" s="24" t="n"/>
      <c r="JUI1" s="24" t="n"/>
      <c r="JUJ1" s="24" t="n"/>
      <c r="JUK1" s="24" t="n"/>
      <c r="JUL1" s="24" t="n"/>
      <c r="JUM1" s="24" t="n"/>
      <c r="JUN1" s="24" t="n"/>
      <c r="JUO1" s="24" t="n"/>
      <c r="JUP1" s="24" t="n"/>
      <c r="JUQ1" s="24" t="n"/>
      <c r="JUR1" s="24" t="n"/>
      <c r="JUS1" s="24" t="n"/>
      <c r="JUT1" s="24" t="n"/>
      <c r="JUU1" s="24" t="n"/>
      <c r="JUV1" s="24" t="n"/>
      <c r="JUW1" s="24" t="n"/>
      <c r="JUX1" s="24" t="n"/>
      <c r="JUY1" s="24" t="n"/>
      <c r="JUZ1" s="24" t="n"/>
      <c r="JVA1" s="24" t="n"/>
      <c r="JVB1" s="24" t="n"/>
      <c r="JVC1" s="24" t="n"/>
      <c r="JVD1" s="24" t="n"/>
      <c r="JVE1" s="24" t="n"/>
      <c r="JVF1" s="24" t="n"/>
      <c r="JVG1" s="24" t="n"/>
      <c r="JVH1" s="24" t="n"/>
      <c r="JVI1" s="24" t="n"/>
      <c r="JVJ1" s="24" t="n"/>
      <c r="JVK1" s="24" t="n"/>
      <c r="JVL1" s="24" t="n"/>
      <c r="JVM1" s="24" t="n"/>
      <c r="JVN1" s="24" t="n"/>
      <c r="JVO1" s="24" t="n"/>
      <c r="JVP1" s="24" t="n"/>
      <c r="JVQ1" s="24" t="n"/>
      <c r="JVR1" s="24" t="n"/>
      <c r="JVS1" s="24" t="n"/>
      <c r="JVT1" s="24" t="n"/>
      <c r="JVU1" s="24" t="n"/>
      <c r="JVV1" s="24" t="n"/>
      <c r="JVW1" s="24" t="n"/>
      <c r="JVX1" s="24" t="n"/>
      <c r="JVY1" s="24" t="n"/>
      <c r="JVZ1" s="24" t="n"/>
      <c r="JWA1" s="24" t="n"/>
      <c r="JWB1" s="24" t="n"/>
      <c r="JWC1" s="24" t="n"/>
      <c r="JWD1" s="24" t="n"/>
      <c r="JWE1" s="24" t="n"/>
      <c r="JWF1" s="24" t="n"/>
      <c r="JWG1" s="24" t="n"/>
      <c r="JWH1" s="24" t="n"/>
      <c r="JWI1" s="24" t="n"/>
      <c r="JWJ1" s="24" t="n"/>
      <c r="JWK1" s="24" t="n"/>
      <c r="JWL1" s="24" t="n"/>
      <c r="JWM1" s="24" t="n"/>
      <c r="JWN1" s="24" t="n"/>
      <c r="JWO1" s="24" t="n"/>
      <c r="JWP1" s="24" t="n"/>
      <c r="JWQ1" s="24" t="n"/>
      <c r="JWR1" s="24" t="n"/>
      <c r="JWS1" s="24" t="n"/>
      <c r="JWT1" s="24" t="n"/>
      <c r="JWU1" s="24" t="n"/>
      <c r="JWV1" s="24" t="n"/>
      <c r="JWW1" s="24" t="n"/>
      <c r="JWX1" s="24" t="n"/>
      <c r="JWY1" s="24" t="n"/>
      <c r="JWZ1" s="24" t="n"/>
      <c r="JXA1" s="24" t="n"/>
      <c r="JXB1" s="24" t="n"/>
      <c r="JXC1" s="24" t="n"/>
      <c r="JXD1" s="24" t="n"/>
      <c r="JXE1" s="24" t="n"/>
      <c r="JXF1" s="24" t="n"/>
      <c r="JXG1" s="24" t="n"/>
      <c r="JXH1" s="24" t="n"/>
      <c r="JXI1" s="24" t="n"/>
      <c r="JXJ1" s="24" t="n"/>
      <c r="JXK1" s="24" t="n"/>
      <c r="JXL1" s="24" t="n"/>
      <c r="JXM1" s="24" t="n"/>
      <c r="JXN1" s="24" t="n"/>
      <c r="JXO1" s="24" t="n"/>
      <c r="JXP1" s="24" t="n"/>
      <c r="JXQ1" s="24" t="n"/>
      <c r="JXR1" s="24" t="n"/>
      <c r="JXS1" s="24" t="n"/>
      <c r="JXT1" s="24" t="n"/>
      <c r="JXU1" s="24" t="n"/>
      <c r="JXV1" s="24" t="n"/>
      <c r="JXW1" s="24" t="n"/>
      <c r="JXX1" s="24" t="n"/>
      <c r="JXY1" s="24" t="n"/>
      <c r="JXZ1" s="24" t="n"/>
      <c r="JYA1" s="24" t="n"/>
      <c r="JYB1" s="24" t="n"/>
      <c r="JYC1" s="24" t="n"/>
      <c r="JYD1" s="24" t="n"/>
      <c r="JYE1" s="24" t="n"/>
      <c r="JYF1" s="24" t="n"/>
      <c r="JYG1" s="24" t="n"/>
      <c r="JYH1" s="24" t="n"/>
      <c r="JYI1" s="24" t="n"/>
      <c r="JYJ1" s="24" t="n"/>
      <c r="JYK1" s="24" t="n"/>
      <c r="JYL1" s="24" t="n"/>
      <c r="JYM1" s="24" t="n"/>
      <c r="JYN1" s="24" t="n"/>
      <c r="JYO1" s="24" t="n"/>
      <c r="JYP1" s="24" t="n"/>
      <c r="JYQ1" s="24" t="n"/>
      <c r="JYR1" s="24" t="n"/>
      <c r="JYS1" s="24" t="n"/>
      <c r="JYT1" s="24" t="n"/>
      <c r="JYU1" s="24" t="n"/>
      <c r="JYV1" s="24" t="n"/>
      <c r="JYW1" s="24" t="n"/>
      <c r="JYX1" s="24" t="n"/>
      <c r="JYY1" s="24" t="n"/>
      <c r="JYZ1" s="24" t="n"/>
      <c r="JZA1" s="24" t="n"/>
      <c r="JZB1" s="24" t="n"/>
      <c r="JZC1" s="24" t="n"/>
      <c r="JZD1" s="24" t="n"/>
      <c r="JZE1" s="24" t="n"/>
      <c r="JZF1" s="24" t="n"/>
      <c r="JZG1" s="24" t="n"/>
      <c r="JZH1" s="24" t="n"/>
      <c r="JZI1" s="24" t="n"/>
      <c r="JZJ1" s="24" t="n"/>
      <c r="JZK1" s="24" t="n"/>
      <c r="JZL1" s="24" t="n"/>
      <c r="JZM1" s="24" t="n"/>
      <c r="JZN1" s="24" t="n"/>
      <c r="JZO1" s="24" t="n"/>
      <c r="JZP1" s="24" t="n"/>
      <c r="JZQ1" s="24" t="n"/>
      <c r="JZR1" s="24" t="n"/>
      <c r="JZS1" s="24" t="n"/>
      <c r="JZT1" s="24" t="n"/>
      <c r="JZU1" s="24" t="n"/>
      <c r="JZV1" s="24" t="n"/>
      <c r="JZW1" s="24" t="n"/>
      <c r="JZX1" s="24" t="n"/>
      <c r="JZY1" s="24" t="n"/>
      <c r="JZZ1" s="24" t="n"/>
      <c r="KAA1" s="24" t="n"/>
      <c r="KAB1" s="24" t="n"/>
      <c r="KAC1" s="24" t="n"/>
      <c r="KAD1" s="24" t="n"/>
      <c r="KAE1" s="24" t="n"/>
      <c r="KAF1" s="24" t="n"/>
      <c r="KAG1" s="24" t="n"/>
      <c r="KAH1" s="24" t="n"/>
      <c r="KAI1" s="24" t="n"/>
      <c r="KAJ1" s="24" t="n"/>
      <c r="KAK1" s="24" t="n"/>
      <c r="KAL1" s="24" t="n"/>
      <c r="KAM1" s="24" t="n"/>
      <c r="KAN1" s="24" t="n"/>
      <c r="KAO1" s="24" t="n"/>
      <c r="KAP1" s="24" t="n"/>
      <c r="KAQ1" s="24" t="n"/>
      <c r="KAR1" s="24" t="n"/>
      <c r="KAS1" s="24" t="n"/>
      <c r="KAT1" s="24" t="n"/>
      <c r="KAU1" s="24" t="n"/>
      <c r="KAV1" s="24" t="n"/>
      <c r="KAW1" s="24" t="n"/>
      <c r="KAX1" s="24" t="n"/>
      <c r="KAY1" s="24" t="n"/>
      <c r="KAZ1" s="24" t="n"/>
      <c r="KBA1" s="24" t="n"/>
      <c r="KBB1" s="24" t="n"/>
      <c r="KBC1" s="24" t="n"/>
      <c r="KBD1" s="24" t="n"/>
      <c r="KBE1" s="24" t="n"/>
      <c r="KBF1" s="24" t="n"/>
      <c r="KBG1" s="24" t="n"/>
      <c r="KBH1" s="24" t="n"/>
      <c r="KBI1" s="24" t="n"/>
      <c r="KBJ1" s="24" t="n"/>
      <c r="KBK1" s="24" t="n"/>
      <c r="KBL1" s="24" t="n"/>
      <c r="KBM1" s="24" t="n"/>
      <c r="KBN1" s="24" t="n"/>
      <c r="KBO1" s="24" t="n"/>
      <c r="KBP1" s="24" t="n"/>
      <c r="KBQ1" s="24" t="n"/>
      <c r="KBR1" s="24" t="n"/>
      <c r="KBS1" s="24" t="n"/>
      <c r="KBT1" s="24" t="n"/>
      <c r="KBU1" s="24" t="n"/>
      <c r="KBV1" s="24" t="n"/>
      <c r="KBW1" s="24" t="n"/>
      <c r="KBX1" s="24" t="n"/>
      <c r="KBY1" s="24" t="n"/>
      <c r="KBZ1" s="24" t="n"/>
      <c r="KCA1" s="24" t="n"/>
      <c r="KCB1" s="24" t="n"/>
      <c r="KCC1" s="24" t="n"/>
      <c r="KCD1" s="24" t="n"/>
      <c r="KCE1" s="24" t="n"/>
      <c r="KCF1" s="24" t="n"/>
      <c r="KCG1" s="24" t="n"/>
      <c r="KCH1" s="24" t="n"/>
      <c r="KCI1" s="24" t="n"/>
      <c r="KCJ1" s="24" t="n"/>
      <c r="KCK1" s="24" t="n"/>
      <c r="KCL1" s="24" t="n"/>
      <c r="KCM1" s="24" t="n"/>
      <c r="KCN1" s="24" t="n"/>
      <c r="KCO1" s="24" t="n"/>
      <c r="KCP1" s="24" t="n"/>
      <c r="KCQ1" s="24" t="n"/>
      <c r="KCR1" s="24" t="n"/>
      <c r="KCS1" s="24" t="n"/>
      <c r="KCT1" s="24" t="n"/>
      <c r="KCU1" s="24" t="n"/>
      <c r="KCV1" s="24" t="n"/>
      <c r="KCW1" s="24" t="n"/>
      <c r="KCX1" s="24" t="n"/>
      <c r="KCY1" s="24" t="n"/>
      <c r="KCZ1" s="24" t="n"/>
      <c r="KDA1" s="24" t="n"/>
      <c r="KDB1" s="24" t="n"/>
      <c r="KDC1" s="24" t="n"/>
      <c r="KDD1" s="24" t="n"/>
      <c r="KDE1" s="24" t="n"/>
      <c r="KDF1" s="24" t="n"/>
      <c r="KDG1" s="24" t="n"/>
      <c r="KDH1" s="24" t="n"/>
      <c r="KDI1" s="24" t="n"/>
      <c r="KDJ1" s="24" t="n"/>
      <c r="KDK1" s="24" t="n"/>
      <c r="KDL1" s="24" t="n"/>
      <c r="KDM1" s="24" t="n"/>
      <c r="KDN1" s="24" t="n"/>
      <c r="KDO1" s="24" t="n"/>
      <c r="KDP1" s="24" t="n"/>
      <c r="KDQ1" s="24" t="n"/>
      <c r="KDR1" s="24" t="n"/>
      <c r="KDS1" s="24" t="n"/>
      <c r="KDT1" s="24" t="n"/>
      <c r="KDU1" s="24" t="n"/>
      <c r="KDV1" s="24" t="n"/>
      <c r="KDW1" s="24" t="n"/>
      <c r="KDX1" s="24" t="n"/>
      <c r="KDY1" s="24" t="n"/>
      <c r="KDZ1" s="24" t="n"/>
      <c r="KEA1" s="24" t="n"/>
      <c r="KEB1" s="24" t="n"/>
      <c r="KEC1" s="24" t="n"/>
      <c r="KED1" s="24" t="n"/>
      <c r="KEE1" s="24" t="n"/>
      <c r="KEF1" s="24" t="n"/>
      <c r="KEG1" s="24" t="n"/>
      <c r="KEH1" s="24" t="n"/>
      <c r="KEI1" s="24" t="n"/>
      <c r="KEJ1" s="24" t="n"/>
      <c r="KEK1" s="24" t="n"/>
      <c r="KEL1" s="24" t="n"/>
      <c r="KEM1" s="24" t="n"/>
      <c r="KEN1" s="24" t="n"/>
      <c r="KEO1" s="24" t="n"/>
      <c r="KEP1" s="24" t="n"/>
      <c r="KEQ1" s="24" t="n"/>
      <c r="KER1" s="24" t="n"/>
      <c r="KES1" s="24" t="n"/>
      <c r="KET1" s="24" t="n"/>
      <c r="KEU1" s="24" t="n"/>
      <c r="KEV1" s="24" t="n"/>
      <c r="KEW1" s="24" t="n"/>
      <c r="KEX1" s="24" t="n"/>
      <c r="KEY1" s="24" t="n"/>
      <c r="KEZ1" s="24" t="n"/>
      <c r="KFA1" s="24" t="n"/>
      <c r="KFB1" s="24" t="n"/>
      <c r="KFC1" s="24" t="n"/>
      <c r="KFD1" s="24" t="n"/>
      <c r="KFE1" s="24" t="n"/>
      <c r="KFF1" s="24" t="n"/>
      <c r="KFG1" s="24" t="n"/>
      <c r="KFH1" s="24" t="n"/>
      <c r="KFI1" s="24" t="n"/>
      <c r="KFJ1" s="24" t="n"/>
      <c r="KFK1" s="24" t="n"/>
      <c r="KFL1" s="24" t="n"/>
      <c r="KFM1" s="24" t="n"/>
      <c r="KFN1" s="24" t="n"/>
      <c r="KFO1" s="24" t="n"/>
      <c r="KFP1" s="24" t="n"/>
      <c r="KFQ1" s="24" t="n"/>
      <c r="KFR1" s="24" t="n"/>
      <c r="KFS1" s="24" t="n"/>
      <c r="KFT1" s="24" t="n"/>
      <c r="KFU1" s="24" t="n"/>
      <c r="KFV1" s="24" t="n"/>
      <c r="KFW1" s="24" t="n"/>
      <c r="KFX1" s="24" t="n"/>
      <c r="KFY1" s="24" t="n"/>
      <c r="KFZ1" s="24" t="n"/>
      <c r="KGA1" s="24" t="n"/>
      <c r="KGB1" s="24" t="n"/>
      <c r="KGC1" s="24" t="n"/>
      <c r="KGD1" s="24" t="n"/>
      <c r="KGE1" s="24" t="n"/>
      <c r="KGF1" s="24" t="n"/>
      <c r="KGG1" s="24" t="n"/>
      <c r="KGH1" s="24" t="n"/>
      <c r="KGI1" s="24" t="n"/>
      <c r="KGJ1" s="24" t="n"/>
      <c r="KGK1" s="24" t="n"/>
      <c r="KGL1" s="24" t="n"/>
      <c r="KGM1" s="24" t="n"/>
      <c r="KGN1" s="24" t="n"/>
      <c r="KGO1" s="24" t="n"/>
      <c r="KGP1" s="24" t="n"/>
      <c r="KGQ1" s="24" t="n"/>
      <c r="KGR1" s="24" t="n"/>
      <c r="KGS1" s="24" t="n"/>
      <c r="KGT1" s="24" t="n"/>
      <c r="KGU1" s="24" t="n"/>
      <c r="KGV1" s="24" t="n"/>
      <c r="KGW1" s="24" t="n"/>
      <c r="KGX1" s="24" t="n"/>
      <c r="KGY1" s="24" t="n"/>
      <c r="KGZ1" s="24" t="n"/>
      <c r="KHA1" s="24" t="n"/>
      <c r="KHB1" s="24" t="n"/>
      <c r="KHC1" s="24" t="n"/>
      <c r="KHD1" s="24" t="n"/>
      <c r="KHE1" s="24" t="n"/>
      <c r="KHF1" s="24" t="n"/>
      <c r="KHG1" s="24" t="n"/>
      <c r="KHH1" s="24" t="n"/>
      <c r="KHI1" s="24" t="n"/>
      <c r="KHJ1" s="24" t="n"/>
      <c r="KHK1" s="24" t="n"/>
      <c r="KHL1" s="24" t="n"/>
      <c r="KHM1" s="24" t="n"/>
      <c r="KHN1" s="24" t="n"/>
      <c r="KHO1" s="24" t="n"/>
      <c r="KHP1" s="24" t="n"/>
      <c r="KHQ1" s="24" t="n"/>
      <c r="KHR1" s="24" t="n"/>
      <c r="KHS1" s="24" t="n"/>
      <c r="KHT1" s="24" t="n"/>
      <c r="KHU1" s="24" t="n"/>
      <c r="KHV1" s="24" t="n"/>
      <c r="KHW1" s="24" t="n"/>
      <c r="KHX1" s="24" t="n"/>
      <c r="KHY1" s="24" t="n"/>
      <c r="KHZ1" s="24" t="n"/>
      <c r="KIA1" s="24" t="n"/>
      <c r="KIB1" s="24" t="n"/>
      <c r="KIC1" s="24" t="n"/>
      <c r="KID1" s="24" t="n"/>
      <c r="KIE1" s="24" t="n"/>
      <c r="KIF1" s="24" t="n"/>
      <c r="KIG1" s="24" t="n"/>
      <c r="KIH1" s="24" t="n"/>
      <c r="KII1" s="24" t="n"/>
      <c r="KIJ1" s="24" t="n"/>
      <c r="KIK1" s="24" t="n"/>
      <c r="KIL1" s="24" t="n"/>
      <c r="KIM1" s="24" t="n"/>
      <c r="KIN1" s="24" t="n"/>
      <c r="KIO1" s="24" t="n"/>
      <c r="KIP1" s="24" t="n"/>
      <c r="KIQ1" s="24" t="n"/>
      <c r="KIR1" s="24" t="n"/>
      <c r="KIS1" s="24" t="n"/>
      <c r="KIT1" s="24" t="n"/>
      <c r="KIU1" s="24" t="n"/>
      <c r="KIV1" s="24" t="n"/>
      <c r="KIW1" s="24" t="n"/>
      <c r="KIX1" s="24" t="n"/>
      <c r="KIY1" s="24" t="n"/>
      <c r="KIZ1" s="24" t="n"/>
      <c r="KJA1" s="24" t="n"/>
      <c r="KJB1" s="24" t="n"/>
      <c r="KJC1" s="24" t="n"/>
      <c r="KJD1" s="24" t="n"/>
      <c r="KJE1" s="24" t="n"/>
      <c r="KJF1" s="24" t="n"/>
      <c r="KJG1" s="24" t="n"/>
      <c r="KJH1" s="24" t="n"/>
      <c r="KJI1" s="24" t="n"/>
      <c r="KJJ1" s="24" t="n"/>
      <c r="KJK1" s="24" t="n"/>
      <c r="KJL1" s="24" t="n"/>
      <c r="KJM1" s="24" t="n"/>
      <c r="KJN1" s="24" t="n"/>
      <c r="KJO1" s="24" t="n"/>
      <c r="KJP1" s="24" t="n"/>
      <c r="KJQ1" s="24" t="n"/>
      <c r="KJR1" s="24" t="n"/>
      <c r="KJS1" s="24" t="n"/>
      <c r="KJT1" s="24" t="n"/>
      <c r="KJU1" s="24" t="n"/>
      <c r="KJV1" s="24" t="n"/>
      <c r="KJW1" s="24" t="n"/>
      <c r="KJX1" s="24" t="n"/>
      <c r="KJY1" s="24" t="n"/>
      <c r="KJZ1" s="24" t="n"/>
      <c r="KKA1" s="24" t="n"/>
      <c r="KKB1" s="24" t="n"/>
      <c r="KKC1" s="24" t="n"/>
      <c r="KKD1" s="24" t="n"/>
      <c r="KKE1" s="24" t="n"/>
      <c r="KKF1" s="24" t="n"/>
      <c r="KKG1" s="24" t="n"/>
      <c r="KKH1" s="24" t="n"/>
      <c r="KKI1" s="24" t="n"/>
      <c r="KKJ1" s="24" t="n"/>
      <c r="KKK1" s="24" t="n"/>
      <c r="KKL1" s="24" t="n"/>
      <c r="KKM1" s="24" t="n"/>
      <c r="KKN1" s="24" t="n"/>
      <c r="KKO1" s="24" t="n"/>
      <c r="KKP1" s="24" t="n"/>
      <c r="KKQ1" s="24" t="n"/>
      <c r="KKR1" s="24" t="n"/>
      <c r="KKS1" s="24" t="n"/>
      <c r="KKT1" s="24" t="n"/>
      <c r="KKU1" s="24" t="n"/>
      <c r="KKV1" s="24" t="n"/>
      <c r="KKW1" s="24" t="n"/>
      <c r="KKX1" s="24" t="n"/>
      <c r="KKY1" s="24" t="n"/>
      <c r="KKZ1" s="24" t="n"/>
      <c r="KLA1" s="24" t="n"/>
      <c r="KLB1" s="24" t="n"/>
      <c r="KLC1" s="24" t="n"/>
      <c r="KLD1" s="24" t="n"/>
      <c r="KLE1" s="24" t="n"/>
      <c r="KLF1" s="24" t="n"/>
      <c r="KLG1" s="24" t="n"/>
      <c r="KLH1" s="24" t="n"/>
      <c r="KLI1" s="24" t="n"/>
      <c r="KLJ1" s="24" t="n"/>
      <c r="KLK1" s="24" t="n"/>
      <c r="KLL1" s="24" t="n"/>
      <c r="KLM1" s="24" t="n"/>
      <c r="KLN1" s="24" t="n"/>
      <c r="KLO1" s="24" t="n"/>
      <c r="KLP1" s="24" t="n"/>
      <c r="KLQ1" s="24" t="n"/>
      <c r="KLR1" s="24" t="n"/>
      <c r="KLS1" s="24" t="n"/>
      <c r="KLT1" s="24" t="n"/>
      <c r="KLU1" s="24" t="n"/>
      <c r="KLV1" s="24" t="n"/>
      <c r="KLW1" s="24" t="n"/>
      <c r="KLX1" s="24" t="n"/>
      <c r="KLY1" s="24" t="n"/>
      <c r="KLZ1" s="24" t="n"/>
      <c r="KMA1" s="24" t="n"/>
      <c r="KMB1" s="24" t="n"/>
      <c r="KMC1" s="24" t="n"/>
      <c r="KMD1" s="24" t="n"/>
      <c r="KME1" s="24" t="n"/>
      <c r="KMF1" s="24" t="n"/>
      <c r="KMG1" s="24" t="n"/>
      <c r="KMH1" s="24" t="n"/>
      <c r="KMI1" s="24" t="n"/>
      <c r="KMJ1" s="24" t="n"/>
      <c r="KMK1" s="24" t="n"/>
      <c r="KML1" s="24" t="n"/>
      <c r="KMM1" s="24" t="n"/>
      <c r="KMN1" s="24" t="n"/>
      <c r="KMO1" s="24" t="n"/>
      <c r="KMP1" s="24" t="n"/>
      <c r="KMQ1" s="24" t="n"/>
      <c r="KMR1" s="24" t="n"/>
      <c r="KMS1" s="24" t="n"/>
      <c r="KMT1" s="24" t="n"/>
      <c r="KMU1" s="24" t="n"/>
      <c r="KMV1" s="24" t="n"/>
      <c r="KMW1" s="24" t="n"/>
      <c r="KMX1" s="24" t="n"/>
      <c r="KMY1" s="24" t="n"/>
      <c r="KMZ1" s="24" t="n"/>
      <c r="KNA1" s="24" t="n"/>
      <c r="KNB1" s="24" t="n"/>
      <c r="KNC1" s="24" t="n"/>
      <c r="KND1" s="24" t="n"/>
      <c r="KNE1" s="24" t="n"/>
      <c r="KNF1" s="24" t="n"/>
      <c r="KNG1" s="24" t="n"/>
      <c r="KNH1" s="24" t="n"/>
      <c r="KNI1" s="24" t="n"/>
      <c r="KNJ1" s="24" t="n"/>
      <c r="KNK1" s="24" t="n"/>
      <c r="KNL1" s="24" t="n"/>
      <c r="KNM1" s="24" t="n"/>
      <c r="KNN1" s="24" t="n"/>
      <c r="KNO1" s="24" t="n"/>
      <c r="KNP1" s="24" t="n"/>
      <c r="KNQ1" s="24" t="n"/>
      <c r="KNR1" s="24" t="n"/>
      <c r="KNS1" s="24" t="n"/>
      <c r="KNT1" s="24" t="n"/>
      <c r="KNU1" s="24" t="n"/>
      <c r="KNV1" s="24" t="n"/>
      <c r="KNW1" s="24" t="n"/>
      <c r="KNX1" s="24" t="n"/>
      <c r="KNY1" s="24" t="n"/>
      <c r="KNZ1" s="24" t="n"/>
      <c r="KOA1" s="24" t="n"/>
      <c r="KOB1" s="24" t="n"/>
      <c r="KOC1" s="24" t="n"/>
      <c r="KOD1" s="24" t="n"/>
      <c r="KOE1" s="24" t="n"/>
      <c r="KOF1" s="24" t="n"/>
      <c r="KOG1" s="24" t="n"/>
      <c r="KOH1" s="24" t="n"/>
      <c r="KOI1" s="24" t="n"/>
      <c r="KOJ1" s="24" t="n"/>
      <c r="KOK1" s="24" t="n"/>
      <c r="KOL1" s="24" t="n"/>
      <c r="KOM1" s="24" t="n"/>
      <c r="KON1" s="24" t="n"/>
      <c r="KOO1" s="24" t="n"/>
      <c r="KOP1" s="24" t="n"/>
      <c r="KOQ1" s="24" t="n"/>
      <c r="KOR1" s="24" t="n"/>
      <c r="KOS1" s="24" t="n"/>
      <c r="KOT1" s="24" t="n"/>
      <c r="KOU1" s="24" t="n"/>
      <c r="KOV1" s="24" t="n"/>
      <c r="KOW1" s="24" t="n"/>
      <c r="KOX1" s="24" t="n"/>
      <c r="KOY1" s="24" t="n"/>
      <c r="KOZ1" s="24" t="n"/>
      <c r="KPA1" s="24" t="n"/>
      <c r="KPB1" s="24" t="n"/>
      <c r="KPC1" s="24" t="n"/>
      <c r="KPD1" s="24" t="n"/>
      <c r="KPE1" s="24" t="n"/>
      <c r="KPF1" s="24" t="n"/>
      <c r="KPG1" s="24" t="n"/>
      <c r="KPH1" s="24" t="n"/>
      <c r="KPI1" s="24" t="n"/>
      <c r="KPJ1" s="24" t="n"/>
      <c r="KPK1" s="24" t="n"/>
      <c r="KPL1" s="24" t="n"/>
      <c r="KPM1" s="24" t="n"/>
      <c r="KPN1" s="24" t="n"/>
      <c r="KPO1" s="24" t="n"/>
      <c r="KPP1" s="24" t="n"/>
      <c r="KPQ1" s="24" t="n"/>
      <c r="KPR1" s="24" t="n"/>
      <c r="KPS1" s="24" t="n"/>
      <c r="KPT1" s="24" t="n"/>
      <c r="KPU1" s="24" t="n"/>
      <c r="KPV1" s="24" t="n"/>
      <c r="KPW1" s="24" t="n"/>
      <c r="KPX1" s="24" t="n"/>
      <c r="KPY1" s="24" t="n"/>
      <c r="KPZ1" s="24" t="n"/>
      <c r="KQA1" s="24" t="n"/>
      <c r="KQB1" s="24" t="n"/>
      <c r="KQC1" s="24" t="n"/>
      <c r="KQD1" s="24" t="n"/>
      <c r="KQE1" s="24" t="n"/>
      <c r="KQF1" s="24" t="n"/>
      <c r="KQG1" s="24" t="n"/>
      <c r="KQH1" s="24" t="n"/>
      <c r="KQI1" s="24" t="n"/>
      <c r="KQJ1" s="24" t="n"/>
      <c r="KQK1" s="24" t="n"/>
      <c r="KQL1" s="24" t="n"/>
      <c r="KQM1" s="24" t="n"/>
      <c r="KQN1" s="24" t="n"/>
      <c r="KQO1" s="24" t="n"/>
      <c r="KQP1" s="24" t="n"/>
      <c r="KQQ1" s="24" t="n"/>
      <c r="KQR1" s="24" t="n"/>
      <c r="KQS1" s="24" t="n"/>
      <c r="KQT1" s="24" t="n"/>
      <c r="KQU1" s="24" t="n"/>
      <c r="KQV1" s="24" t="n"/>
      <c r="KQW1" s="24" t="n"/>
      <c r="KQX1" s="24" t="n"/>
      <c r="KQY1" s="24" t="n"/>
      <c r="KQZ1" s="24" t="n"/>
      <c r="KRA1" s="24" t="n"/>
      <c r="KRB1" s="24" t="n"/>
      <c r="KRC1" s="24" t="n"/>
      <c r="KRD1" s="24" t="n"/>
      <c r="KRE1" s="24" t="n"/>
      <c r="KRF1" s="24" t="n"/>
      <c r="KRG1" s="24" t="n"/>
      <c r="KRH1" s="24" t="n"/>
      <c r="KRI1" s="24" t="n"/>
      <c r="KRJ1" s="24" t="n"/>
      <c r="KRK1" s="24" t="n"/>
      <c r="KRL1" s="24" t="n"/>
      <c r="KRM1" s="24" t="n"/>
      <c r="KRN1" s="24" t="n"/>
      <c r="KRO1" s="24" t="n"/>
      <c r="KRP1" s="24" t="n"/>
      <c r="KRQ1" s="24" t="n"/>
      <c r="KRR1" s="24" t="n"/>
      <c r="KRS1" s="24" t="n"/>
      <c r="KRT1" s="24" t="n"/>
      <c r="KRU1" s="24" t="n"/>
      <c r="KRV1" s="24" t="n"/>
      <c r="KRW1" s="24" t="n"/>
      <c r="KRX1" s="24" t="n"/>
      <c r="KRY1" s="24" t="n"/>
      <c r="KRZ1" s="24" t="n"/>
      <c r="KSA1" s="24" t="n"/>
      <c r="KSB1" s="24" t="n"/>
      <c r="KSC1" s="24" t="n"/>
      <c r="KSD1" s="24" t="n"/>
      <c r="KSE1" s="24" t="n"/>
      <c r="KSF1" s="24" t="n"/>
      <c r="KSG1" s="24" t="n"/>
      <c r="KSH1" s="24" t="n"/>
      <c r="KSI1" s="24" t="n"/>
      <c r="KSJ1" s="24" t="n"/>
      <c r="KSK1" s="24" t="n"/>
      <c r="KSL1" s="24" t="n"/>
      <c r="KSM1" s="24" t="n"/>
      <c r="KSN1" s="24" t="n"/>
      <c r="KSO1" s="24" t="n"/>
      <c r="KSP1" s="24" t="n"/>
      <c r="KSQ1" s="24" t="n"/>
      <c r="KSR1" s="24" t="n"/>
      <c r="KSS1" s="24" t="n"/>
      <c r="KST1" s="24" t="n"/>
      <c r="KSU1" s="24" t="n"/>
      <c r="KSV1" s="24" t="n"/>
      <c r="KSW1" s="24" t="n"/>
      <c r="KSX1" s="24" t="n"/>
      <c r="KSY1" s="24" t="n"/>
      <c r="KSZ1" s="24" t="n"/>
      <c r="KTA1" s="24" t="n"/>
      <c r="KTB1" s="24" t="n"/>
      <c r="KTC1" s="24" t="n"/>
      <c r="KTD1" s="24" t="n"/>
      <c r="KTE1" s="24" t="n"/>
      <c r="KTF1" s="24" t="n"/>
      <c r="KTG1" s="24" t="n"/>
      <c r="KTH1" s="24" t="n"/>
      <c r="KTI1" s="24" t="n"/>
      <c r="KTJ1" s="24" t="n"/>
      <c r="KTK1" s="24" t="n"/>
      <c r="KTL1" s="24" t="n"/>
      <c r="KTM1" s="24" t="n"/>
      <c r="KTN1" s="24" t="n"/>
      <c r="KTO1" s="24" t="n"/>
      <c r="KTP1" s="24" t="n"/>
      <c r="KTQ1" s="24" t="n"/>
      <c r="KTR1" s="24" t="n"/>
      <c r="KTS1" s="24" t="n"/>
      <c r="KTT1" s="24" t="n"/>
      <c r="KTU1" s="24" t="n"/>
      <c r="KTV1" s="24" t="n"/>
      <c r="KTW1" s="24" t="n"/>
      <c r="KTX1" s="24" t="n"/>
      <c r="KTY1" s="24" t="n"/>
      <c r="KTZ1" s="24" t="n"/>
      <c r="KUA1" s="24" t="n"/>
      <c r="KUB1" s="24" t="n"/>
      <c r="KUC1" s="24" t="n"/>
      <c r="KUD1" s="24" t="n"/>
      <c r="KUE1" s="24" t="n"/>
      <c r="KUF1" s="24" t="n"/>
      <c r="KUG1" s="24" t="n"/>
      <c r="KUH1" s="24" t="n"/>
      <c r="KUI1" s="24" t="n"/>
      <c r="KUJ1" s="24" t="n"/>
      <c r="KUK1" s="24" t="n"/>
      <c r="KUL1" s="24" t="n"/>
      <c r="KUM1" s="24" t="n"/>
      <c r="KUN1" s="24" t="n"/>
      <c r="KUO1" s="24" t="n"/>
      <c r="KUP1" s="24" t="n"/>
      <c r="KUQ1" s="24" t="n"/>
      <c r="KUR1" s="24" t="n"/>
      <c r="KUS1" s="24" t="n"/>
      <c r="KUT1" s="24" t="n"/>
      <c r="KUU1" s="24" t="n"/>
      <c r="KUV1" s="24" t="n"/>
      <c r="KUW1" s="24" t="n"/>
      <c r="KUX1" s="24" t="n"/>
      <c r="KUY1" s="24" t="n"/>
      <c r="KUZ1" s="24" t="n"/>
      <c r="KVA1" s="24" t="n"/>
      <c r="KVB1" s="24" t="n"/>
      <c r="KVC1" s="24" t="n"/>
      <c r="KVD1" s="24" t="n"/>
      <c r="KVE1" s="24" t="n"/>
      <c r="KVF1" s="24" t="n"/>
      <c r="KVG1" s="24" t="n"/>
      <c r="KVH1" s="24" t="n"/>
      <c r="KVI1" s="24" t="n"/>
      <c r="KVJ1" s="24" t="n"/>
      <c r="KVK1" s="24" t="n"/>
      <c r="KVL1" s="24" t="n"/>
      <c r="KVM1" s="24" t="n"/>
      <c r="KVN1" s="24" t="n"/>
      <c r="KVO1" s="24" t="n"/>
      <c r="KVP1" s="24" t="n"/>
      <c r="KVQ1" s="24" t="n"/>
      <c r="KVR1" s="24" t="n"/>
      <c r="KVS1" s="24" t="n"/>
      <c r="KVT1" s="24" t="n"/>
      <c r="KVU1" s="24" t="n"/>
      <c r="KVV1" s="24" t="n"/>
      <c r="KVW1" s="24" t="n"/>
      <c r="KVX1" s="24" t="n"/>
      <c r="KVY1" s="24" t="n"/>
      <c r="KVZ1" s="24" t="n"/>
      <c r="KWA1" s="24" t="n"/>
      <c r="KWB1" s="24" t="n"/>
      <c r="KWC1" s="24" t="n"/>
      <c r="KWD1" s="24" t="n"/>
      <c r="KWE1" s="24" t="n"/>
      <c r="KWF1" s="24" t="n"/>
      <c r="KWG1" s="24" t="n"/>
      <c r="KWH1" s="24" t="n"/>
      <c r="KWI1" s="24" t="n"/>
      <c r="KWJ1" s="24" t="n"/>
      <c r="KWK1" s="24" t="n"/>
      <c r="KWL1" s="24" t="n"/>
      <c r="KWM1" s="24" t="n"/>
      <c r="KWN1" s="24" t="n"/>
      <c r="KWO1" s="24" t="n"/>
      <c r="KWP1" s="24" t="n"/>
      <c r="KWQ1" s="24" t="n"/>
      <c r="KWR1" s="24" t="n"/>
      <c r="KWS1" s="24" t="n"/>
      <c r="KWT1" s="24" t="n"/>
      <c r="KWU1" s="24" t="n"/>
      <c r="KWV1" s="24" t="n"/>
      <c r="KWW1" s="24" t="n"/>
      <c r="KWX1" s="24" t="n"/>
      <c r="KWY1" s="24" t="n"/>
      <c r="KWZ1" s="24" t="n"/>
      <c r="KXA1" s="24" t="n"/>
      <c r="KXB1" s="24" t="n"/>
      <c r="KXC1" s="24" t="n"/>
      <c r="KXD1" s="24" t="n"/>
      <c r="KXE1" s="24" t="n"/>
      <c r="KXF1" s="24" t="n"/>
      <c r="KXG1" s="24" t="n"/>
      <c r="KXH1" s="24" t="n"/>
      <c r="KXI1" s="24" t="n"/>
      <c r="KXJ1" s="24" t="n"/>
      <c r="KXK1" s="24" t="n"/>
      <c r="KXL1" s="24" t="n"/>
      <c r="KXM1" s="24" t="n"/>
      <c r="KXN1" s="24" t="n"/>
      <c r="KXO1" s="24" t="n"/>
      <c r="KXP1" s="24" t="n"/>
      <c r="KXQ1" s="24" t="n"/>
      <c r="KXR1" s="24" t="n"/>
      <c r="KXS1" s="24" t="n"/>
      <c r="KXT1" s="24" t="n"/>
      <c r="KXU1" s="24" t="n"/>
      <c r="KXV1" s="24" t="n"/>
      <c r="KXW1" s="24" t="n"/>
      <c r="KXX1" s="24" t="n"/>
      <c r="KXY1" s="24" t="n"/>
      <c r="KXZ1" s="24" t="n"/>
      <c r="KYA1" s="24" t="n"/>
      <c r="KYB1" s="24" t="n"/>
      <c r="KYC1" s="24" t="n"/>
      <c r="KYD1" s="24" t="n"/>
      <c r="KYE1" s="24" t="n"/>
      <c r="KYF1" s="24" t="n"/>
      <c r="KYG1" s="24" t="n"/>
      <c r="KYH1" s="24" t="n"/>
      <c r="KYI1" s="24" t="n"/>
      <c r="KYJ1" s="24" t="n"/>
      <c r="KYK1" s="24" t="n"/>
      <c r="KYL1" s="24" t="n"/>
      <c r="KYM1" s="24" t="n"/>
      <c r="KYN1" s="24" t="n"/>
      <c r="KYO1" s="24" t="n"/>
      <c r="KYP1" s="24" t="n"/>
      <c r="KYQ1" s="24" t="n"/>
      <c r="KYR1" s="24" t="n"/>
      <c r="KYS1" s="24" t="n"/>
      <c r="KYT1" s="24" t="n"/>
      <c r="KYU1" s="24" t="n"/>
      <c r="KYV1" s="24" t="n"/>
      <c r="KYW1" s="24" t="n"/>
      <c r="KYX1" s="24" t="n"/>
      <c r="KYY1" s="24" t="n"/>
      <c r="KYZ1" s="24" t="n"/>
      <c r="KZA1" s="24" t="n"/>
      <c r="KZB1" s="24" t="n"/>
      <c r="KZC1" s="24" t="n"/>
      <c r="KZD1" s="24" t="n"/>
      <c r="KZE1" s="24" t="n"/>
      <c r="KZF1" s="24" t="n"/>
      <c r="KZG1" s="24" t="n"/>
      <c r="KZH1" s="24" t="n"/>
      <c r="KZI1" s="24" t="n"/>
      <c r="KZJ1" s="24" t="n"/>
      <c r="KZK1" s="24" t="n"/>
      <c r="KZL1" s="24" t="n"/>
      <c r="KZM1" s="24" t="n"/>
      <c r="KZN1" s="24" t="n"/>
      <c r="KZO1" s="24" t="n"/>
      <c r="KZP1" s="24" t="n"/>
      <c r="KZQ1" s="24" t="n"/>
      <c r="KZR1" s="24" t="n"/>
      <c r="KZS1" s="24" t="n"/>
      <c r="KZT1" s="24" t="n"/>
      <c r="KZU1" s="24" t="n"/>
      <c r="KZV1" s="24" t="n"/>
      <c r="KZW1" s="24" t="n"/>
      <c r="KZX1" s="24" t="n"/>
      <c r="KZY1" s="24" t="n"/>
      <c r="KZZ1" s="24" t="n"/>
      <c r="LAA1" s="24" t="n"/>
      <c r="LAB1" s="24" t="n"/>
      <c r="LAC1" s="24" t="n"/>
      <c r="LAD1" s="24" t="n"/>
      <c r="LAE1" s="24" t="n"/>
      <c r="LAF1" s="24" t="n"/>
      <c r="LAG1" s="24" t="n"/>
      <c r="LAH1" s="24" t="n"/>
      <c r="LAI1" s="24" t="n"/>
      <c r="LAJ1" s="24" t="n"/>
      <c r="LAK1" s="24" t="n"/>
      <c r="LAL1" s="24" t="n"/>
      <c r="LAM1" s="24" t="n"/>
      <c r="LAN1" s="24" t="n"/>
      <c r="LAO1" s="24" t="n"/>
      <c r="LAP1" s="24" t="n"/>
      <c r="LAQ1" s="24" t="n"/>
      <c r="LAR1" s="24" t="n"/>
      <c r="LAS1" s="24" t="n"/>
      <c r="LAT1" s="24" t="n"/>
      <c r="LAU1" s="24" t="n"/>
      <c r="LAV1" s="24" t="n"/>
      <c r="LAW1" s="24" t="n"/>
      <c r="LAX1" s="24" t="n"/>
      <c r="LAY1" s="24" t="n"/>
      <c r="LAZ1" s="24" t="n"/>
      <c r="LBA1" s="24" t="n"/>
      <c r="LBB1" s="24" t="n"/>
      <c r="LBC1" s="24" t="n"/>
      <c r="LBD1" s="24" t="n"/>
      <c r="LBE1" s="24" t="n"/>
      <c r="LBF1" s="24" t="n"/>
      <c r="LBG1" s="24" t="n"/>
      <c r="LBH1" s="24" t="n"/>
      <c r="LBI1" s="24" t="n"/>
      <c r="LBJ1" s="24" t="n"/>
      <c r="LBK1" s="24" t="n"/>
      <c r="LBL1" s="24" t="n"/>
      <c r="LBM1" s="24" t="n"/>
      <c r="LBN1" s="24" t="n"/>
      <c r="LBO1" s="24" t="n"/>
      <c r="LBP1" s="24" t="n"/>
      <c r="LBQ1" s="24" t="n"/>
      <c r="LBR1" s="24" t="n"/>
      <c r="LBS1" s="24" t="n"/>
      <c r="LBT1" s="24" t="n"/>
      <c r="LBU1" s="24" t="n"/>
      <c r="LBV1" s="24" t="n"/>
      <c r="LBW1" s="24" t="n"/>
      <c r="LBX1" s="24" t="n"/>
      <c r="LBY1" s="24" t="n"/>
      <c r="LBZ1" s="24" t="n"/>
      <c r="LCA1" s="24" t="n"/>
      <c r="LCB1" s="24" t="n"/>
      <c r="LCC1" s="24" t="n"/>
      <c r="LCD1" s="24" t="n"/>
      <c r="LCE1" s="24" t="n"/>
      <c r="LCF1" s="24" t="n"/>
      <c r="LCG1" s="24" t="n"/>
      <c r="LCH1" s="24" t="n"/>
      <c r="LCI1" s="24" t="n"/>
      <c r="LCJ1" s="24" t="n"/>
      <c r="LCK1" s="24" t="n"/>
      <c r="LCL1" s="24" t="n"/>
      <c r="LCM1" s="24" t="n"/>
      <c r="LCN1" s="24" t="n"/>
      <c r="LCO1" s="24" t="n"/>
      <c r="LCP1" s="24" t="n"/>
      <c r="LCQ1" s="24" t="n"/>
      <c r="LCR1" s="24" t="n"/>
      <c r="LCS1" s="24" t="n"/>
      <c r="LCT1" s="24" t="n"/>
      <c r="LCU1" s="24" t="n"/>
      <c r="LCV1" s="24" t="n"/>
      <c r="LCW1" s="24" t="n"/>
      <c r="LCX1" s="24" t="n"/>
      <c r="LCY1" s="24" t="n"/>
      <c r="LCZ1" s="24" t="n"/>
      <c r="LDA1" s="24" t="n"/>
      <c r="LDB1" s="24" t="n"/>
      <c r="LDC1" s="24" t="n"/>
      <c r="LDD1" s="24" t="n"/>
      <c r="LDE1" s="24" t="n"/>
      <c r="LDF1" s="24" t="n"/>
      <c r="LDG1" s="24" t="n"/>
      <c r="LDH1" s="24" t="n"/>
      <c r="LDI1" s="24" t="n"/>
      <c r="LDJ1" s="24" t="n"/>
      <c r="LDK1" s="24" t="n"/>
      <c r="LDL1" s="24" t="n"/>
      <c r="LDM1" s="24" t="n"/>
      <c r="LDN1" s="24" t="n"/>
      <c r="LDO1" s="24" t="n"/>
      <c r="LDP1" s="24" t="n"/>
      <c r="LDQ1" s="24" t="n"/>
      <c r="LDR1" s="24" t="n"/>
      <c r="LDS1" s="24" t="n"/>
      <c r="LDT1" s="24" t="n"/>
      <c r="LDU1" s="24" t="n"/>
      <c r="LDV1" s="24" t="n"/>
      <c r="LDW1" s="24" t="n"/>
      <c r="LDX1" s="24" t="n"/>
      <c r="LDY1" s="24" t="n"/>
      <c r="LDZ1" s="24" t="n"/>
      <c r="LEA1" s="24" t="n"/>
      <c r="LEB1" s="24" t="n"/>
      <c r="LEC1" s="24" t="n"/>
      <c r="LED1" s="24" t="n"/>
      <c r="LEE1" s="24" t="n"/>
      <c r="LEF1" s="24" t="n"/>
      <c r="LEG1" s="24" t="n"/>
      <c r="LEH1" s="24" t="n"/>
      <c r="LEI1" s="24" t="n"/>
      <c r="LEJ1" s="24" t="n"/>
      <c r="LEK1" s="24" t="n"/>
      <c r="LEL1" s="24" t="n"/>
      <c r="LEM1" s="24" t="n"/>
      <c r="LEN1" s="24" t="n"/>
      <c r="LEO1" s="24" t="n"/>
      <c r="LEP1" s="24" t="n"/>
      <c r="LEQ1" s="24" t="n"/>
      <c r="LER1" s="24" t="n"/>
      <c r="LES1" s="24" t="n"/>
      <c r="LET1" s="24" t="n"/>
      <c r="LEU1" s="24" t="n"/>
      <c r="LEV1" s="24" t="n"/>
      <c r="LEW1" s="24" t="n"/>
      <c r="LEX1" s="24" t="n"/>
      <c r="LEY1" s="24" t="n"/>
      <c r="LEZ1" s="24" t="n"/>
      <c r="LFA1" s="24" t="n"/>
      <c r="LFB1" s="24" t="n"/>
      <c r="LFC1" s="24" t="n"/>
      <c r="LFD1" s="24" t="n"/>
      <c r="LFE1" s="24" t="n"/>
      <c r="LFF1" s="24" t="n"/>
      <c r="LFG1" s="24" t="n"/>
      <c r="LFH1" s="24" t="n"/>
      <c r="LFI1" s="24" t="n"/>
      <c r="LFJ1" s="24" t="n"/>
      <c r="LFK1" s="24" t="n"/>
      <c r="LFL1" s="24" t="n"/>
      <c r="LFM1" s="24" t="n"/>
      <c r="LFN1" s="24" t="n"/>
      <c r="LFO1" s="24" t="n"/>
      <c r="LFP1" s="24" t="n"/>
      <c r="LFQ1" s="24" t="n"/>
      <c r="LFR1" s="24" t="n"/>
      <c r="LFS1" s="24" t="n"/>
      <c r="LFT1" s="24" t="n"/>
      <c r="LFU1" s="24" t="n"/>
      <c r="LFV1" s="24" t="n"/>
      <c r="LFW1" s="24" t="n"/>
      <c r="LFX1" s="24" t="n"/>
      <c r="LFY1" s="24" t="n"/>
      <c r="LFZ1" s="24" t="n"/>
      <c r="LGA1" s="24" t="n"/>
      <c r="LGB1" s="24" t="n"/>
      <c r="LGC1" s="24" t="n"/>
      <c r="LGD1" s="24" t="n"/>
      <c r="LGE1" s="24" t="n"/>
      <c r="LGF1" s="24" t="n"/>
      <c r="LGG1" s="24" t="n"/>
      <c r="LGH1" s="24" t="n"/>
      <c r="LGI1" s="24" t="n"/>
      <c r="LGJ1" s="24" t="n"/>
      <c r="LGK1" s="24" t="n"/>
      <c r="LGL1" s="24" t="n"/>
      <c r="LGM1" s="24" t="n"/>
      <c r="LGN1" s="24" t="n"/>
      <c r="LGO1" s="24" t="n"/>
      <c r="LGP1" s="24" t="n"/>
      <c r="LGQ1" s="24" t="n"/>
      <c r="LGR1" s="24" t="n"/>
      <c r="LGS1" s="24" t="n"/>
      <c r="LGT1" s="24" t="n"/>
      <c r="LGU1" s="24" t="n"/>
      <c r="LGV1" s="24" t="n"/>
      <c r="LGW1" s="24" t="n"/>
      <c r="LGX1" s="24" t="n"/>
      <c r="LGY1" s="24" t="n"/>
      <c r="LGZ1" s="24" t="n"/>
      <c r="LHA1" s="24" t="n"/>
      <c r="LHB1" s="24" t="n"/>
      <c r="LHC1" s="24" t="n"/>
      <c r="LHD1" s="24" t="n"/>
      <c r="LHE1" s="24" t="n"/>
      <c r="LHF1" s="24" t="n"/>
      <c r="LHG1" s="24" t="n"/>
      <c r="LHH1" s="24" t="n"/>
      <c r="LHI1" s="24" t="n"/>
      <c r="LHJ1" s="24" t="n"/>
      <c r="LHK1" s="24" t="n"/>
      <c r="LHL1" s="24" t="n"/>
      <c r="LHM1" s="24" t="n"/>
      <c r="LHN1" s="24" t="n"/>
      <c r="LHO1" s="24" t="n"/>
      <c r="LHP1" s="24" t="n"/>
      <c r="LHQ1" s="24" t="n"/>
      <c r="LHR1" s="24" t="n"/>
      <c r="LHS1" s="24" t="n"/>
      <c r="LHT1" s="24" t="n"/>
      <c r="LHU1" s="24" t="n"/>
      <c r="LHV1" s="24" t="n"/>
      <c r="LHW1" s="24" t="n"/>
      <c r="LHX1" s="24" t="n"/>
      <c r="LHY1" s="24" t="n"/>
      <c r="LHZ1" s="24" t="n"/>
      <c r="LIA1" s="24" t="n"/>
      <c r="LIB1" s="24" t="n"/>
      <c r="LIC1" s="24" t="n"/>
      <c r="LID1" s="24" t="n"/>
      <c r="LIE1" s="24" t="n"/>
      <c r="LIF1" s="24" t="n"/>
      <c r="LIG1" s="24" t="n"/>
      <c r="LIH1" s="24" t="n"/>
      <c r="LII1" s="24" t="n"/>
      <c r="LIJ1" s="24" t="n"/>
      <c r="LIK1" s="24" t="n"/>
      <c r="LIL1" s="24" t="n"/>
      <c r="LIM1" s="24" t="n"/>
      <c r="LIN1" s="24" t="n"/>
      <c r="LIO1" s="24" t="n"/>
      <c r="LIP1" s="24" t="n"/>
      <c r="LIQ1" s="24" t="n"/>
      <c r="LIR1" s="24" t="n"/>
      <c r="LIS1" s="24" t="n"/>
      <c r="LIT1" s="24" t="n"/>
      <c r="LIU1" s="24" t="n"/>
      <c r="LIV1" s="24" t="n"/>
      <c r="LIW1" s="24" t="n"/>
      <c r="LIX1" s="24" t="n"/>
      <c r="LIY1" s="24" t="n"/>
      <c r="LIZ1" s="24" t="n"/>
      <c r="LJA1" s="24" t="n"/>
      <c r="LJB1" s="24" t="n"/>
      <c r="LJC1" s="24" t="n"/>
      <c r="LJD1" s="24" t="n"/>
      <c r="LJE1" s="24" t="n"/>
      <c r="LJF1" s="24" t="n"/>
      <c r="LJG1" s="24" t="n"/>
      <c r="LJH1" s="24" t="n"/>
      <c r="LJI1" s="24" t="n"/>
      <c r="LJJ1" s="24" t="n"/>
      <c r="LJK1" s="24" t="n"/>
      <c r="LJL1" s="24" t="n"/>
      <c r="LJM1" s="24" t="n"/>
      <c r="LJN1" s="24" t="n"/>
      <c r="LJO1" s="24" t="n"/>
      <c r="LJP1" s="24" t="n"/>
      <c r="LJQ1" s="24" t="n"/>
      <c r="LJR1" s="24" t="n"/>
      <c r="LJS1" s="24" t="n"/>
      <c r="LJT1" s="24" t="n"/>
      <c r="LJU1" s="24" t="n"/>
      <c r="LJV1" s="24" t="n"/>
      <c r="LJW1" s="24" t="n"/>
      <c r="LJX1" s="24" t="n"/>
      <c r="LJY1" s="24" t="n"/>
      <c r="LJZ1" s="24" t="n"/>
      <c r="LKA1" s="24" t="n"/>
      <c r="LKB1" s="24" t="n"/>
      <c r="LKC1" s="24" t="n"/>
      <c r="LKD1" s="24" t="n"/>
      <c r="LKE1" s="24" t="n"/>
      <c r="LKF1" s="24" t="n"/>
      <c r="LKG1" s="24" t="n"/>
      <c r="LKH1" s="24" t="n"/>
      <c r="LKI1" s="24" t="n"/>
      <c r="LKJ1" s="24" t="n"/>
      <c r="LKK1" s="24" t="n"/>
      <c r="LKL1" s="24" t="n"/>
      <c r="LKM1" s="24" t="n"/>
      <c r="LKN1" s="24" t="n"/>
      <c r="LKO1" s="24" t="n"/>
      <c r="LKP1" s="24" t="n"/>
      <c r="LKQ1" s="24" t="n"/>
      <c r="LKR1" s="24" t="n"/>
      <c r="LKS1" s="24" t="n"/>
      <c r="LKT1" s="24" t="n"/>
      <c r="LKU1" s="24" t="n"/>
      <c r="LKV1" s="24" t="n"/>
      <c r="LKW1" s="24" t="n"/>
      <c r="LKX1" s="24" t="n"/>
      <c r="LKY1" s="24" t="n"/>
      <c r="LKZ1" s="24" t="n"/>
      <c r="LLA1" s="24" t="n"/>
      <c r="LLB1" s="24" t="n"/>
      <c r="LLC1" s="24" t="n"/>
      <c r="LLD1" s="24" t="n"/>
      <c r="LLE1" s="24" t="n"/>
      <c r="LLF1" s="24" t="n"/>
      <c r="LLG1" s="24" t="n"/>
      <c r="LLH1" s="24" t="n"/>
      <c r="LLI1" s="24" t="n"/>
      <c r="LLJ1" s="24" t="n"/>
      <c r="LLK1" s="24" t="n"/>
      <c r="LLL1" s="24" t="n"/>
      <c r="LLM1" s="24" t="n"/>
      <c r="LLN1" s="24" t="n"/>
      <c r="LLO1" s="24" t="n"/>
      <c r="LLP1" s="24" t="n"/>
      <c r="LLQ1" s="24" t="n"/>
      <c r="LLR1" s="24" t="n"/>
      <c r="LLS1" s="24" t="n"/>
      <c r="LLT1" s="24" t="n"/>
      <c r="LLU1" s="24" t="n"/>
      <c r="LLV1" s="24" t="n"/>
      <c r="LLW1" s="24" t="n"/>
      <c r="LLX1" s="24" t="n"/>
      <c r="LLY1" s="24" t="n"/>
      <c r="LLZ1" s="24" t="n"/>
      <c r="LMA1" s="24" t="n"/>
      <c r="LMB1" s="24" t="n"/>
      <c r="LMC1" s="24" t="n"/>
      <c r="LMD1" s="24" t="n"/>
      <c r="LME1" s="24" t="n"/>
      <c r="LMF1" s="24" t="n"/>
      <c r="LMG1" s="24" t="n"/>
      <c r="LMH1" s="24" t="n"/>
      <c r="LMI1" s="24" t="n"/>
      <c r="LMJ1" s="24" t="n"/>
      <c r="LMK1" s="24" t="n"/>
      <c r="LML1" s="24" t="n"/>
      <c r="LMM1" s="24" t="n"/>
      <c r="LMN1" s="24" t="n"/>
      <c r="LMO1" s="24" t="n"/>
      <c r="LMP1" s="24" t="n"/>
      <c r="LMQ1" s="24" t="n"/>
      <c r="LMR1" s="24" t="n"/>
      <c r="LMS1" s="24" t="n"/>
      <c r="LMT1" s="24" t="n"/>
      <c r="LMU1" s="24" t="n"/>
      <c r="LMV1" s="24" t="n"/>
      <c r="LMW1" s="24" t="n"/>
      <c r="LMX1" s="24" t="n"/>
      <c r="LMY1" s="24" t="n"/>
      <c r="LMZ1" s="24" t="n"/>
      <c r="LNA1" s="24" t="n"/>
      <c r="LNB1" s="24" t="n"/>
      <c r="LNC1" s="24" t="n"/>
      <c r="LND1" s="24" t="n"/>
      <c r="LNE1" s="24" t="n"/>
      <c r="LNF1" s="24" t="n"/>
      <c r="LNG1" s="24" t="n"/>
      <c r="LNH1" s="24" t="n"/>
      <c r="LNI1" s="24" t="n"/>
      <c r="LNJ1" s="24" t="n"/>
      <c r="LNK1" s="24" t="n"/>
      <c r="LNL1" s="24" t="n"/>
      <c r="LNM1" s="24" t="n"/>
      <c r="LNN1" s="24" t="n"/>
      <c r="LNO1" s="24" t="n"/>
      <c r="LNP1" s="24" t="n"/>
      <c r="LNQ1" s="24" t="n"/>
      <c r="LNR1" s="24" t="n"/>
      <c r="LNS1" s="24" t="n"/>
      <c r="LNT1" s="24" t="n"/>
      <c r="LNU1" s="24" t="n"/>
      <c r="LNV1" s="24" t="n"/>
      <c r="LNW1" s="24" t="n"/>
      <c r="LNX1" s="24" t="n"/>
      <c r="LNY1" s="24" t="n"/>
      <c r="LNZ1" s="24" t="n"/>
      <c r="LOA1" s="24" t="n"/>
      <c r="LOB1" s="24" t="n"/>
      <c r="LOC1" s="24" t="n"/>
      <c r="LOD1" s="24" t="n"/>
      <c r="LOE1" s="24" t="n"/>
      <c r="LOF1" s="24" t="n"/>
      <c r="LOG1" s="24" t="n"/>
      <c r="LOH1" s="24" t="n"/>
      <c r="LOI1" s="24" t="n"/>
      <c r="LOJ1" s="24" t="n"/>
      <c r="LOK1" s="24" t="n"/>
      <c r="LOL1" s="24" t="n"/>
      <c r="LOM1" s="24" t="n"/>
      <c r="LON1" s="24" t="n"/>
      <c r="LOO1" s="24" t="n"/>
      <c r="LOP1" s="24" t="n"/>
      <c r="LOQ1" s="24" t="n"/>
      <c r="LOR1" s="24" t="n"/>
      <c r="LOS1" s="24" t="n"/>
      <c r="LOT1" s="24" t="n"/>
      <c r="LOU1" s="24" t="n"/>
      <c r="LOV1" s="24" t="n"/>
      <c r="LOW1" s="24" t="n"/>
      <c r="LOX1" s="24" t="n"/>
      <c r="LOY1" s="24" t="n"/>
      <c r="LOZ1" s="24" t="n"/>
      <c r="LPA1" s="24" t="n"/>
      <c r="LPB1" s="24" t="n"/>
      <c r="LPC1" s="24" t="n"/>
      <c r="LPD1" s="24" t="n"/>
      <c r="LPE1" s="24" t="n"/>
      <c r="LPF1" s="24" t="n"/>
      <c r="LPG1" s="24" t="n"/>
      <c r="LPH1" s="24" t="n"/>
      <c r="LPI1" s="24" t="n"/>
      <c r="LPJ1" s="24" t="n"/>
      <c r="LPK1" s="24" t="n"/>
      <c r="LPL1" s="24" t="n"/>
      <c r="LPM1" s="24" t="n"/>
      <c r="LPN1" s="24" t="n"/>
      <c r="LPO1" s="24" t="n"/>
      <c r="LPP1" s="24" t="n"/>
      <c r="LPQ1" s="24" t="n"/>
      <c r="LPR1" s="24" t="n"/>
      <c r="LPS1" s="24" t="n"/>
      <c r="LPT1" s="24" t="n"/>
      <c r="LPU1" s="24" t="n"/>
      <c r="LPV1" s="24" t="n"/>
      <c r="LPW1" s="24" t="n"/>
      <c r="LPX1" s="24" t="n"/>
      <c r="LPY1" s="24" t="n"/>
      <c r="LPZ1" s="24" t="n"/>
      <c r="LQA1" s="24" t="n"/>
      <c r="LQB1" s="24" t="n"/>
      <c r="LQC1" s="24" t="n"/>
      <c r="LQD1" s="24" t="n"/>
      <c r="LQE1" s="24" t="n"/>
      <c r="LQF1" s="24" t="n"/>
      <c r="LQG1" s="24" t="n"/>
      <c r="LQH1" s="24" t="n"/>
      <c r="LQI1" s="24" t="n"/>
      <c r="LQJ1" s="24" t="n"/>
      <c r="LQK1" s="24" t="n"/>
      <c r="LQL1" s="24" t="n"/>
      <c r="LQM1" s="24" t="n"/>
      <c r="LQN1" s="24" t="n"/>
      <c r="LQO1" s="24" t="n"/>
      <c r="LQP1" s="24" t="n"/>
      <c r="LQQ1" s="24" t="n"/>
      <c r="LQR1" s="24" t="n"/>
      <c r="LQS1" s="24" t="n"/>
      <c r="LQT1" s="24" t="n"/>
      <c r="LQU1" s="24" t="n"/>
      <c r="LQV1" s="24" t="n"/>
      <c r="LQW1" s="24" t="n"/>
      <c r="LQX1" s="24" t="n"/>
      <c r="LQY1" s="24" t="n"/>
      <c r="LQZ1" s="24" t="n"/>
      <c r="LRA1" s="24" t="n"/>
      <c r="LRB1" s="24" t="n"/>
      <c r="LRC1" s="24" t="n"/>
      <c r="LRD1" s="24" t="n"/>
      <c r="LRE1" s="24" t="n"/>
      <c r="LRF1" s="24" t="n"/>
      <c r="LRG1" s="24" t="n"/>
      <c r="LRH1" s="24" t="n"/>
      <c r="LRI1" s="24" t="n"/>
      <c r="LRJ1" s="24" t="n"/>
      <c r="LRK1" s="24" t="n"/>
      <c r="LRL1" s="24" t="n"/>
      <c r="LRM1" s="24" t="n"/>
      <c r="LRN1" s="24" t="n"/>
      <c r="LRO1" s="24" t="n"/>
      <c r="LRP1" s="24" t="n"/>
      <c r="LRQ1" s="24" t="n"/>
      <c r="LRR1" s="24" t="n"/>
      <c r="LRS1" s="24" t="n"/>
      <c r="LRT1" s="24" t="n"/>
      <c r="LRU1" s="24" t="n"/>
      <c r="LRV1" s="24" t="n"/>
      <c r="LRW1" s="24" t="n"/>
      <c r="LRX1" s="24" t="n"/>
      <c r="LRY1" s="24" t="n"/>
      <c r="LRZ1" s="24" t="n"/>
      <c r="LSA1" s="24" t="n"/>
      <c r="LSB1" s="24" t="n"/>
      <c r="LSC1" s="24" t="n"/>
      <c r="LSD1" s="24" t="n"/>
      <c r="LSE1" s="24" t="n"/>
      <c r="LSF1" s="24" t="n"/>
      <c r="LSG1" s="24" t="n"/>
      <c r="LSH1" s="24" t="n"/>
      <c r="LSI1" s="24" t="n"/>
      <c r="LSJ1" s="24" t="n"/>
      <c r="LSK1" s="24" t="n"/>
      <c r="LSL1" s="24" t="n"/>
      <c r="LSM1" s="24" t="n"/>
      <c r="LSN1" s="24" t="n"/>
      <c r="LSO1" s="24" t="n"/>
      <c r="LSP1" s="24" t="n"/>
      <c r="LSQ1" s="24" t="n"/>
      <c r="LSR1" s="24" t="n"/>
      <c r="LSS1" s="24" t="n"/>
      <c r="LST1" s="24" t="n"/>
      <c r="LSU1" s="24" t="n"/>
      <c r="LSV1" s="24" t="n"/>
      <c r="LSW1" s="24" t="n"/>
      <c r="LSX1" s="24" t="n"/>
      <c r="LSY1" s="24" t="n"/>
      <c r="LSZ1" s="24" t="n"/>
      <c r="LTA1" s="24" t="n"/>
      <c r="LTB1" s="24" t="n"/>
      <c r="LTC1" s="24" t="n"/>
      <c r="LTD1" s="24" t="n"/>
      <c r="LTE1" s="24" t="n"/>
      <c r="LTF1" s="24" t="n"/>
      <c r="LTG1" s="24" t="n"/>
      <c r="LTH1" s="24" t="n"/>
      <c r="LTI1" s="24" t="n"/>
      <c r="LTJ1" s="24" t="n"/>
      <c r="LTK1" s="24" t="n"/>
      <c r="LTL1" s="24" t="n"/>
      <c r="LTM1" s="24" t="n"/>
      <c r="LTN1" s="24" t="n"/>
      <c r="LTO1" s="24" t="n"/>
      <c r="LTP1" s="24" t="n"/>
      <c r="LTQ1" s="24" t="n"/>
      <c r="LTR1" s="24" t="n"/>
      <c r="LTS1" s="24" t="n"/>
      <c r="LTT1" s="24" t="n"/>
      <c r="LTU1" s="24" t="n"/>
      <c r="LTV1" s="24" t="n"/>
      <c r="LTW1" s="24" t="n"/>
      <c r="LTX1" s="24" t="n"/>
      <c r="LTY1" s="24" t="n"/>
      <c r="LTZ1" s="24" t="n"/>
      <c r="LUA1" s="24" t="n"/>
      <c r="LUB1" s="24" t="n"/>
      <c r="LUC1" s="24" t="n"/>
      <c r="LUD1" s="24" t="n"/>
      <c r="LUE1" s="24" t="n"/>
      <c r="LUF1" s="24" t="n"/>
      <c r="LUG1" s="24" t="n"/>
      <c r="LUH1" s="24" t="n"/>
      <c r="LUI1" s="24" t="n"/>
      <c r="LUJ1" s="24" t="n"/>
      <c r="LUK1" s="24" t="n"/>
      <c r="LUL1" s="24" t="n"/>
      <c r="LUM1" s="24" t="n"/>
      <c r="LUN1" s="24" t="n"/>
      <c r="LUO1" s="24" t="n"/>
      <c r="LUP1" s="24" t="n"/>
      <c r="LUQ1" s="24" t="n"/>
      <c r="LUR1" s="24" t="n"/>
      <c r="LUS1" s="24" t="n"/>
      <c r="LUT1" s="24" t="n"/>
      <c r="LUU1" s="24" t="n"/>
      <c r="LUV1" s="24" t="n"/>
      <c r="LUW1" s="24" t="n"/>
      <c r="LUX1" s="24" t="n"/>
      <c r="LUY1" s="24" t="n"/>
      <c r="LUZ1" s="24" t="n"/>
      <c r="LVA1" s="24" t="n"/>
      <c r="LVB1" s="24" t="n"/>
      <c r="LVC1" s="24" t="n"/>
      <c r="LVD1" s="24" t="n"/>
      <c r="LVE1" s="24" t="n"/>
      <c r="LVF1" s="24" t="n"/>
      <c r="LVG1" s="24" t="n"/>
      <c r="LVH1" s="24" t="n"/>
      <c r="LVI1" s="24" t="n"/>
      <c r="LVJ1" s="24" t="n"/>
      <c r="LVK1" s="24" t="n"/>
      <c r="LVL1" s="24" t="n"/>
      <c r="LVM1" s="24" t="n"/>
      <c r="LVN1" s="24" t="n"/>
      <c r="LVO1" s="24" t="n"/>
      <c r="LVP1" s="24" t="n"/>
      <c r="LVQ1" s="24" t="n"/>
      <c r="LVR1" s="24" t="n"/>
      <c r="LVS1" s="24" t="n"/>
      <c r="LVT1" s="24" t="n"/>
      <c r="LVU1" s="24" t="n"/>
      <c r="LVV1" s="24" t="n"/>
      <c r="LVW1" s="24" t="n"/>
      <c r="LVX1" s="24" t="n"/>
      <c r="LVY1" s="24" t="n"/>
      <c r="LVZ1" s="24" t="n"/>
      <c r="LWA1" s="24" t="n"/>
      <c r="LWB1" s="24" t="n"/>
      <c r="LWC1" s="24" t="n"/>
      <c r="LWD1" s="24" t="n"/>
      <c r="LWE1" s="24" t="n"/>
      <c r="LWF1" s="24" t="n"/>
      <c r="LWG1" s="24" t="n"/>
      <c r="LWH1" s="24" t="n"/>
      <c r="LWI1" s="24" t="n"/>
      <c r="LWJ1" s="24" t="n"/>
      <c r="LWK1" s="24" t="n"/>
      <c r="LWL1" s="24" t="n"/>
      <c r="LWM1" s="24" t="n"/>
      <c r="LWN1" s="24" t="n"/>
      <c r="LWO1" s="24" t="n"/>
      <c r="LWP1" s="24" t="n"/>
      <c r="LWQ1" s="24" t="n"/>
      <c r="LWR1" s="24" t="n"/>
      <c r="LWS1" s="24" t="n"/>
      <c r="LWT1" s="24" t="n"/>
      <c r="LWU1" s="24" t="n"/>
      <c r="LWV1" s="24" t="n"/>
      <c r="LWW1" s="24" t="n"/>
      <c r="LWX1" s="24" t="n"/>
      <c r="LWY1" s="24" t="n"/>
      <c r="LWZ1" s="24" t="n"/>
      <c r="LXA1" s="24" t="n"/>
      <c r="LXB1" s="24" t="n"/>
      <c r="LXC1" s="24" t="n"/>
      <c r="LXD1" s="24" t="n"/>
      <c r="LXE1" s="24" t="n"/>
      <c r="LXF1" s="24" t="n"/>
      <c r="LXG1" s="24" t="n"/>
      <c r="LXH1" s="24" t="n"/>
      <c r="LXI1" s="24" t="n"/>
      <c r="LXJ1" s="24" t="n"/>
      <c r="LXK1" s="24" t="n"/>
      <c r="LXL1" s="24" t="n"/>
      <c r="LXM1" s="24" t="n"/>
      <c r="LXN1" s="24" t="n"/>
      <c r="LXO1" s="24" t="n"/>
      <c r="LXP1" s="24" t="n"/>
      <c r="LXQ1" s="24" t="n"/>
      <c r="LXR1" s="24" t="n"/>
      <c r="LXS1" s="24" t="n"/>
      <c r="LXT1" s="24" t="n"/>
      <c r="LXU1" s="24" t="n"/>
      <c r="LXV1" s="24" t="n"/>
      <c r="LXW1" s="24" t="n"/>
      <c r="LXX1" s="24" t="n"/>
      <c r="LXY1" s="24" t="n"/>
      <c r="LXZ1" s="24" t="n"/>
      <c r="LYA1" s="24" t="n"/>
      <c r="LYB1" s="24" t="n"/>
      <c r="LYC1" s="24" t="n"/>
      <c r="LYD1" s="24" t="n"/>
      <c r="LYE1" s="24" t="n"/>
      <c r="LYF1" s="24" t="n"/>
      <c r="LYG1" s="24" t="n"/>
      <c r="LYH1" s="24" t="n"/>
      <c r="LYI1" s="24" t="n"/>
      <c r="LYJ1" s="24" t="n"/>
      <c r="LYK1" s="24" t="n"/>
      <c r="LYL1" s="24" t="n"/>
      <c r="LYM1" s="24" t="n"/>
      <c r="LYN1" s="24" t="n"/>
      <c r="LYO1" s="24" t="n"/>
      <c r="LYP1" s="24" t="n"/>
      <c r="LYQ1" s="24" t="n"/>
      <c r="LYR1" s="24" t="n"/>
      <c r="LYS1" s="24" t="n"/>
      <c r="LYT1" s="24" t="n"/>
      <c r="LYU1" s="24" t="n"/>
      <c r="LYV1" s="24" t="n"/>
      <c r="LYW1" s="24" t="n"/>
      <c r="LYX1" s="24" t="n"/>
      <c r="LYY1" s="24" t="n"/>
      <c r="LYZ1" s="24" t="n"/>
      <c r="LZA1" s="24" t="n"/>
      <c r="LZB1" s="24" t="n"/>
      <c r="LZC1" s="24" t="n"/>
      <c r="LZD1" s="24" t="n"/>
      <c r="LZE1" s="24" t="n"/>
      <c r="LZF1" s="24" t="n"/>
      <c r="LZG1" s="24" t="n"/>
      <c r="LZH1" s="24" t="n"/>
      <c r="LZI1" s="24" t="n"/>
      <c r="LZJ1" s="24" t="n"/>
      <c r="LZK1" s="24" t="n"/>
      <c r="LZL1" s="24" t="n"/>
      <c r="LZM1" s="24" t="n"/>
      <c r="LZN1" s="24" t="n"/>
      <c r="LZO1" s="24" t="n"/>
      <c r="LZP1" s="24" t="n"/>
      <c r="LZQ1" s="24" t="n"/>
      <c r="LZR1" s="24" t="n"/>
      <c r="LZS1" s="24" t="n"/>
      <c r="LZT1" s="24" t="n"/>
      <c r="LZU1" s="24" t="n"/>
      <c r="LZV1" s="24" t="n"/>
      <c r="LZW1" s="24" t="n"/>
      <c r="LZX1" s="24" t="n"/>
      <c r="LZY1" s="24" t="n"/>
      <c r="LZZ1" s="24" t="n"/>
      <c r="MAA1" s="24" t="n"/>
      <c r="MAB1" s="24" t="n"/>
      <c r="MAC1" s="24" t="n"/>
      <c r="MAD1" s="24" t="n"/>
      <c r="MAE1" s="24" t="n"/>
      <c r="MAF1" s="24" t="n"/>
      <c r="MAG1" s="24" t="n"/>
      <c r="MAH1" s="24" t="n"/>
      <c r="MAI1" s="24" t="n"/>
      <c r="MAJ1" s="24" t="n"/>
      <c r="MAK1" s="24" t="n"/>
      <c r="MAL1" s="24" t="n"/>
      <c r="MAM1" s="24" t="n"/>
      <c r="MAN1" s="24" t="n"/>
      <c r="MAO1" s="24" t="n"/>
      <c r="MAP1" s="24" t="n"/>
      <c r="MAQ1" s="24" t="n"/>
      <c r="MAR1" s="24" t="n"/>
      <c r="MAS1" s="24" t="n"/>
      <c r="MAT1" s="24" t="n"/>
      <c r="MAU1" s="24" t="n"/>
      <c r="MAV1" s="24" t="n"/>
      <c r="MAW1" s="24" t="n"/>
      <c r="MAX1" s="24" t="n"/>
      <c r="MAY1" s="24" t="n"/>
      <c r="MAZ1" s="24" t="n"/>
      <c r="MBA1" s="24" t="n"/>
      <c r="MBB1" s="24" t="n"/>
      <c r="MBC1" s="24" t="n"/>
      <c r="MBD1" s="24" t="n"/>
      <c r="MBE1" s="24" t="n"/>
      <c r="MBF1" s="24" t="n"/>
      <c r="MBG1" s="24" t="n"/>
      <c r="MBH1" s="24" t="n"/>
      <c r="MBI1" s="24" t="n"/>
      <c r="MBJ1" s="24" t="n"/>
      <c r="MBK1" s="24" t="n"/>
      <c r="MBL1" s="24" t="n"/>
      <c r="MBM1" s="24" t="n"/>
      <c r="MBN1" s="24" t="n"/>
      <c r="MBO1" s="24" t="n"/>
      <c r="MBP1" s="24" t="n"/>
      <c r="MBQ1" s="24" t="n"/>
      <c r="MBR1" s="24" t="n"/>
      <c r="MBS1" s="24" t="n"/>
      <c r="MBT1" s="24" t="n"/>
      <c r="MBU1" s="24" t="n"/>
      <c r="MBV1" s="24" t="n"/>
      <c r="MBW1" s="24" t="n"/>
      <c r="MBX1" s="24" t="n"/>
      <c r="MBY1" s="24" t="n"/>
      <c r="MBZ1" s="24" t="n"/>
      <c r="MCA1" s="24" t="n"/>
      <c r="MCB1" s="24" t="n"/>
      <c r="MCC1" s="24" t="n"/>
      <c r="MCD1" s="24" t="n"/>
      <c r="MCE1" s="24" t="n"/>
      <c r="MCF1" s="24" t="n"/>
      <c r="MCG1" s="24" t="n"/>
      <c r="MCH1" s="24" t="n"/>
      <c r="MCI1" s="24" t="n"/>
      <c r="MCJ1" s="24" t="n"/>
      <c r="MCK1" s="24" t="n"/>
      <c r="MCL1" s="24" t="n"/>
      <c r="MCM1" s="24" t="n"/>
      <c r="MCN1" s="24" t="n"/>
      <c r="MCO1" s="24" t="n"/>
      <c r="MCP1" s="24" t="n"/>
      <c r="MCQ1" s="24" t="n"/>
      <c r="MCR1" s="24" t="n"/>
      <c r="MCS1" s="24" t="n"/>
      <c r="MCT1" s="24" t="n"/>
      <c r="MCU1" s="24" t="n"/>
      <c r="MCV1" s="24" t="n"/>
      <c r="MCW1" s="24" t="n"/>
      <c r="MCX1" s="24" t="n"/>
      <c r="MCY1" s="24" t="n"/>
      <c r="MCZ1" s="24" t="n"/>
      <c r="MDA1" s="24" t="n"/>
      <c r="MDB1" s="24" t="n"/>
      <c r="MDC1" s="24" t="n"/>
      <c r="MDD1" s="24" t="n"/>
      <c r="MDE1" s="24" t="n"/>
      <c r="MDF1" s="24" t="n"/>
      <c r="MDG1" s="24" t="n"/>
      <c r="MDH1" s="24" t="n"/>
      <c r="MDI1" s="24" t="n"/>
      <c r="MDJ1" s="24" t="n"/>
      <c r="MDK1" s="24" t="n"/>
      <c r="MDL1" s="24" t="n"/>
      <c r="MDM1" s="24" t="n"/>
      <c r="MDN1" s="24" t="n"/>
      <c r="MDO1" s="24" t="n"/>
      <c r="MDP1" s="24" t="n"/>
      <c r="MDQ1" s="24" t="n"/>
      <c r="MDR1" s="24" t="n"/>
      <c r="MDS1" s="24" t="n"/>
      <c r="MDT1" s="24" t="n"/>
      <c r="MDU1" s="24" t="n"/>
      <c r="MDV1" s="24" t="n"/>
      <c r="MDW1" s="24" t="n"/>
      <c r="MDX1" s="24" t="n"/>
      <c r="MDY1" s="24" t="n"/>
      <c r="MDZ1" s="24" t="n"/>
      <c r="MEA1" s="24" t="n"/>
      <c r="MEB1" s="24" t="n"/>
      <c r="MEC1" s="24" t="n"/>
      <c r="MED1" s="24" t="n"/>
      <c r="MEE1" s="24" t="n"/>
      <c r="MEF1" s="24" t="n"/>
      <c r="MEG1" s="24" t="n"/>
      <c r="MEH1" s="24" t="n"/>
      <c r="MEI1" s="24" t="n"/>
      <c r="MEJ1" s="24" t="n"/>
      <c r="MEK1" s="24" t="n"/>
      <c r="MEL1" s="24" t="n"/>
      <c r="MEM1" s="24" t="n"/>
      <c r="MEN1" s="24" t="n"/>
      <c r="MEO1" s="24" t="n"/>
      <c r="MEP1" s="24" t="n"/>
      <c r="MEQ1" s="24" t="n"/>
      <c r="MER1" s="24" t="n"/>
      <c r="MES1" s="24" t="n"/>
      <c r="MET1" s="24" t="n"/>
      <c r="MEU1" s="24" t="n"/>
      <c r="MEV1" s="24" t="n"/>
      <c r="MEW1" s="24" t="n"/>
      <c r="MEX1" s="24" t="n"/>
      <c r="MEY1" s="24" t="n"/>
      <c r="MEZ1" s="24" t="n"/>
      <c r="MFA1" s="24" t="n"/>
      <c r="MFB1" s="24" t="n"/>
      <c r="MFC1" s="24" t="n"/>
      <c r="MFD1" s="24" t="n"/>
      <c r="MFE1" s="24" t="n"/>
      <c r="MFF1" s="24" t="n"/>
      <c r="MFG1" s="24" t="n"/>
      <c r="MFH1" s="24" t="n"/>
      <c r="MFI1" s="24" t="n"/>
      <c r="MFJ1" s="24" t="n"/>
      <c r="MFK1" s="24" t="n"/>
      <c r="MFL1" s="24" t="n"/>
      <c r="MFM1" s="24" t="n"/>
      <c r="MFN1" s="24" t="n"/>
      <c r="MFO1" s="24" t="n"/>
      <c r="MFP1" s="24" t="n"/>
      <c r="MFQ1" s="24" t="n"/>
      <c r="MFR1" s="24" t="n"/>
      <c r="MFS1" s="24" t="n"/>
      <c r="MFT1" s="24" t="n"/>
      <c r="MFU1" s="24" t="n"/>
      <c r="MFV1" s="24" t="n"/>
      <c r="MFW1" s="24" t="n"/>
      <c r="MFX1" s="24" t="n"/>
      <c r="MFY1" s="24" t="n"/>
      <c r="MFZ1" s="24" t="n"/>
      <c r="MGA1" s="24" t="n"/>
      <c r="MGB1" s="24" t="n"/>
      <c r="MGC1" s="24" t="n"/>
      <c r="MGD1" s="24" t="n"/>
      <c r="MGE1" s="24" t="n"/>
      <c r="MGF1" s="24" t="n"/>
      <c r="MGG1" s="24" t="n"/>
      <c r="MGH1" s="24" t="n"/>
      <c r="MGI1" s="24" t="n"/>
      <c r="MGJ1" s="24" t="n"/>
      <c r="MGK1" s="24" t="n"/>
      <c r="MGL1" s="24" t="n"/>
      <c r="MGM1" s="24" t="n"/>
      <c r="MGN1" s="24" t="n"/>
      <c r="MGO1" s="24" t="n"/>
      <c r="MGP1" s="24" t="n"/>
      <c r="MGQ1" s="24" t="n"/>
      <c r="MGR1" s="24" t="n"/>
      <c r="MGS1" s="24" t="n"/>
      <c r="MGT1" s="24" t="n"/>
      <c r="MGU1" s="24" t="n"/>
      <c r="MGV1" s="24" t="n"/>
      <c r="MGW1" s="24" t="n"/>
      <c r="MGX1" s="24" t="n"/>
      <c r="MGY1" s="24" t="n"/>
      <c r="MGZ1" s="24" t="n"/>
      <c r="MHA1" s="24" t="n"/>
      <c r="MHB1" s="24" t="n"/>
      <c r="MHC1" s="24" t="n"/>
      <c r="MHD1" s="24" t="n"/>
      <c r="MHE1" s="24" t="n"/>
      <c r="MHF1" s="24" t="n"/>
      <c r="MHG1" s="24" t="n"/>
      <c r="MHH1" s="24" t="n"/>
      <c r="MHI1" s="24" t="n"/>
      <c r="MHJ1" s="24" t="n"/>
      <c r="MHK1" s="24" t="n"/>
      <c r="MHL1" s="24" t="n"/>
      <c r="MHM1" s="24" t="n"/>
      <c r="MHN1" s="24" t="n"/>
      <c r="MHO1" s="24" t="n"/>
      <c r="MHP1" s="24" t="n"/>
      <c r="MHQ1" s="24" t="n"/>
      <c r="MHR1" s="24" t="n"/>
      <c r="MHS1" s="24" t="n"/>
      <c r="MHT1" s="24" t="n"/>
      <c r="MHU1" s="24" t="n"/>
      <c r="MHV1" s="24" t="n"/>
      <c r="MHW1" s="24" t="n"/>
      <c r="MHX1" s="24" t="n"/>
      <c r="MHY1" s="24" t="n"/>
      <c r="MHZ1" s="24" t="n"/>
      <c r="MIA1" s="24" t="n"/>
      <c r="MIB1" s="24" t="n"/>
      <c r="MIC1" s="24" t="n"/>
      <c r="MID1" s="24" t="n"/>
      <c r="MIE1" s="24" t="n"/>
      <c r="MIF1" s="24" t="n"/>
      <c r="MIG1" s="24" t="n"/>
      <c r="MIH1" s="24" t="n"/>
      <c r="MII1" s="24" t="n"/>
      <c r="MIJ1" s="24" t="n"/>
      <c r="MIK1" s="24" t="n"/>
      <c r="MIL1" s="24" t="n"/>
      <c r="MIM1" s="24" t="n"/>
      <c r="MIN1" s="24" t="n"/>
      <c r="MIO1" s="24" t="n"/>
      <c r="MIP1" s="24" t="n"/>
      <c r="MIQ1" s="24" t="n"/>
      <c r="MIR1" s="24" t="n"/>
      <c r="MIS1" s="24" t="n"/>
      <c r="MIT1" s="24" t="n"/>
      <c r="MIU1" s="24" t="n"/>
      <c r="MIV1" s="24" t="n"/>
      <c r="MIW1" s="24" t="n"/>
      <c r="MIX1" s="24" t="n"/>
      <c r="MIY1" s="24" t="n"/>
      <c r="MIZ1" s="24" t="n"/>
      <c r="MJA1" s="24" t="n"/>
      <c r="MJB1" s="24" t="n"/>
      <c r="MJC1" s="24" t="n"/>
      <c r="MJD1" s="24" t="n"/>
      <c r="MJE1" s="24" t="n"/>
      <c r="MJF1" s="24" t="n"/>
      <c r="MJG1" s="24" t="n"/>
      <c r="MJH1" s="24" t="n"/>
      <c r="MJI1" s="24" t="n"/>
      <c r="MJJ1" s="24" t="n"/>
      <c r="MJK1" s="24" t="n"/>
      <c r="MJL1" s="24" t="n"/>
      <c r="MJM1" s="24" t="n"/>
      <c r="MJN1" s="24" t="n"/>
      <c r="MJO1" s="24" t="n"/>
      <c r="MJP1" s="24" t="n"/>
      <c r="MJQ1" s="24" t="n"/>
      <c r="MJR1" s="24" t="n"/>
      <c r="MJS1" s="24" t="n"/>
      <c r="MJT1" s="24" t="n"/>
      <c r="MJU1" s="24" t="n"/>
      <c r="MJV1" s="24" t="n"/>
      <c r="MJW1" s="24" t="n"/>
      <c r="MJX1" s="24" t="n"/>
      <c r="MJY1" s="24" t="n"/>
      <c r="MJZ1" s="24" t="n"/>
      <c r="MKA1" s="24" t="n"/>
      <c r="MKB1" s="24" t="n"/>
      <c r="MKC1" s="24" t="n"/>
      <c r="MKD1" s="24" t="n"/>
      <c r="MKE1" s="24" t="n"/>
      <c r="MKF1" s="24" t="n"/>
      <c r="MKG1" s="24" t="n"/>
      <c r="MKH1" s="24" t="n"/>
      <c r="MKI1" s="24" t="n"/>
      <c r="MKJ1" s="24" t="n"/>
      <c r="MKK1" s="24" t="n"/>
      <c r="MKL1" s="24" t="n"/>
      <c r="MKM1" s="24" t="n"/>
      <c r="MKN1" s="24" t="n"/>
      <c r="MKO1" s="24" t="n"/>
      <c r="MKP1" s="24" t="n"/>
      <c r="MKQ1" s="24" t="n"/>
      <c r="MKR1" s="24" t="n"/>
      <c r="MKS1" s="24" t="n"/>
      <c r="MKT1" s="24" t="n"/>
      <c r="MKU1" s="24" t="n"/>
      <c r="MKV1" s="24" t="n"/>
      <c r="MKW1" s="24" t="n"/>
      <c r="MKX1" s="24" t="n"/>
      <c r="MKY1" s="24" t="n"/>
      <c r="MKZ1" s="24" t="n"/>
      <c r="MLA1" s="24" t="n"/>
      <c r="MLB1" s="24" t="n"/>
      <c r="MLC1" s="24" t="n"/>
      <c r="MLD1" s="24" t="n"/>
      <c r="MLE1" s="24" t="n"/>
      <c r="MLF1" s="24" t="n"/>
      <c r="MLG1" s="24" t="n"/>
      <c r="MLH1" s="24" t="n"/>
      <c r="MLI1" s="24" t="n"/>
      <c r="MLJ1" s="24" t="n"/>
      <c r="MLK1" s="24" t="n"/>
      <c r="MLL1" s="24" t="n"/>
      <c r="MLM1" s="24" t="n"/>
      <c r="MLN1" s="24" t="n"/>
      <c r="MLO1" s="24" t="n"/>
      <c r="MLP1" s="24" t="n"/>
      <c r="MLQ1" s="24" t="n"/>
      <c r="MLR1" s="24" t="n"/>
      <c r="MLS1" s="24" t="n"/>
      <c r="MLT1" s="24" t="n"/>
      <c r="MLU1" s="24" t="n"/>
      <c r="MLV1" s="24" t="n"/>
      <c r="MLW1" s="24" t="n"/>
      <c r="MLX1" s="24" t="n"/>
      <c r="MLY1" s="24" t="n"/>
      <c r="MLZ1" s="24" t="n"/>
      <c r="MMA1" s="24" t="n"/>
      <c r="MMB1" s="24" t="n"/>
      <c r="MMC1" s="24" t="n"/>
      <c r="MMD1" s="24" t="n"/>
      <c r="MME1" s="24" t="n"/>
      <c r="MMF1" s="24" t="n"/>
      <c r="MMG1" s="24" t="n"/>
      <c r="MMH1" s="24" t="n"/>
      <c r="MMI1" s="24" t="n"/>
      <c r="MMJ1" s="24" t="n"/>
      <c r="MMK1" s="24" t="n"/>
      <c r="MML1" s="24" t="n"/>
      <c r="MMM1" s="24" t="n"/>
      <c r="MMN1" s="24" t="n"/>
      <c r="MMO1" s="24" t="n"/>
      <c r="MMP1" s="24" t="n"/>
      <c r="MMQ1" s="24" t="n"/>
      <c r="MMR1" s="24" t="n"/>
      <c r="MMS1" s="24" t="n"/>
      <c r="MMT1" s="24" t="n"/>
      <c r="MMU1" s="24" t="n"/>
      <c r="MMV1" s="24" t="n"/>
      <c r="MMW1" s="24" t="n"/>
      <c r="MMX1" s="24" t="n"/>
      <c r="MMY1" s="24" t="n"/>
      <c r="MMZ1" s="24" t="n"/>
      <c r="MNA1" s="24" t="n"/>
      <c r="MNB1" s="24" t="n"/>
      <c r="MNC1" s="24" t="n"/>
      <c r="MND1" s="24" t="n"/>
      <c r="MNE1" s="24" t="n"/>
      <c r="MNF1" s="24" t="n"/>
      <c r="MNG1" s="24" t="n"/>
      <c r="MNH1" s="24" t="n"/>
      <c r="MNI1" s="24" t="n"/>
      <c r="MNJ1" s="24" t="n"/>
      <c r="MNK1" s="24" t="n"/>
      <c r="MNL1" s="24" t="n"/>
      <c r="MNM1" s="24" t="n"/>
      <c r="MNN1" s="24" t="n"/>
      <c r="MNO1" s="24" t="n"/>
      <c r="MNP1" s="24" t="n"/>
      <c r="MNQ1" s="24" t="n"/>
      <c r="MNR1" s="24" t="n"/>
      <c r="MNS1" s="24" t="n"/>
      <c r="MNT1" s="24" t="n"/>
      <c r="MNU1" s="24" t="n"/>
      <c r="MNV1" s="24" t="n"/>
      <c r="MNW1" s="24" t="n"/>
      <c r="MNX1" s="24" t="n"/>
      <c r="MNY1" s="24" t="n"/>
      <c r="MNZ1" s="24" t="n"/>
      <c r="MOA1" s="24" t="n"/>
      <c r="MOB1" s="24" t="n"/>
      <c r="MOC1" s="24" t="n"/>
      <c r="MOD1" s="24" t="n"/>
      <c r="MOE1" s="24" t="n"/>
      <c r="MOF1" s="24" t="n"/>
      <c r="MOG1" s="24" t="n"/>
      <c r="MOH1" s="24" t="n"/>
      <c r="MOI1" s="24" t="n"/>
      <c r="MOJ1" s="24" t="n"/>
      <c r="MOK1" s="24" t="n"/>
      <c r="MOL1" s="24" t="n"/>
      <c r="MOM1" s="24" t="n"/>
      <c r="MON1" s="24" t="n"/>
      <c r="MOO1" s="24" t="n"/>
      <c r="MOP1" s="24" t="n"/>
      <c r="MOQ1" s="24" t="n"/>
      <c r="MOR1" s="24" t="n"/>
      <c r="MOS1" s="24" t="n"/>
      <c r="MOT1" s="24" t="n"/>
      <c r="MOU1" s="24" t="n"/>
      <c r="MOV1" s="24" t="n"/>
      <c r="MOW1" s="24" t="n"/>
      <c r="MOX1" s="24" t="n"/>
      <c r="MOY1" s="24" t="n"/>
      <c r="MOZ1" s="24" t="n"/>
      <c r="MPA1" s="24" t="n"/>
      <c r="MPB1" s="24" t="n"/>
      <c r="MPC1" s="24" t="n"/>
      <c r="MPD1" s="24" t="n"/>
      <c r="MPE1" s="24" t="n"/>
      <c r="MPF1" s="24" t="n"/>
      <c r="MPG1" s="24" t="n"/>
      <c r="MPH1" s="24" t="n"/>
      <c r="MPI1" s="24" t="n"/>
      <c r="MPJ1" s="24" t="n"/>
      <c r="MPK1" s="24" t="n"/>
      <c r="MPL1" s="24" t="n"/>
      <c r="MPM1" s="24" t="n"/>
      <c r="MPN1" s="24" t="n"/>
      <c r="MPO1" s="24" t="n"/>
      <c r="MPP1" s="24" t="n"/>
      <c r="MPQ1" s="24" t="n"/>
      <c r="MPR1" s="24" t="n"/>
      <c r="MPS1" s="24" t="n"/>
      <c r="MPT1" s="24" t="n"/>
      <c r="MPU1" s="24" t="n"/>
      <c r="MPV1" s="24" t="n"/>
      <c r="MPW1" s="24" t="n"/>
      <c r="MPX1" s="24" t="n"/>
      <c r="MPY1" s="24" t="n"/>
      <c r="MPZ1" s="24" t="n"/>
      <c r="MQA1" s="24" t="n"/>
      <c r="MQB1" s="24" t="n"/>
      <c r="MQC1" s="24" t="n"/>
      <c r="MQD1" s="24" t="n"/>
      <c r="MQE1" s="24" t="n"/>
      <c r="MQF1" s="24" t="n"/>
      <c r="MQG1" s="24" t="n"/>
      <c r="MQH1" s="24" t="n"/>
      <c r="MQI1" s="24" t="n"/>
      <c r="MQJ1" s="24" t="n"/>
      <c r="MQK1" s="24" t="n"/>
      <c r="MQL1" s="24" t="n"/>
      <c r="MQM1" s="24" t="n"/>
      <c r="MQN1" s="24" t="n"/>
      <c r="MQO1" s="24" t="n"/>
      <c r="MQP1" s="24" t="n"/>
      <c r="MQQ1" s="24" t="n"/>
      <c r="MQR1" s="24" t="n"/>
      <c r="MQS1" s="24" t="n"/>
      <c r="MQT1" s="24" t="n"/>
      <c r="MQU1" s="24" t="n"/>
      <c r="MQV1" s="24" t="n"/>
      <c r="MQW1" s="24" t="n"/>
      <c r="MQX1" s="24" t="n"/>
      <c r="MQY1" s="24" t="n"/>
      <c r="MQZ1" s="24" t="n"/>
      <c r="MRA1" s="24" t="n"/>
      <c r="MRB1" s="24" t="n"/>
      <c r="MRC1" s="24" t="n"/>
      <c r="MRD1" s="24" t="n"/>
      <c r="MRE1" s="24" t="n"/>
      <c r="MRF1" s="24" t="n"/>
      <c r="MRG1" s="24" t="n"/>
      <c r="MRH1" s="24" t="n"/>
      <c r="MRI1" s="24" t="n"/>
      <c r="MRJ1" s="24" t="n"/>
      <c r="MRK1" s="24" t="n"/>
      <c r="MRL1" s="24" t="n"/>
      <c r="MRM1" s="24" t="n"/>
      <c r="MRN1" s="24" t="n"/>
      <c r="MRO1" s="24" t="n"/>
      <c r="MRP1" s="24" t="n"/>
      <c r="MRQ1" s="24" t="n"/>
      <c r="MRR1" s="24" t="n"/>
      <c r="MRS1" s="24" t="n"/>
      <c r="MRT1" s="24" t="n"/>
      <c r="MRU1" s="24" t="n"/>
      <c r="MRV1" s="24" t="n"/>
      <c r="MRW1" s="24" t="n"/>
      <c r="MRX1" s="24" t="n"/>
      <c r="MRY1" s="24" t="n"/>
      <c r="MRZ1" s="24" t="n"/>
      <c r="MSA1" s="24" t="n"/>
      <c r="MSB1" s="24" t="n"/>
      <c r="MSC1" s="24" t="n"/>
      <c r="MSD1" s="24" t="n"/>
      <c r="MSE1" s="24" t="n"/>
      <c r="MSF1" s="24" t="n"/>
      <c r="MSG1" s="24" t="n"/>
      <c r="MSH1" s="24" t="n"/>
      <c r="MSI1" s="24" t="n"/>
      <c r="MSJ1" s="24" t="n"/>
      <c r="MSK1" s="24" t="n"/>
      <c r="MSL1" s="24" t="n"/>
      <c r="MSM1" s="24" t="n"/>
      <c r="MSN1" s="24" t="n"/>
      <c r="MSO1" s="24" t="n"/>
      <c r="MSP1" s="24" t="n"/>
      <c r="MSQ1" s="24" t="n"/>
      <c r="MSR1" s="24" t="n"/>
      <c r="MSS1" s="24" t="n"/>
      <c r="MST1" s="24" t="n"/>
      <c r="MSU1" s="24" t="n"/>
      <c r="MSV1" s="24" t="n"/>
      <c r="MSW1" s="24" t="n"/>
      <c r="MSX1" s="24" t="n"/>
      <c r="MSY1" s="24" t="n"/>
      <c r="MSZ1" s="24" t="n"/>
      <c r="MTA1" s="24" t="n"/>
      <c r="MTB1" s="24" t="n"/>
      <c r="MTC1" s="24" t="n"/>
      <c r="MTD1" s="24" t="n"/>
      <c r="MTE1" s="24" t="n"/>
      <c r="MTF1" s="24" t="n"/>
      <c r="MTG1" s="24" t="n"/>
      <c r="MTH1" s="24" t="n"/>
      <c r="MTI1" s="24" t="n"/>
      <c r="MTJ1" s="24" t="n"/>
      <c r="MTK1" s="24" t="n"/>
      <c r="MTL1" s="24" t="n"/>
      <c r="MTM1" s="24" t="n"/>
      <c r="MTN1" s="24" t="n"/>
      <c r="MTO1" s="24" t="n"/>
      <c r="MTP1" s="24" t="n"/>
      <c r="MTQ1" s="24" t="n"/>
      <c r="MTR1" s="24" t="n"/>
      <c r="MTS1" s="24" t="n"/>
      <c r="MTT1" s="24" t="n"/>
      <c r="MTU1" s="24" t="n"/>
      <c r="MTV1" s="24" t="n"/>
      <c r="MTW1" s="24" t="n"/>
      <c r="MTX1" s="24" t="n"/>
      <c r="MTY1" s="24" t="n"/>
      <c r="MTZ1" s="24" t="n"/>
      <c r="MUA1" s="24" t="n"/>
      <c r="MUB1" s="24" t="n"/>
      <c r="MUC1" s="24" t="n"/>
      <c r="MUD1" s="24" t="n"/>
      <c r="MUE1" s="24" t="n"/>
      <c r="MUF1" s="24" t="n"/>
      <c r="MUG1" s="24" t="n"/>
      <c r="MUH1" s="24" t="n"/>
      <c r="MUI1" s="24" t="n"/>
      <c r="MUJ1" s="24" t="n"/>
      <c r="MUK1" s="24" t="n"/>
      <c r="MUL1" s="24" t="n"/>
      <c r="MUM1" s="24" t="n"/>
      <c r="MUN1" s="24" t="n"/>
      <c r="MUO1" s="24" t="n"/>
      <c r="MUP1" s="24" t="n"/>
      <c r="MUQ1" s="24" t="n"/>
      <c r="MUR1" s="24" t="n"/>
      <c r="MUS1" s="24" t="n"/>
      <c r="MUT1" s="24" t="n"/>
      <c r="MUU1" s="24" t="n"/>
      <c r="MUV1" s="24" t="n"/>
      <c r="MUW1" s="24" t="n"/>
      <c r="MUX1" s="24" t="n"/>
      <c r="MUY1" s="24" t="n"/>
      <c r="MUZ1" s="24" t="n"/>
      <c r="MVA1" s="24" t="n"/>
      <c r="MVB1" s="24" t="n"/>
      <c r="MVC1" s="24" t="n"/>
      <c r="MVD1" s="24" t="n"/>
      <c r="MVE1" s="24" t="n"/>
      <c r="MVF1" s="24" t="n"/>
      <c r="MVG1" s="24" t="n"/>
      <c r="MVH1" s="24" t="n"/>
      <c r="MVI1" s="24" t="n"/>
      <c r="MVJ1" s="24" t="n"/>
      <c r="MVK1" s="24" t="n"/>
      <c r="MVL1" s="24" t="n"/>
      <c r="MVM1" s="24" t="n"/>
      <c r="MVN1" s="24" t="n"/>
      <c r="MVO1" s="24" t="n"/>
      <c r="MVP1" s="24" t="n"/>
      <c r="MVQ1" s="24" t="n"/>
      <c r="MVR1" s="24" t="n"/>
      <c r="MVS1" s="24" t="n"/>
      <c r="MVT1" s="24" t="n"/>
      <c r="MVU1" s="24" t="n"/>
      <c r="MVV1" s="24" t="n"/>
      <c r="MVW1" s="24" t="n"/>
      <c r="MVX1" s="24" t="n"/>
      <c r="MVY1" s="24" t="n"/>
      <c r="MVZ1" s="24" t="n"/>
      <c r="MWA1" s="24" t="n"/>
      <c r="MWB1" s="24" t="n"/>
      <c r="MWC1" s="24" t="n"/>
      <c r="MWD1" s="24" t="n"/>
      <c r="MWE1" s="24" t="n"/>
      <c r="MWF1" s="24" t="n"/>
      <c r="MWG1" s="24" t="n"/>
      <c r="MWH1" s="24" t="n"/>
      <c r="MWI1" s="24" t="n"/>
      <c r="MWJ1" s="24" t="n"/>
      <c r="MWK1" s="24" t="n"/>
      <c r="MWL1" s="24" t="n"/>
      <c r="MWM1" s="24" t="n"/>
      <c r="MWN1" s="24" t="n"/>
      <c r="MWO1" s="24" t="n"/>
      <c r="MWP1" s="24" t="n"/>
      <c r="MWQ1" s="24" t="n"/>
      <c r="MWR1" s="24" t="n"/>
      <c r="MWS1" s="24" t="n"/>
      <c r="MWT1" s="24" t="n"/>
      <c r="MWU1" s="24" t="n"/>
      <c r="MWV1" s="24" t="n"/>
      <c r="MWW1" s="24" t="n"/>
      <c r="MWX1" s="24" t="n"/>
      <c r="MWY1" s="24" t="n"/>
      <c r="MWZ1" s="24" t="n"/>
      <c r="MXA1" s="24" t="n"/>
      <c r="MXB1" s="24" t="n"/>
      <c r="MXC1" s="24" t="n"/>
      <c r="MXD1" s="24" t="n"/>
      <c r="MXE1" s="24" t="n"/>
      <c r="MXF1" s="24" t="n"/>
      <c r="MXG1" s="24" t="n"/>
      <c r="MXH1" s="24" t="n"/>
      <c r="MXI1" s="24" t="n"/>
      <c r="MXJ1" s="24" t="n"/>
      <c r="MXK1" s="24" t="n"/>
      <c r="MXL1" s="24" t="n"/>
      <c r="MXM1" s="24" t="n"/>
      <c r="MXN1" s="24" t="n"/>
      <c r="MXO1" s="24" t="n"/>
      <c r="MXP1" s="24" t="n"/>
      <c r="MXQ1" s="24" t="n"/>
      <c r="MXR1" s="24" t="n"/>
      <c r="MXS1" s="24" t="n"/>
      <c r="MXT1" s="24" t="n"/>
      <c r="MXU1" s="24" t="n"/>
      <c r="MXV1" s="24" t="n"/>
      <c r="MXW1" s="24" t="n"/>
      <c r="MXX1" s="24" t="n"/>
      <c r="MXY1" s="24" t="n"/>
      <c r="MXZ1" s="24" t="n"/>
      <c r="MYA1" s="24" t="n"/>
      <c r="MYB1" s="24" t="n"/>
      <c r="MYC1" s="24" t="n"/>
      <c r="MYD1" s="24" t="n"/>
      <c r="MYE1" s="24" t="n"/>
      <c r="MYF1" s="24" t="n"/>
      <c r="MYG1" s="24" t="n"/>
      <c r="MYH1" s="24" t="n"/>
      <c r="MYI1" s="24" t="n"/>
      <c r="MYJ1" s="24" t="n"/>
      <c r="MYK1" s="24" t="n"/>
      <c r="MYL1" s="24" t="n"/>
      <c r="MYM1" s="24" t="n"/>
      <c r="MYN1" s="24" t="n"/>
      <c r="MYO1" s="24" t="n"/>
      <c r="MYP1" s="24" t="n"/>
      <c r="MYQ1" s="24" t="n"/>
      <c r="MYR1" s="24" t="n"/>
      <c r="MYS1" s="24" t="n"/>
      <c r="MYT1" s="24" t="n"/>
      <c r="MYU1" s="24" t="n"/>
      <c r="MYV1" s="24" t="n"/>
      <c r="MYW1" s="24" t="n"/>
      <c r="MYX1" s="24" t="n"/>
      <c r="MYY1" s="24" t="n"/>
      <c r="MYZ1" s="24" t="n"/>
      <c r="MZA1" s="24" t="n"/>
      <c r="MZB1" s="24" t="n"/>
      <c r="MZC1" s="24" t="n"/>
      <c r="MZD1" s="24" t="n"/>
      <c r="MZE1" s="24" t="n"/>
      <c r="MZF1" s="24" t="n"/>
      <c r="MZG1" s="24" t="n"/>
      <c r="MZH1" s="24" t="n"/>
      <c r="MZI1" s="24" t="n"/>
      <c r="MZJ1" s="24" t="n"/>
      <c r="MZK1" s="24" t="n"/>
      <c r="MZL1" s="24" t="n"/>
      <c r="MZM1" s="24" t="n"/>
      <c r="MZN1" s="24" t="n"/>
      <c r="MZO1" s="24" t="n"/>
      <c r="MZP1" s="24" t="n"/>
      <c r="MZQ1" s="24" t="n"/>
      <c r="MZR1" s="24" t="n"/>
      <c r="MZS1" s="24" t="n"/>
      <c r="MZT1" s="24" t="n"/>
      <c r="MZU1" s="24" t="n"/>
      <c r="MZV1" s="24" t="n"/>
      <c r="MZW1" s="24" t="n"/>
      <c r="MZX1" s="24" t="n"/>
      <c r="MZY1" s="24" t="n"/>
      <c r="MZZ1" s="24" t="n"/>
      <c r="NAA1" s="24" t="n"/>
      <c r="NAB1" s="24" t="n"/>
      <c r="NAC1" s="24" t="n"/>
      <c r="NAD1" s="24" t="n"/>
      <c r="NAE1" s="24" t="n"/>
      <c r="NAF1" s="24" t="n"/>
      <c r="NAG1" s="24" t="n"/>
      <c r="NAH1" s="24" t="n"/>
      <c r="NAI1" s="24" t="n"/>
      <c r="NAJ1" s="24" t="n"/>
      <c r="NAK1" s="24" t="n"/>
      <c r="NAL1" s="24" t="n"/>
      <c r="NAM1" s="24" t="n"/>
      <c r="NAN1" s="24" t="n"/>
      <c r="NAO1" s="24" t="n"/>
      <c r="NAP1" s="24" t="n"/>
      <c r="NAQ1" s="24" t="n"/>
      <c r="NAR1" s="24" t="n"/>
      <c r="NAS1" s="24" t="n"/>
      <c r="NAT1" s="24" t="n"/>
      <c r="NAU1" s="24" t="n"/>
      <c r="NAV1" s="24" t="n"/>
      <c r="NAW1" s="24" t="n"/>
      <c r="NAX1" s="24" t="n"/>
      <c r="NAY1" s="24" t="n"/>
      <c r="NAZ1" s="24" t="n"/>
      <c r="NBA1" s="24" t="n"/>
      <c r="NBB1" s="24" t="n"/>
      <c r="NBC1" s="24" t="n"/>
      <c r="NBD1" s="24" t="n"/>
      <c r="NBE1" s="24" t="n"/>
      <c r="NBF1" s="24" t="n"/>
      <c r="NBG1" s="24" t="n"/>
      <c r="NBH1" s="24" t="n"/>
      <c r="NBI1" s="24" t="n"/>
      <c r="NBJ1" s="24" t="n"/>
      <c r="NBK1" s="24" t="n"/>
      <c r="NBL1" s="24" t="n"/>
      <c r="NBM1" s="24" t="n"/>
      <c r="NBN1" s="24" t="n"/>
      <c r="NBO1" s="24" t="n"/>
      <c r="NBP1" s="24" t="n"/>
      <c r="NBQ1" s="24" t="n"/>
      <c r="NBR1" s="24" t="n"/>
      <c r="NBS1" s="24" t="n"/>
      <c r="NBT1" s="24" t="n"/>
      <c r="NBU1" s="24" t="n"/>
      <c r="NBV1" s="24" t="n"/>
      <c r="NBW1" s="24" t="n"/>
      <c r="NBX1" s="24" t="n"/>
      <c r="NBY1" s="24" t="n"/>
      <c r="NBZ1" s="24" t="n"/>
      <c r="NCA1" s="24" t="n"/>
      <c r="NCB1" s="24" t="n"/>
      <c r="NCC1" s="24" t="n"/>
      <c r="NCD1" s="24" t="n"/>
      <c r="NCE1" s="24" t="n"/>
      <c r="NCF1" s="24" t="n"/>
      <c r="NCG1" s="24" t="n"/>
      <c r="NCH1" s="24" t="n"/>
      <c r="NCI1" s="24" t="n"/>
      <c r="NCJ1" s="24" t="n"/>
      <c r="NCK1" s="24" t="n"/>
      <c r="NCL1" s="24" t="n"/>
      <c r="NCM1" s="24" t="n"/>
      <c r="NCN1" s="24" t="n"/>
      <c r="NCO1" s="24" t="n"/>
      <c r="NCP1" s="24" t="n"/>
      <c r="NCQ1" s="24" t="n"/>
      <c r="NCR1" s="24" t="n"/>
      <c r="NCS1" s="24" t="n"/>
      <c r="NCT1" s="24" t="n"/>
      <c r="NCU1" s="24" t="n"/>
      <c r="NCV1" s="24" t="n"/>
      <c r="NCW1" s="24" t="n"/>
      <c r="NCX1" s="24" t="n"/>
      <c r="NCY1" s="24" t="n"/>
      <c r="NCZ1" s="24" t="n"/>
      <c r="NDA1" s="24" t="n"/>
      <c r="NDB1" s="24" t="n"/>
      <c r="NDC1" s="24" t="n"/>
      <c r="NDD1" s="24" t="n"/>
      <c r="NDE1" s="24" t="n"/>
      <c r="NDF1" s="24" t="n"/>
      <c r="NDG1" s="24" t="n"/>
      <c r="NDH1" s="24" t="n"/>
      <c r="NDI1" s="24" t="n"/>
      <c r="NDJ1" s="24" t="n"/>
      <c r="NDK1" s="24" t="n"/>
      <c r="NDL1" s="24" t="n"/>
      <c r="NDM1" s="24" t="n"/>
      <c r="NDN1" s="24" t="n"/>
      <c r="NDO1" s="24" t="n"/>
      <c r="NDP1" s="24" t="n"/>
      <c r="NDQ1" s="24" t="n"/>
      <c r="NDR1" s="24" t="n"/>
      <c r="NDS1" s="24" t="n"/>
      <c r="NDT1" s="24" t="n"/>
      <c r="NDU1" s="24" t="n"/>
      <c r="NDV1" s="24" t="n"/>
      <c r="NDW1" s="24" t="n"/>
      <c r="NDX1" s="24" t="n"/>
      <c r="NDY1" s="24" t="n"/>
      <c r="NDZ1" s="24" t="n"/>
      <c r="NEA1" s="24" t="n"/>
      <c r="NEB1" s="24" t="n"/>
      <c r="NEC1" s="24" t="n"/>
      <c r="NED1" s="24" t="n"/>
      <c r="NEE1" s="24" t="n"/>
      <c r="NEF1" s="24" t="n"/>
      <c r="NEG1" s="24" t="n"/>
      <c r="NEH1" s="24" t="n"/>
      <c r="NEI1" s="24" t="n"/>
      <c r="NEJ1" s="24" t="n"/>
      <c r="NEK1" s="24" t="n"/>
      <c r="NEL1" s="24" t="n"/>
      <c r="NEM1" s="24" t="n"/>
      <c r="NEN1" s="24" t="n"/>
      <c r="NEO1" s="24" t="n"/>
      <c r="NEP1" s="24" t="n"/>
      <c r="NEQ1" s="24" t="n"/>
      <c r="NER1" s="24" t="n"/>
      <c r="NES1" s="24" t="n"/>
      <c r="NET1" s="24" t="n"/>
      <c r="NEU1" s="24" t="n"/>
      <c r="NEV1" s="24" t="n"/>
      <c r="NEW1" s="24" t="n"/>
      <c r="NEX1" s="24" t="n"/>
      <c r="NEY1" s="24" t="n"/>
      <c r="NEZ1" s="24" t="n"/>
      <c r="NFA1" s="24" t="n"/>
      <c r="NFB1" s="24" t="n"/>
      <c r="NFC1" s="24" t="n"/>
      <c r="NFD1" s="24" t="n"/>
      <c r="NFE1" s="24" t="n"/>
      <c r="NFF1" s="24" t="n"/>
      <c r="NFG1" s="24" t="n"/>
      <c r="NFH1" s="24" t="n"/>
      <c r="NFI1" s="24" t="n"/>
      <c r="NFJ1" s="24" t="n"/>
      <c r="NFK1" s="24" t="n"/>
      <c r="NFL1" s="24" t="n"/>
      <c r="NFM1" s="24" t="n"/>
      <c r="NFN1" s="24" t="n"/>
      <c r="NFO1" s="24" t="n"/>
      <c r="NFP1" s="24" t="n"/>
      <c r="NFQ1" s="24" t="n"/>
      <c r="NFR1" s="24" t="n"/>
      <c r="NFS1" s="24" t="n"/>
      <c r="NFT1" s="24" t="n"/>
      <c r="NFU1" s="24" t="n"/>
      <c r="NFV1" s="24" t="n"/>
      <c r="NFW1" s="24" t="n"/>
      <c r="NFX1" s="24" t="n"/>
      <c r="NFY1" s="24" t="n"/>
      <c r="NFZ1" s="24" t="n"/>
      <c r="NGA1" s="24" t="n"/>
      <c r="NGB1" s="24" t="n"/>
      <c r="NGC1" s="24" t="n"/>
      <c r="NGD1" s="24" t="n"/>
      <c r="NGE1" s="24" t="n"/>
      <c r="NGF1" s="24" t="n"/>
      <c r="NGG1" s="24" t="n"/>
      <c r="NGH1" s="24" t="n"/>
      <c r="NGI1" s="24" t="n"/>
      <c r="NGJ1" s="24" t="n"/>
      <c r="NGK1" s="24" t="n"/>
      <c r="NGL1" s="24" t="n"/>
      <c r="NGM1" s="24" t="n"/>
      <c r="NGN1" s="24" t="n"/>
      <c r="NGO1" s="24" t="n"/>
      <c r="NGP1" s="24" t="n"/>
      <c r="NGQ1" s="24" t="n"/>
      <c r="NGR1" s="24" t="n"/>
      <c r="NGS1" s="24" t="n"/>
      <c r="NGT1" s="24" t="n"/>
      <c r="NGU1" s="24" t="n"/>
      <c r="NGV1" s="24" t="n"/>
      <c r="NGW1" s="24" t="n"/>
      <c r="NGX1" s="24" t="n"/>
      <c r="NGY1" s="24" t="n"/>
      <c r="NGZ1" s="24" t="n"/>
      <c r="NHA1" s="24" t="n"/>
      <c r="NHB1" s="24" t="n"/>
      <c r="NHC1" s="24" t="n"/>
      <c r="NHD1" s="24" t="n"/>
      <c r="NHE1" s="24" t="n"/>
      <c r="NHF1" s="24" t="n"/>
      <c r="NHG1" s="24" t="n"/>
      <c r="NHH1" s="24" t="n"/>
      <c r="NHI1" s="24" t="n"/>
      <c r="NHJ1" s="24" t="n"/>
      <c r="NHK1" s="24" t="n"/>
      <c r="NHL1" s="24" t="n"/>
      <c r="NHM1" s="24" t="n"/>
      <c r="NHN1" s="24" t="n"/>
      <c r="NHO1" s="24" t="n"/>
      <c r="NHP1" s="24" t="n"/>
      <c r="NHQ1" s="24" t="n"/>
      <c r="NHR1" s="24" t="n"/>
      <c r="NHS1" s="24" t="n"/>
      <c r="NHT1" s="24" t="n"/>
      <c r="NHU1" s="24" t="n"/>
      <c r="NHV1" s="24" t="n"/>
      <c r="NHW1" s="24" t="n"/>
      <c r="NHX1" s="24" t="n"/>
      <c r="NHY1" s="24" t="n"/>
      <c r="NHZ1" s="24" t="n"/>
      <c r="NIA1" s="24" t="n"/>
      <c r="NIB1" s="24" t="n"/>
      <c r="NIC1" s="24" t="n"/>
      <c r="NID1" s="24" t="n"/>
      <c r="NIE1" s="24" t="n"/>
      <c r="NIF1" s="24" t="n"/>
      <c r="NIG1" s="24" t="n"/>
      <c r="NIH1" s="24" t="n"/>
      <c r="NII1" s="24" t="n"/>
      <c r="NIJ1" s="24" t="n"/>
      <c r="NIK1" s="24" t="n"/>
      <c r="NIL1" s="24" t="n"/>
      <c r="NIM1" s="24" t="n"/>
      <c r="NIN1" s="24" t="n"/>
      <c r="NIO1" s="24" t="n"/>
      <c r="NIP1" s="24" t="n"/>
      <c r="NIQ1" s="24" t="n"/>
      <c r="NIR1" s="24" t="n"/>
      <c r="NIS1" s="24" t="n"/>
      <c r="NIT1" s="24" t="n"/>
      <c r="NIU1" s="24" t="n"/>
      <c r="NIV1" s="24" t="n"/>
      <c r="NIW1" s="24" t="n"/>
      <c r="NIX1" s="24" t="n"/>
      <c r="NIY1" s="24" t="n"/>
      <c r="NIZ1" s="24" t="n"/>
      <c r="NJA1" s="24" t="n"/>
      <c r="NJB1" s="24" t="n"/>
      <c r="NJC1" s="24" t="n"/>
      <c r="NJD1" s="24" t="n"/>
      <c r="NJE1" s="24" t="n"/>
      <c r="NJF1" s="24" t="n"/>
      <c r="NJG1" s="24" t="n"/>
      <c r="NJH1" s="24" t="n"/>
      <c r="NJI1" s="24" t="n"/>
      <c r="NJJ1" s="24" t="n"/>
      <c r="NJK1" s="24" t="n"/>
      <c r="NJL1" s="24" t="n"/>
      <c r="NJM1" s="24" t="n"/>
      <c r="NJN1" s="24" t="n"/>
      <c r="NJO1" s="24" t="n"/>
      <c r="NJP1" s="24" t="n"/>
      <c r="NJQ1" s="24" t="n"/>
      <c r="NJR1" s="24" t="n"/>
      <c r="NJS1" s="24" t="n"/>
      <c r="NJT1" s="24" t="n"/>
      <c r="NJU1" s="24" t="n"/>
      <c r="NJV1" s="24" t="n"/>
      <c r="NJW1" s="24" t="n"/>
      <c r="NJX1" s="24" t="n"/>
      <c r="NJY1" s="24" t="n"/>
      <c r="NJZ1" s="24" t="n"/>
      <c r="NKA1" s="24" t="n"/>
      <c r="NKB1" s="24" t="n"/>
      <c r="NKC1" s="24" t="n"/>
      <c r="NKD1" s="24" t="n"/>
      <c r="NKE1" s="24" t="n"/>
      <c r="NKF1" s="24" t="n"/>
      <c r="NKG1" s="24" t="n"/>
      <c r="NKH1" s="24" t="n"/>
      <c r="NKI1" s="24" t="n"/>
      <c r="NKJ1" s="24" t="n"/>
      <c r="NKK1" s="24" t="n"/>
      <c r="NKL1" s="24" t="n"/>
      <c r="NKM1" s="24" t="n"/>
      <c r="NKN1" s="24" t="n"/>
      <c r="NKO1" s="24" t="n"/>
      <c r="NKP1" s="24" t="n"/>
      <c r="NKQ1" s="24" t="n"/>
      <c r="NKR1" s="24" t="n"/>
      <c r="NKS1" s="24" t="n"/>
      <c r="NKT1" s="24" t="n"/>
      <c r="NKU1" s="24" t="n"/>
      <c r="NKV1" s="24" t="n"/>
      <c r="NKW1" s="24" t="n"/>
      <c r="NKX1" s="24" t="n"/>
      <c r="NKY1" s="24" t="n"/>
      <c r="NKZ1" s="24" t="n"/>
      <c r="NLA1" s="24" t="n"/>
      <c r="NLB1" s="24" t="n"/>
      <c r="NLC1" s="24" t="n"/>
      <c r="NLD1" s="24" t="n"/>
      <c r="NLE1" s="24" t="n"/>
      <c r="NLF1" s="24" t="n"/>
      <c r="NLG1" s="24" t="n"/>
      <c r="NLH1" s="24" t="n"/>
      <c r="NLI1" s="24" t="n"/>
      <c r="NLJ1" s="24" t="n"/>
      <c r="NLK1" s="24" t="n"/>
      <c r="NLL1" s="24" t="n"/>
      <c r="NLM1" s="24" t="n"/>
      <c r="NLN1" s="24" t="n"/>
      <c r="NLO1" s="24" t="n"/>
      <c r="NLP1" s="24" t="n"/>
      <c r="NLQ1" s="24" t="n"/>
      <c r="NLR1" s="24" t="n"/>
      <c r="NLS1" s="24" t="n"/>
      <c r="NLT1" s="24" t="n"/>
      <c r="NLU1" s="24" t="n"/>
      <c r="NLV1" s="24" t="n"/>
      <c r="NLW1" s="24" t="n"/>
      <c r="NLX1" s="24" t="n"/>
      <c r="NLY1" s="24" t="n"/>
      <c r="NLZ1" s="24" t="n"/>
      <c r="NMA1" s="24" t="n"/>
      <c r="NMB1" s="24" t="n"/>
      <c r="NMC1" s="24" t="n"/>
      <c r="NMD1" s="24" t="n"/>
      <c r="NME1" s="24" t="n"/>
      <c r="NMF1" s="24" t="n"/>
      <c r="NMG1" s="24" t="n"/>
      <c r="NMH1" s="24" t="n"/>
      <c r="NMI1" s="24" t="n"/>
      <c r="NMJ1" s="24" t="n"/>
      <c r="NMK1" s="24" t="n"/>
      <c r="NML1" s="24" t="n"/>
      <c r="NMM1" s="24" t="n"/>
      <c r="NMN1" s="24" t="n"/>
      <c r="NMO1" s="24" t="n"/>
      <c r="NMP1" s="24" t="n"/>
      <c r="NMQ1" s="24" t="n"/>
      <c r="NMR1" s="24" t="n"/>
      <c r="NMS1" s="24" t="n"/>
      <c r="NMT1" s="24" t="n"/>
      <c r="NMU1" s="24" t="n"/>
      <c r="NMV1" s="24" t="n"/>
      <c r="NMW1" s="24" t="n"/>
      <c r="NMX1" s="24" t="n"/>
      <c r="NMY1" s="24" t="n"/>
      <c r="NMZ1" s="24" t="n"/>
      <c r="NNA1" s="24" t="n"/>
      <c r="NNB1" s="24" t="n"/>
      <c r="NNC1" s="24" t="n"/>
      <c r="NND1" s="24" t="n"/>
      <c r="NNE1" s="24" t="n"/>
      <c r="NNF1" s="24" t="n"/>
      <c r="NNG1" s="24" t="n"/>
      <c r="NNH1" s="24" t="n"/>
      <c r="NNI1" s="24" t="n"/>
      <c r="NNJ1" s="24" t="n"/>
      <c r="NNK1" s="24" t="n"/>
      <c r="NNL1" s="24" t="n"/>
      <c r="NNM1" s="24" t="n"/>
      <c r="NNN1" s="24" t="n"/>
      <c r="NNO1" s="24" t="n"/>
      <c r="NNP1" s="24" t="n"/>
      <c r="NNQ1" s="24" t="n"/>
      <c r="NNR1" s="24" t="n"/>
      <c r="NNS1" s="24" t="n"/>
      <c r="NNT1" s="24" t="n"/>
      <c r="NNU1" s="24" t="n"/>
      <c r="NNV1" s="24" t="n"/>
      <c r="NNW1" s="24" t="n"/>
      <c r="NNX1" s="24" t="n"/>
      <c r="NNY1" s="24" t="n"/>
      <c r="NNZ1" s="24" t="n"/>
      <c r="NOA1" s="24" t="n"/>
      <c r="NOB1" s="24" t="n"/>
      <c r="NOC1" s="24" t="n"/>
      <c r="NOD1" s="24" t="n"/>
      <c r="NOE1" s="24" t="n"/>
      <c r="NOF1" s="24" t="n"/>
      <c r="NOG1" s="24" t="n"/>
      <c r="NOH1" s="24" t="n"/>
      <c r="NOI1" s="24" t="n"/>
      <c r="NOJ1" s="24" t="n"/>
      <c r="NOK1" s="24" t="n"/>
      <c r="NOL1" s="24" t="n"/>
      <c r="NOM1" s="24" t="n"/>
      <c r="NON1" s="24" t="n"/>
      <c r="NOO1" s="24" t="n"/>
      <c r="NOP1" s="24" t="n"/>
      <c r="NOQ1" s="24" t="n"/>
      <c r="NOR1" s="24" t="n"/>
      <c r="NOS1" s="24" t="n"/>
      <c r="NOT1" s="24" t="n"/>
      <c r="NOU1" s="24" t="n"/>
      <c r="NOV1" s="24" t="n"/>
      <c r="NOW1" s="24" t="n"/>
      <c r="NOX1" s="24" t="n"/>
      <c r="NOY1" s="24" t="n"/>
      <c r="NOZ1" s="24" t="n"/>
      <c r="NPA1" s="24" t="n"/>
      <c r="NPB1" s="24" t="n"/>
      <c r="NPC1" s="24" t="n"/>
      <c r="NPD1" s="24" t="n"/>
      <c r="NPE1" s="24" t="n"/>
      <c r="NPF1" s="24" t="n"/>
      <c r="NPG1" s="24" t="n"/>
      <c r="NPH1" s="24" t="n"/>
      <c r="NPI1" s="24" t="n"/>
      <c r="NPJ1" s="24" t="n"/>
      <c r="NPK1" s="24" t="n"/>
      <c r="NPL1" s="24" t="n"/>
      <c r="NPM1" s="24" t="n"/>
      <c r="NPN1" s="24" t="n"/>
      <c r="NPO1" s="24" t="n"/>
      <c r="NPP1" s="24" t="n"/>
      <c r="NPQ1" s="24" t="n"/>
      <c r="NPR1" s="24" t="n"/>
      <c r="NPS1" s="24" t="n"/>
      <c r="NPT1" s="24" t="n"/>
      <c r="NPU1" s="24" t="n"/>
      <c r="NPV1" s="24" t="n"/>
      <c r="NPW1" s="24" t="n"/>
      <c r="NPX1" s="24" t="n"/>
      <c r="NPY1" s="24" t="n"/>
      <c r="NPZ1" s="24" t="n"/>
      <c r="NQA1" s="24" t="n"/>
      <c r="NQB1" s="24" t="n"/>
      <c r="NQC1" s="24" t="n"/>
      <c r="NQD1" s="24" t="n"/>
      <c r="NQE1" s="24" t="n"/>
      <c r="NQF1" s="24" t="n"/>
      <c r="NQG1" s="24" t="n"/>
      <c r="NQH1" s="24" t="n"/>
      <c r="NQI1" s="24" t="n"/>
      <c r="NQJ1" s="24" t="n"/>
      <c r="NQK1" s="24" t="n"/>
      <c r="NQL1" s="24" t="n"/>
      <c r="NQM1" s="24" t="n"/>
      <c r="NQN1" s="24" t="n"/>
      <c r="NQO1" s="24" t="n"/>
      <c r="NQP1" s="24" t="n"/>
      <c r="NQQ1" s="24" t="n"/>
      <c r="NQR1" s="24" t="n"/>
      <c r="NQS1" s="24" t="n"/>
      <c r="NQT1" s="24" t="n"/>
      <c r="NQU1" s="24" t="n"/>
      <c r="NQV1" s="24" t="n"/>
      <c r="NQW1" s="24" t="n"/>
      <c r="NQX1" s="24" t="n"/>
      <c r="NQY1" s="24" t="n"/>
      <c r="NQZ1" s="24" t="n"/>
      <c r="NRA1" s="24" t="n"/>
      <c r="NRB1" s="24" t="n"/>
      <c r="NRC1" s="24" t="n"/>
      <c r="NRD1" s="24" t="n"/>
      <c r="NRE1" s="24" t="n"/>
      <c r="NRF1" s="24" t="n"/>
      <c r="NRG1" s="24" t="n"/>
      <c r="NRH1" s="24" t="n"/>
      <c r="NRI1" s="24" t="n"/>
      <c r="NRJ1" s="24" t="n"/>
      <c r="NRK1" s="24" t="n"/>
      <c r="NRL1" s="24" t="n"/>
      <c r="NRM1" s="24" t="n"/>
      <c r="NRN1" s="24" t="n"/>
      <c r="NRO1" s="24" t="n"/>
      <c r="NRP1" s="24" t="n"/>
      <c r="NRQ1" s="24" t="n"/>
      <c r="NRR1" s="24" t="n"/>
      <c r="NRS1" s="24" t="n"/>
      <c r="NRT1" s="24" t="n"/>
      <c r="NRU1" s="24" t="n"/>
      <c r="NRV1" s="24" t="n"/>
      <c r="NRW1" s="24" t="n"/>
      <c r="NRX1" s="24" t="n"/>
      <c r="NRY1" s="24" t="n"/>
      <c r="NRZ1" s="24" t="n"/>
      <c r="NSA1" s="24" t="n"/>
      <c r="NSB1" s="24" t="n"/>
      <c r="NSC1" s="24" t="n"/>
      <c r="NSD1" s="24" t="n"/>
      <c r="NSE1" s="24" t="n"/>
      <c r="NSF1" s="24" t="n"/>
      <c r="NSG1" s="24" t="n"/>
      <c r="NSH1" s="24" t="n"/>
      <c r="NSI1" s="24" t="n"/>
      <c r="NSJ1" s="24" t="n"/>
      <c r="NSK1" s="24" t="n"/>
      <c r="NSL1" s="24" t="n"/>
      <c r="NSM1" s="24" t="n"/>
      <c r="NSN1" s="24" t="n"/>
      <c r="NSO1" s="24" t="n"/>
      <c r="NSP1" s="24" t="n"/>
      <c r="NSQ1" s="24" t="n"/>
      <c r="NSR1" s="24" t="n"/>
      <c r="NSS1" s="24" t="n"/>
      <c r="NST1" s="24" t="n"/>
      <c r="NSU1" s="24" t="n"/>
      <c r="NSV1" s="24" t="n"/>
      <c r="NSW1" s="24" t="n"/>
      <c r="NSX1" s="24" t="n"/>
      <c r="NSY1" s="24" t="n"/>
      <c r="NSZ1" s="24" t="n"/>
      <c r="NTA1" s="24" t="n"/>
      <c r="NTB1" s="24" t="n"/>
      <c r="NTC1" s="24" t="n"/>
      <c r="NTD1" s="24" t="n"/>
      <c r="NTE1" s="24" t="n"/>
      <c r="NTF1" s="24" t="n"/>
      <c r="NTG1" s="24" t="n"/>
      <c r="NTH1" s="24" t="n"/>
      <c r="NTI1" s="24" t="n"/>
      <c r="NTJ1" s="24" t="n"/>
      <c r="NTK1" s="24" t="n"/>
      <c r="NTL1" s="24" t="n"/>
      <c r="NTM1" s="24" t="n"/>
      <c r="NTN1" s="24" t="n"/>
      <c r="NTO1" s="24" t="n"/>
      <c r="NTP1" s="24" t="n"/>
      <c r="NTQ1" s="24" t="n"/>
      <c r="NTR1" s="24" t="n"/>
      <c r="NTS1" s="24" t="n"/>
      <c r="NTT1" s="24" t="n"/>
      <c r="NTU1" s="24" t="n"/>
      <c r="NTV1" s="24" t="n"/>
      <c r="NTW1" s="24" t="n"/>
      <c r="NTX1" s="24" t="n"/>
      <c r="NTY1" s="24" t="n"/>
      <c r="NTZ1" s="24" t="n"/>
      <c r="NUA1" s="24" t="n"/>
      <c r="NUB1" s="24" t="n"/>
      <c r="NUC1" s="24" t="n"/>
      <c r="NUD1" s="24" t="n"/>
      <c r="NUE1" s="24" t="n"/>
      <c r="NUF1" s="24" t="n"/>
      <c r="NUG1" s="24" t="n"/>
      <c r="NUH1" s="24" t="n"/>
      <c r="NUI1" s="24" t="n"/>
      <c r="NUJ1" s="24" t="n"/>
      <c r="NUK1" s="24" t="n"/>
      <c r="NUL1" s="24" t="n"/>
      <c r="NUM1" s="24" t="n"/>
      <c r="NUN1" s="24" t="n"/>
      <c r="NUO1" s="24" t="n"/>
      <c r="NUP1" s="24" t="n"/>
      <c r="NUQ1" s="24" t="n"/>
      <c r="NUR1" s="24" t="n"/>
      <c r="NUS1" s="24" t="n"/>
      <c r="NUT1" s="24" t="n"/>
      <c r="NUU1" s="24" t="n"/>
      <c r="NUV1" s="24" t="n"/>
      <c r="NUW1" s="24" t="n"/>
      <c r="NUX1" s="24" t="n"/>
      <c r="NUY1" s="24" t="n"/>
      <c r="NUZ1" s="24" t="n"/>
      <c r="NVA1" s="24" t="n"/>
      <c r="NVB1" s="24" t="n"/>
      <c r="NVC1" s="24" t="n"/>
      <c r="NVD1" s="24" t="n"/>
      <c r="NVE1" s="24" t="n"/>
      <c r="NVF1" s="24" t="n"/>
      <c r="NVG1" s="24" t="n"/>
      <c r="NVH1" s="24" t="n"/>
      <c r="NVI1" s="24" t="n"/>
      <c r="NVJ1" s="24" t="n"/>
      <c r="NVK1" s="24" t="n"/>
      <c r="NVL1" s="24" t="n"/>
      <c r="NVM1" s="24" t="n"/>
      <c r="NVN1" s="24" t="n"/>
      <c r="NVO1" s="24" t="n"/>
      <c r="NVP1" s="24" t="n"/>
      <c r="NVQ1" s="24" t="n"/>
      <c r="NVR1" s="24" t="n"/>
      <c r="NVS1" s="24" t="n"/>
      <c r="NVT1" s="24" t="n"/>
      <c r="NVU1" s="24" t="n"/>
      <c r="NVV1" s="24" t="n"/>
      <c r="NVW1" s="24" t="n"/>
      <c r="NVX1" s="24" t="n"/>
      <c r="NVY1" s="24" t="n"/>
      <c r="NVZ1" s="24" t="n"/>
      <c r="NWA1" s="24" t="n"/>
      <c r="NWB1" s="24" t="n"/>
      <c r="NWC1" s="24" t="n"/>
      <c r="NWD1" s="24" t="n"/>
      <c r="NWE1" s="24" t="n"/>
      <c r="NWF1" s="24" t="n"/>
      <c r="NWG1" s="24" t="n"/>
      <c r="NWH1" s="24" t="n"/>
      <c r="NWI1" s="24" t="n"/>
      <c r="NWJ1" s="24" t="n"/>
      <c r="NWK1" s="24" t="n"/>
      <c r="NWL1" s="24" t="n"/>
      <c r="NWM1" s="24" t="n"/>
      <c r="NWN1" s="24" t="n"/>
      <c r="NWO1" s="24" t="n"/>
      <c r="NWP1" s="24" t="n"/>
      <c r="NWQ1" s="24" t="n"/>
      <c r="NWR1" s="24" t="n"/>
      <c r="NWS1" s="24" t="n"/>
      <c r="NWT1" s="24" t="n"/>
      <c r="NWU1" s="24" t="n"/>
      <c r="NWV1" s="24" t="n"/>
      <c r="NWW1" s="24" t="n"/>
      <c r="NWX1" s="24" t="n"/>
      <c r="NWY1" s="24" t="n"/>
      <c r="NWZ1" s="24" t="n"/>
      <c r="NXA1" s="24" t="n"/>
      <c r="NXB1" s="24" t="n"/>
      <c r="NXC1" s="24" t="n"/>
      <c r="NXD1" s="24" t="n"/>
      <c r="NXE1" s="24" t="n"/>
      <c r="NXF1" s="24" t="n"/>
      <c r="NXG1" s="24" t="n"/>
      <c r="NXH1" s="24" t="n"/>
      <c r="NXI1" s="24" t="n"/>
      <c r="NXJ1" s="24" t="n"/>
      <c r="NXK1" s="24" t="n"/>
      <c r="NXL1" s="24" t="n"/>
      <c r="NXM1" s="24" t="n"/>
      <c r="NXN1" s="24" t="n"/>
      <c r="NXO1" s="24" t="n"/>
      <c r="NXP1" s="24" t="n"/>
      <c r="NXQ1" s="24" t="n"/>
      <c r="NXR1" s="24" t="n"/>
      <c r="NXS1" s="24" t="n"/>
      <c r="NXT1" s="24" t="n"/>
      <c r="NXU1" s="24" t="n"/>
      <c r="NXV1" s="24" t="n"/>
      <c r="NXW1" s="24" t="n"/>
      <c r="NXX1" s="24" t="n"/>
      <c r="NXY1" s="24" t="n"/>
      <c r="NXZ1" s="24" t="n"/>
      <c r="NYA1" s="24" t="n"/>
      <c r="NYB1" s="24" t="n"/>
      <c r="NYC1" s="24" t="n"/>
      <c r="NYD1" s="24" t="n"/>
      <c r="NYE1" s="24" t="n"/>
      <c r="NYF1" s="24" t="n"/>
      <c r="NYG1" s="24" t="n"/>
      <c r="NYH1" s="24" t="n"/>
      <c r="NYI1" s="24" t="n"/>
      <c r="NYJ1" s="24" t="n"/>
      <c r="NYK1" s="24" t="n"/>
      <c r="NYL1" s="24" t="n"/>
      <c r="NYM1" s="24" t="n"/>
      <c r="NYN1" s="24" t="n"/>
      <c r="NYO1" s="24" t="n"/>
      <c r="NYP1" s="24" t="n"/>
      <c r="NYQ1" s="24" t="n"/>
      <c r="NYR1" s="24" t="n"/>
      <c r="NYS1" s="24" t="n"/>
      <c r="NYT1" s="24" t="n"/>
      <c r="NYU1" s="24" t="n"/>
      <c r="NYV1" s="24" t="n"/>
      <c r="NYW1" s="24" t="n"/>
      <c r="NYX1" s="24" t="n"/>
      <c r="NYY1" s="24" t="n"/>
      <c r="NYZ1" s="24" t="n"/>
      <c r="NZA1" s="24" t="n"/>
      <c r="NZB1" s="24" t="n"/>
      <c r="NZC1" s="24" t="n"/>
      <c r="NZD1" s="24" t="n"/>
      <c r="NZE1" s="24" t="n"/>
      <c r="NZF1" s="24" t="n"/>
      <c r="NZG1" s="24" t="n"/>
      <c r="NZH1" s="24" t="n"/>
      <c r="NZI1" s="24" t="n"/>
      <c r="NZJ1" s="24" t="n"/>
      <c r="NZK1" s="24" t="n"/>
      <c r="NZL1" s="24" t="n"/>
      <c r="NZM1" s="24" t="n"/>
      <c r="NZN1" s="24" t="n"/>
      <c r="NZO1" s="24" t="n"/>
      <c r="NZP1" s="24" t="n"/>
      <c r="NZQ1" s="24" t="n"/>
      <c r="NZR1" s="24" t="n"/>
      <c r="NZS1" s="24" t="n"/>
      <c r="NZT1" s="24" t="n"/>
      <c r="NZU1" s="24" t="n"/>
      <c r="NZV1" s="24" t="n"/>
      <c r="NZW1" s="24" t="n"/>
      <c r="NZX1" s="24" t="n"/>
      <c r="NZY1" s="24" t="n"/>
      <c r="NZZ1" s="24" t="n"/>
      <c r="OAA1" s="24" t="n"/>
      <c r="OAB1" s="24" t="n"/>
      <c r="OAC1" s="24" t="n"/>
      <c r="OAD1" s="24" t="n"/>
      <c r="OAE1" s="24" t="n"/>
      <c r="OAF1" s="24" t="n"/>
      <c r="OAG1" s="24" t="n"/>
      <c r="OAH1" s="24" t="n"/>
      <c r="OAI1" s="24" t="n"/>
      <c r="OAJ1" s="24" t="n"/>
      <c r="OAK1" s="24" t="n"/>
      <c r="OAL1" s="24" t="n"/>
      <c r="OAM1" s="24" t="n"/>
      <c r="OAN1" s="24" t="n"/>
      <c r="OAO1" s="24" t="n"/>
      <c r="OAP1" s="24" t="n"/>
      <c r="OAQ1" s="24" t="n"/>
      <c r="OAR1" s="24" t="n"/>
      <c r="OAS1" s="24" t="n"/>
      <c r="OAT1" s="24" t="n"/>
      <c r="OAU1" s="24" t="n"/>
      <c r="OAV1" s="24" t="n"/>
      <c r="OAW1" s="24" t="n"/>
      <c r="OAX1" s="24" t="n"/>
      <c r="OAY1" s="24" t="n"/>
      <c r="OAZ1" s="24" t="n"/>
      <c r="OBA1" s="24" t="n"/>
      <c r="OBB1" s="24" t="n"/>
      <c r="OBC1" s="24" t="n"/>
      <c r="OBD1" s="24" t="n"/>
      <c r="OBE1" s="24" t="n"/>
      <c r="OBF1" s="24" t="n"/>
      <c r="OBG1" s="24" t="n"/>
      <c r="OBH1" s="24" t="n"/>
      <c r="OBI1" s="24" t="n"/>
      <c r="OBJ1" s="24" t="n"/>
      <c r="OBK1" s="24" t="n"/>
      <c r="OBL1" s="24" t="n"/>
      <c r="OBM1" s="24" t="n"/>
      <c r="OBN1" s="24" t="n"/>
      <c r="OBO1" s="24" t="n"/>
      <c r="OBP1" s="24" t="n"/>
      <c r="OBQ1" s="24" t="n"/>
      <c r="OBR1" s="24" t="n"/>
      <c r="OBS1" s="24" t="n"/>
      <c r="OBT1" s="24" t="n"/>
      <c r="OBU1" s="24" t="n"/>
      <c r="OBV1" s="24" t="n"/>
      <c r="OBW1" s="24" t="n"/>
      <c r="OBX1" s="24" t="n"/>
      <c r="OBY1" s="24" t="n"/>
      <c r="OBZ1" s="24" t="n"/>
      <c r="OCA1" s="24" t="n"/>
      <c r="OCB1" s="24" t="n"/>
      <c r="OCC1" s="24" t="n"/>
      <c r="OCD1" s="24" t="n"/>
      <c r="OCE1" s="24" t="n"/>
      <c r="OCF1" s="24" t="n"/>
      <c r="OCG1" s="24" t="n"/>
      <c r="OCH1" s="24" t="n"/>
      <c r="OCI1" s="24" t="n"/>
      <c r="OCJ1" s="24" t="n"/>
      <c r="OCK1" s="24" t="n"/>
      <c r="OCL1" s="24" t="n"/>
      <c r="OCM1" s="24" t="n"/>
      <c r="OCN1" s="24" t="n"/>
      <c r="OCO1" s="24" t="n"/>
      <c r="OCP1" s="24" t="n"/>
      <c r="OCQ1" s="24" t="n"/>
      <c r="OCR1" s="24" t="n"/>
      <c r="OCS1" s="24" t="n"/>
      <c r="OCT1" s="24" t="n"/>
      <c r="OCU1" s="24" t="n"/>
      <c r="OCV1" s="24" t="n"/>
      <c r="OCW1" s="24" t="n"/>
      <c r="OCX1" s="24" t="n"/>
      <c r="OCY1" s="24" t="n"/>
      <c r="OCZ1" s="24" t="n"/>
      <c r="ODA1" s="24" t="n"/>
      <c r="ODB1" s="24" t="n"/>
      <c r="ODC1" s="24" t="n"/>
      <c r="ODD1" s="24" t="n"/>
      <c r="ODE1" s="24" t="n"/>
      <c r="ODF1" s="24" t="n"/>
      <c r="ODG1" s="24" t="n"/>
      <c r="ODH1" s="24" t="n"/>
      <c r="ODI1" s="24" t="n"/>
      <c r="ODJ1" s="24" t="n"/>
      <c r="ODK1" s="24" t="n"/>
      <c r="ODL1" s="24" t="n"/>
      <c r="ODM1" s="24" t="n"/>
      <c r="ODN1" s="24" t="n"/>
      <c r="ODO1" s="24" t="n"/>
      <c r="ODP1" s="24" t="n"/>
      <c r="ODQ1" s="24" t="n"/>
      <c r="ODR1" s="24" t="n"/>
      <c r="ODS1" s="24" t="n"/>
      <c r="ODT1" s="24" t="n"/>
      <c r="ODU1" s="24" t="n"/>
      <c r="ODV1" s="24" t="n"/>
      <c r="ODW1" s="24" t="n"/>
      <c r="ODX1" s="24" t="n"/>
      <c r="ODY1" s="24" t="n"/>
      <c r="ODZ1" s="24" t="n"/>
      <c r="OEA1" s="24" t="n"/>
      <c r="OEB1" s="24" t="n"/>
      <c r="OEC1" s="24" t="n"/>
      <c r="OED1" s="24" t="n"/>
      <c r="OEE1" s="24" t="n"/>
      <c r="OEF1" s="24" t="n"/>
      <c r="OEG1" s="24" t="n"/>
      <c r="OEH1" s="24" t="n"/>
      <c r="OEI1" s="24" t="n"/>
      <c r="OEJ1" s="24" t="n"/>
      <c r="OEK1" s="24" t="n"/>
      <c r="OEL1" s="24" t="n"/>
      <c r="OEM1" s="24" t="n"/>
      <c r="OEN1" s="24" t="n"/>
      <c r="OEO1" s="24" t="n"/>
      <c r="OEP1" s="24" t="n"/>
      <c r="OEQ1" s="24" t="n"/>
      <c r="OER1" s="24" t="n"/>
      <c r="OES1" s="24" t="n"/>
      <c r="OET1" s="24" t="n"/>
      <c r="OEU1" s="24" t="n"/>
      <c r="OEV1" s="24" t="n"/>
      <c r="OEW1" s="24" t="n"/>
      <c r="OEX1" s="24" t="n"/>
      <c r="OEY1" s="24" t="n"/>
      <c r="OEZ1" s="24" t="n"/>
      <c r="OFA1" s="24" t="n"/>
      <c r="OFB1" s="24" t="n"/>
      <c r="OFC1" s="24" t="n"/>
      <c r="OFD1" s="24" t="n"/>
      <c r="OFE1" s="24" t="n"/>
      <c r="OFF1" s="24" t="n"/>
      <c r="OFG1" s="24" t="n"/>
      <c r="OFH1" s="24" t="n"/>
      <c r="OFI1" s="24" t="n"/>
      <c r="OFJ1" s="24" t="n"/>
      <c r="OFK1" s="24" t="n"/>
      <c r="OFL1" s="24" t="n"/>
      <c r="OFM1" s="24" t="n"/>
      <c r="OFN1" s="24" t="n"/>
      <c r="OFO1" s="24" t="n"/>
      <c r="OFP1" s="24" t="n"/>
      <c r="OFQ1" s="24" t="n"/>
      <c r="OFR1" s="24" t="n"/>
      <c r="OFS1" s="24" t="n"/>
      <c r="OFT1" s="24" t="n"/>
      <c r="OFU1" s="24" t="n"/>
      <c r="OFV1" s="24" t="n"/>
      <c r="OFW1" s="24" t="n"/>
      <c r="OFX1" s="24" t="n"/>
      <c r="OFY1" s="24" t="n"/>
      <c r="OFZ1" s="24" t="n"/>
      <c r="OGA1" s="24" t="n"/>
      <c r="OGB1" s="24" t="n"/>
      <c r="OGC1" s="24" t="n"/>
      <c r="OGD1" s="24" t="n"/>
      <c r="OGE1" s="24" t="n"/>
      <c r="OGF1" s="24" t="n"/>
      <c r="OGG1" s="24" t="n"/>
      <c r="OGH1" s="24" t="n"/>
      <c r="OGI1" s="24" t="n"/>
      <c r="OGJ1" s="24" t="n"/>
      <c r="OGK1" s="24" t="n"/>
      <c r="OGL1" s="24" t="n"/>
      <c r="OGM1" s="24" t="n"/>
      <c r="OGN1" s="24" t="n"/>
      <c r="OGO1" s="24" t="n"/>
      <c r="OGP1" s="24" t="n"/>
      <c r="OGQ1" s="24" t="n"/>
      <c r="OGR1" s="24" t="n"/>
      <c r="OGS1" s="24" t="n"/>
      <c r="OGT1" s="24" t="n"/>
      <c r="OGU1" s="24" t="n"/>
      <c r="OGV1" s="24" t="n"/>
      <c r="OGW1" s="24" t="n"/>
      <c r="OGX1" s="24" t="n"/>
      <c r="OGY1" s="24" t="n"/>
      <c r="OGZ1" s="24" t="n"/>
      <c r="OHA1" s="24" t="n"/>
      <c r="OHB1" s="24" t="n"/>
      <c r="OHC1" s="24" t="n"/>
      <c r="OHD1" s="24" t="n"/>
      <c r="OHE1" s="24" t="n"/>
      <c r="OHF1" s="24" t="n"/>
      <c r="OHG1" s="24" t="n"/>
      <c r="OHH1" s="24" t="n"/>
      <c r="OHI1" s="24" t="n"/>
      <c r="OHJ1" s="24" t="n"/>
      <c r="OHK1" s="24" t="n"/>
      <c r="OHL1" s="24" t="n"/>
      <c r="OHM1" s="24" t="n"/>
      <c r="OHN1" s="24" t="n"/>
      <c r="OHO1" s="24" t="n"/>
      <c r="OHP1" s="24" t="n"/>
      <c r="OHQ1" s="24" t="n"/>
      <c r="OHR1" s="24" t="n"/>
      <c r="OHS1" s="24" t="n"/>
      <c r="OHT1" s="24" t="n"/>
      <c r="OHU1" s="24" t="n"/>
      <c r="OHV1" s="24" t="n"/>
      <c r="OHW1" s="24" t="n"/>
      <c r="OHX1" s="24" t="n"/>
      <c r="OHY1" s="24" t="n"/>
      <c r="OHZ1" s="24" t="n"/>
      <c r="OIA1" s="24" t="n"/>
      <c r="OIB1" s="24" t="n"/>
      <c r="OIC1" s="24" t="n"/>
      <c r="OID1" s="24" t="n"/>
      <c r="OIE1" s="24" t="n"/>
      <c r="OIF1" s="24" t="n"/>
      <c r="OIG1" s="24" t="n"/>
      <c r="OIH1" s="24" t="n"/>
      <c r="OII1" s="24" t="n"/>
      <c r="OIJ1" s="24" t="n"/>
      <c r="OIK1" s="24" t="n"/>
      <c r="OIL1" s="24" t="n"/>
      <c r="OIM1" s="24" t="n"/>
      <c r="OIN1" s="24" t="n"/>
      <c r="OIO1" s="24" t="n"/>
      <c r="OIP1" s="24" t="n"/>
      <c r="OIQ1" s="24" t="n"/>
      <c r="OIR1" s="24" t="n"/>
      <c r="OIS1" s="24" t="n"/>
      <c r="OIT1" s="24" t="n"/>
      <c r="OIU1" s="24" t="n"/>
      <c r="OIV1" s="24" t="n"/>
      <c r="OIW1" s="24" t="n"/>
      <c r="OIX1" s="24" t="n"/>
      <c r="OIY1" s="24" t="n"/>
      <c r="OIZ1" s="24" t="n"/>
      <c r="OJA1" s="24" t="n"/>
      <c r="OJB1" s="24" t="n"/>
      <c r="OJC1" s="24" t="n"/>
      <c r="OJD1" s="24" t="n"/>
      <c r="OJE1" s="24" t="n"/>
      <c r="OJF1" s="24" t="n"/>
      <c r="OJG1" s="24" t="n"/>
      <c r="OJH1" s="24" t="n"/>
      <c r="OJI1" s="24" t="n"/>
      <c r="OJJ1" s="24" t="n"/>
      <c r="OJK1" s="24" t="n"/>
      <c r="OJL1" s="24" t="n"/>
      <c r="OJM1" s="24" t="n"/>
      <c r="OJN1" s="24" t="n"/>
      <c r="OJO1" s="24" t="n"/>
      <c r="OJP1" s="24" t="n"/>
      <c r="OJQ1" s="24" t="n"/>
      <c r="OJR1" s="24" t="n"/>
      <c r="OJS1" s="24" t="n"/>
      <c r="OJT1" s="24" t="n"/>
      <c r="OJU1" s="24" t="n"/>
      <c r="OJV1" s="24" t="n"/>
      <c r="OJW1" s="24" t="n"/>
      <c r="OJX1" s="24" t="n"/>
      <c r="OJY1" s="24" t="n"/>
      <c r="OJZ1" s="24" t="n"/>
      <c r="OKA1" s="24" t="n"/>
      <c r="OKB1" s="24" t="n"/>
      <c r="OKC1" s="24" t="n"/>
      <c r="OKD1" s="24" t="n"/>
      <c r="OKE1" s="24" t="n"/>
      <c r="OKF1" s="24" t="n"/>
      <c r="OKG1" s="24" t="n"/>
      <c r="OKH1" s="24" t="n"/>
      <c r="OKI1" s="24" t="n"/>
      <c r="OKJ1" s="24" t="n"/>
      <c r="OKK1" s="24" t="n"/>
      <c r="OKL1" s="24" t="n"/>
      <c r="OKM1" s="24" t="n"/>
      <c r="OKN1" s="24" t="n"/>
      <c r="OKO1" s="24" t="n"/>
      <c r="OKP1" s="24" t="n"/>
      <c r="OKQ1" s="24" t="n"/>
      <c r="OKR1" s="24" t="n"/>
      <c r="OKS1" s="24" t="n"/>
      <c r="OKT1" s="24" t="n"/>
      <c r="OKU1" s="24" t="n"/>
      <c r="OKV1" s="24" t="n"/>
      <c r="OKW1" s="24" t="n"/>
      <c r="OKX1" s="24" t="n"/>
      <c r="OKY1" s="24" t="n"/>
      <c r="OKZ1" s="24" t="n"/>
      <c r="OLA1" s="24" t="n"/>
      <c r="OLB1" s="24" t="n"/>
      <c r="OLC1" s="24" t="n"/>
      <c r="OLD1" s="24" t="n"/>
      <c r="OLE1" s="24" t="n"/>
      <c r="OLF1" s="24" t="n"/>
      <c r="OLG1" s="24" t="n"/>
      <c r="OLH1" s="24" t="n"/>
      <c r="OLI1" s="24" t="n"/>
      <c r="OLJ1" s="24" t="n"/>
      <c r="OLK1" s="24" t="n"/>
      <c r="OLL1" s="24" t="n"/>
      <c r="OLM1" s="24" t="n"/>
      <c r="OLN1" s="24" t="n"/>
      <c r="OLO1" s="24" t="n"/>
      <c r="OLP1" s="24" t="n"/>
      <c r="OLQ1" s="24" t="n"/>
      <c r="OLR1" s="24" t="n"/>
      <c r="OLS1" s="24" t="n"/>
      <c r="OLT1" s="24" t="n"/>
      <c r="OLU1" s="24" t="n"/>
      <c r="OLV1" s="24" t="n"/>
      <c r="OLW1" s="24" t="n"/>
      <c r="OLX1" s="24" t="n"/>
      <c r="OLY1" s="24" t="n"/>
      <c r="OLZ1" s="24" t="n"/>
      <c r="OMA1" s="24" t="n"/>
      <c r="OMB1" s="24" t="n"/>
      <c r="OMC1" s="24" t="n"/>
      <c r="OMD1" s="24" t="n"/>
      <c r="OME1" s="24" t="n"/>
      <c r="OMF1" s="24" t="n"/>
      <c r="OMG1" s="24" t="n"/>
      <c r="OMH1" s="24" t="n"/>
      <c r="OMI1" s="24" t="n"/>
      <c r="OMJ1" s="24" t="n"/>
      <c r="OMK1" s="24" t="n"/>
      <c r="OML1" s="24" t="n"/>
      <c r="OMM1" s="24" t="n"/>
      <c r="OMN1" s="24" t="n"/>
      <c r="OMO1" s="24" t="n"/>
      <c r="OMP1" s="24" t="n"/>
      <c r="OMQ1" s="24" t="n"/>
      <c r="OMR1" s="24" t="n"/>
      <c r="OMS1" s="24" t="n"/>
      <c r="OMT1" s="24" t="n"/>
      <c r="OMU1" s="24" t="n"/>
      <c r="OMV1" s="24" t="n"/>
      <c r="OMW1" s="24" t="n"/>
      <c r="OMX1" s="24" t="n"/>
      <c r="OMY1" s="24" t="n"/>
      <c r="OMZ1" s="24" t="n"/>
      <c r="ONA1" s="24" t="n"/>
      <c r="ONB1" s="24" t="n"/>
      <c r="ONC1" s="24" t="n"/>
      <c r="OND1" s="24" t="n"/>
      <c r="ONE1" s="24" t="n"/>
      <c r="ONF1" s="24" t="n"/>
      <c r="ONG1" s="24" t="n"/>
      <c r="ONH1" s="24" t="n"/>
      <c r="ONI1" s="24" t="n"/>
      <c r="ONJ1" s="24" t="n"/>
      <c r="ONK1" s="24" t="n"/>
      <c r="ONL1" s="24" t="n"/>
      <c r="ONM1" s="24" t="n"/>
      <c r="ONN1" s="24" t="n"/>
      <c r="ONO1" s="24" t="n"/>
      <c r="ONP1" s="24" t="n"/>
      <c r="ONQ1" s="24" t="n"/>
      <c r="ONR1" s="24" t="n"/>
      <c r="ONS1" s="24" t="n"/>
      <c r="ONT1" s="24" t="n"/>
      <c r="ONU1" s="24" t="n"/>
      <c r="ONV1" s="24" t="n"/>
      <c r="ONW1" s="24" t="n"/>
      <c r="ONX1" s="24" t="n"/>
      <c r="ONY1" s="24" t="n"/>
      <c r="ONZ1" s="24" t="n"/>
      <c r="OOA1" s="24" t="n"/>
      <c r="OOB1" s="24" t="n"/>
      <c r="OOC1" s="24" t="n"/>
      <c r="OOD1" s="24" t="n"/>
      <c r="OOE1" s="24" t="n"/>
      <c r="OOF1" s="24" t="n"/>
      <c r="OOG1" s="24" t="n"/>
      <c r="OOH1" s="24" t="n"/>
      <c r="OOI1" s="24" t="n"/>
      <c r="OOJ1" s="24" t="n"/>
      <c r="OOK1" s="24" t="n"/>
      <c r="OOL1" s="24" t="n"/>
      <c r="OOM1" s="24" t="n"/>
      <c r="OON1" s="24" t="n"/>
      <c r="OOO1" s="24" t="n"/>
      <c r="OOP1" s="24" t="n"/>
      <c r="OOQ1" s="24" t="n"/>
      <c r="OOR1" s="24" t="n"/>
      <c r="OOS1" s="24" t="n"/>
      <c r="OOT1" s="24" t="n"/>
      <c r="OOU1" s="24" t="n"/>
      <c r="OOV1" s="24" t="n"/>
      <c r="OOW1" s="24" t="n"/>
      <c r="OOX1" s="24" t="n"/>
      <c r="OOY1" s="24" t="n"/>
      <c r="OOZ1" s="24" t="n"/>
      <c r="OPA1" s="24" t="n"/>
      <c r="OPB1" s="24" t="n"/>
      <c r="OPC1" s="24" t="n"/>
      <c r="OPD1" s="24" t="n"/>
      <c r="OPE1" s="24" t="n"/>
      <c r="OPF1" s="24" t="n"/>
      <c r="OPG1" s="24" t="n"/>
      <c r="OPH1" s="24" t="n"/>
      <c r="OPI1" s="24" t="n"/>
      <c r="OPJ1" s="24" t="n"/>
      <c r="OPK1" s="24" t="n"/>
      <c r="OPL1" s="24" t="n"/>
      <c r="OPM1" s="24" t="n"/>
      <c r="OPN1" s="24" t="n"/>
      <c r="OPO1" s="24" t="n"/>
      <c r="OPP1" s="24" t="n"/>
      <c r="OPQ1" s="24" t="n"/>
      <c r="OPR1" s="24" t="n"/>
      <c r="OPS1" s="24" t="n"/>
      <c r="OPT1" s="24" t="n"/>
      <c r="OPU1" s="24" t="n"/>
      <c r="OPV1" s="24" t="n"/>
      <c r="OPW1" s="24" t="n"/>
      <c r="OPX1" s="24" t="n"/>
      <c r="OPY1" s="24" t="n"/>
      <c r="OPZ1" s="24" t="n"/>
      <c r="OQA1" s="24" t="n"/>
      <c r="OQB1" s="24" t="n"/>
      <c r="OQC1" s="24" t="n"/>
      <c r="OQD1" s="24" t="n"/>
      <c r="OQE1" s="24" t="n"/>
      <c r="OQF1" s="24" t="n"/>
      <c r="OQG1" s="24" t="n"/>
      <c r="OQH1" s="24" t="n"/>
      <c r="OQI1" s="24" t="n"/>
      <c r="OQJ1" s="24" t="n"/>
      <c r="OQK1" s="24" t="n"/>
      <c r="OQL1" s="24" t="n"/>
      <c r="OQM1" s="24" t="n"/>
      <c r="OQN1" s="24" t="n"/>
      <c r="OQO1" s="24" t="n"/>
      <c r="OQP1" s="24" t="n"/>
      <c r="OQQ1" s="24" t="n"/>
      <c r="OQR1" s="24" t="n"/>
      <c r="OQS1" s="24" t="n"/>
      <c r="OQT1" s="24" t="n"/>
      <c r="OQU1" s="24" t="n"/>
      <c r="OQV1" s="24" t="n"/>
      <c r="OQW1" s="24" t="n"/>
      <c r="OQX1" s="24" t="n"/>
      <c r="OQY1" s="24" t="n"/>
      <c r="OQZ1" s="24" t="n"/>
      <c r="ORA1" s="24" t="n"/>
      <c r="ORB1" s="24" t="n"/>
      <c r="ORC1" s="24" t="n"/>
      <c r="ORD1" s="24" t="n"/>
      <c r="ORE1" s="24" t="n"/>
      <c r="ORF1" s="24" t="n"/>
      <c r="ORG1" s="24" t="n"/>
      <c r="ORH1" s="24" t="n"/>
      <c r="ORI1" s="24" t="n"/>
      <c r="ORJ1" s="24" t="n"/>
      <c r="ORK1" s="24" t="n"/>
      <c r="ORL1" s="24" t="n"/>
      <c r="ORM1" s="24" t="n"/>
      <c r="ORN1" s="24" t="n"/>
      <c r="ORO1" s="24" t="n"/>
      <c r="ORP1" s="24" t="n"/>
      <c r="ORQ1" s="24" t="n"/>
      <c r="ORR1" s="24" t="n"/>
      <c r="ORS1" s="24" t="n"/>
      <c r="ORT1" s="24" t="n"/>
      <c r="ORU1" s="24" t="n"/>
      <c r="ORV1" s="24" t="n"/>
      <c r="ORW1" s="24" t="n"/>
      <c r="ORX1" s="24" t="n"/>
      <c r="ORY1" s="24" t="n"/>
      <c r="ORZ1" s="24" t="n"/>
      <c r="OSA1" s="24" t="n"/>
      <c r="OSB1" s="24" t="n"/>
      <c r="OSC1" s="24" t="n"/>
      <c r="OSD1" s="24" t="n"/>
      <c r="OSE1" s="24" t="n"/>
      <c r="OSF1" s="24" t="n"/>
      <c r="OSG1" s="24" t="n"/>
      <c r="OSH1" s="24" t="n"/>
      <c r="OSI1" s="24" t="n"/>
      <c r="OSJ1" s="24" t="n"/>
      <c r="OSK1" s="24" t="n"/>
      <c r="OSL1" s="24" t="n"/>
      <c r="OSM1" s="24" t="n"/>
      <c r="OSN1" s="24" t="n"/>
      <c r="OSO1" s="24" t="n"/>
      <c r="OSP1" s="24" t="n"/>
      <c r="OSQ1" s="24" t="n"/>
      <c r="OSR1" s="24" t="n"/>
      <c r="OSS1" s="24" t="n"/>
      <c r="OST1" s="24" t="n"/>
      <c r="OSU1" s="24" t="n"/>
      <c r="OSV1" s="24" t="n"/>
      <c r="OSW1" s="24" t="n"/>
      <c r="OSX1" s="24" t="n"/>
      <c r="OSY1" s="24" t="n"/>
      <c r="OSZ1" s="24" t="n"/>
      <c r="OTA1" s="24" t="n"/>
      <c r="OTB1" s="24" t="n"/>
      <c r="OTC1" s="24" t="n"/>
      <c r="OTD1" s="24" t="n"/>
      <c r="OTE1" s="24" t="n"/>
      <c r="OTF1" s="24" t="n"/>
      <c r="OTG1" s="24" t="n"/>
      <c r="OTH1" s="24" t="n"/>
      <c r="OTI1" s="24" t="n"/>
      <c r="OTJ1" s="24" t="n"/>
      <c r="OTK1" s="24" t="n"/>
      <c r="OTL1" s="24" t="n"/>
      <c r="OTM1" s="24" t="n"/>
      <c r="OTN1" s="24" t="n"/>
      <c r="OTO1" s="24" t="n"/>
      <c r="OTP1" s="24" t="n"/>
      <c r="OTQ1" s="24" t="n"/>
      <c r="OTR1" s="24" t="n"/>
      <c r="OTS1" s="24" t="n"/>
      <c r="OTT1" s="24" t="n"/>
      <c r="OTU1" s="24" t="n"/>
      <c r="OTV1" s="24" t="n"/>
      <c r="OTW1" s="24" t="n"/>
      <c r="OTX1" s="24" t="n"/>
      <c r="OTY1" s="24" t="n"/>
      <c r="OTZ1" s="24" t="n"/>
      <c r="OUA1" s="24" t="n"/>
      <c r="OUB1" s="24" t="n"/>
      <c r="OUC1" s="24" t="n"/>
      <c r="OUD1" s="24" t="n"/>
      <c r="OUE1" s="24" t="n"/>
      <c r="OUF1" s="24" t="n"/>
      <c r="OUG1" s="24" t="n"/>
      <c r="OUH1" s="24" t="n"/>
      <c r="OUI1" s="24" t="n"/>
      <c r="OUJ1" s="24" t="n"/>
      <c r="OUK1" s="24" t="n"/>
      <c r="OUL1" s="24" t="n"/>
      <c r="OUM1" s="24" t="n"/>
      <c r="OUN1" s="24" t="n"/>
      <c r="OUO1" s="24" t="n"/>
      <c r="OUP1" s="24" t="n"/>
      <c r="OUQ1" s="24" t="n"/>
      <c r="OUR1" s="24" t="n"/>
      <c r="OUS1" s="24" t="n"/>
      <c r="OUT1" s="24" t="n"/>
      <c r="OUU1" s="24" t="n"/>
      <c r="OUV1" s="24" t="n"/>
      <c r="OUW1" s="24" t="n"/>
      <c r="OUX1" s="24" t="n"/>
      <c r="OUY1" s="24" t="n"/>
      <c r="OUZ1" s="24" t="n"/>
      <c r="OVA1" s="24" t="n"/>
      <c r="OVB1" s="24" t="n"/>
      <c r="OVC1" s="24" t="n"/>
      <c r="OVD1" s="24" t="n"/>
      <c r="OVE1" s="24" t="n"/>
      <c r="OVF1" s="24" t="n"/>
      <c r="OVG1" s="24" t="n"/>
      <c r="OVH1" s="24" t="n"/>
      <c r="OVI1" s="24" t="n"/>
      <c r="OVJ1" s="24" t="n"/>
      <c r="OVK1" s="24" t="n"/>
      <c r="OVL1" s="24" t="n"/>
      <c r="OVM1" s="24" t="n"/>
      <c r="OVN1" s="24" t="n"/>
      <c r="OVO1" s="24" t="n"/>
      <c r="OVP1" s="24" t="n"/>
      <c r="OVQ1" s="24" t="n"/>
      <c r="OVR1" s="24" t="n"/>
      <c r="OVS1" s="24" t="n"/>
      <c r="OVT1" s="24" t="n"/>
      <c r="OVU1" s="24" t="n"/>
      <c r="OVV1" s="24" t="n"/>
      <c r="OVW1" s="24" t="n"/>
      <c r="OVX1" s="24" t="n"/>
      <c r="OVY1" s="24" t="n"/>
      <c r="OVZ1" s="24" t="n"/>
      <c r="OWA1" s="24" t="n"/>
      <c r="OWB1" s="24" t="n"/>
      <c r="OWC1" s="24" t="n"/>
      <c r="OWD1" s="24" t="n"/>
      <c r="OWE1" s="24" t="n"/>
      <c r="OWF1" s="24" t="n"/>
      <c r="OWG1" s="24" t="n"/>
      <c r="OWH1" s="24" t="n"/>
      <c r="OWI1" s="24" t="n"/>
      <c r="OWJ1" s="24" t="n"/>
      <c r="OWK1" s="24" t="n"/>
      <c r="OWL1" s="24" t="n"/>
      <c r="OWM1" s="24" t="n"/>
      <c r="OWN1" s="24" t="n"/>
      <c r="OWO1" s="24" t="n"/>
      <c r="OWP1" s="24" t="n"/>
      <c r="OWQ1" s="24" t="n"/>
      <c r="OWR1" s="24" t="n"/>
      <c r="OWS1" s="24" t="n"/>
      <c r="OWT1" s="24" t="n"/>
      <c r="OWU1" s="24" t="n"/>
      <c r="OWV1" s="24" t="n"/>
      <c r="OWW1" s="24" t="n"/>
      <c r="OWX1" s="24" t="n"/>
      <c r="OWY1" s="24" t="n"/>
      <c r="OWZ1" s="24" t="n"/>
      <c r="OXA1" s="24" t="n"/>
      <c r="OXB1" s="24" t="n"/>
      <c r="OXC1" s="24" t="n"/>
      <c r="OXD1" s="24" t="n"/>
      <c r="OXE1" s="24" t="n"/>
      <c r="OXF1" s="24" t="n"/>
      <c r="OXG1" s="24" t="n"/>
      <c r="OXH1" s="24" t="n"/>
      <c r="OXI1" s="24" t="n"/>
      <c r="OXJ1" s="24" t="n"/>
      <c r="OXK1" s="24" t="n"/>
      <c r="OXL1" s="24" t="n"/>
      <c r="OXM1" s="24" t="n"/>
      <c r="OXN1" s="24" t="n"/>
      <c r="OXO1" s="24" t="n"/>
      <c r="OXP1" s="24" t="n"/>
      <c r="OXQ1" s="24" t="n"/>
      <c r="OXR1" s="24" t="n"/>
      <c r="OXS1" s="24" t="n"/>
      <c r="OXT1" s="24" t="n"/>
      <c r="OXU1" s="24" t="n"/>
      <c r="OXV1" s="24" t="n"/>
      <c r="OXW1" s="24" t="n"/>
      <c r="OXX1" s="24" t="n"/>
      <c r="OXY1" s="24" t="n"/>
      <c r="OXZ1" s="24" t="n"/>
      <c r="OYA1" s="24" t="n"/>
      <c r="OYB1" s="24" t="n"/>
      <c r="OYC1" s="24" t="n"/>
      <c r="OYD1" s="24" t="n"/>
      <c r="OYE1" s="24" t="n"/>
      <c r="OYF1" s="24" t="n"/>
      <c r="OYG1" s="24" t="n"/>
      <c r="OYH1" s="24" t="n"/>
      <c r="OYI1" s="24" t="n"/>
      <c r="OYJ1" s="24" t="n"/>
      <c r="OYK1" s="24" t="n"/>
      <c r="OYL1" s="24" t="n"/>
      <c r="OYM1" s="24" t="n"/>
      <c r="OYN1" s="24" t="n"/>
      <c r="OYO1" s="24" t="n"/>
      <c r="OYP1" s="24" t="n"/>
      <c r="OYQ1" s="24" t="n"/>
      <c r="OYR1" s="24" t="n"/>
      <c r="OYS1" s="24" t="n"/>
      <c r="OYT1" s="24" t="n"/>
      <c r="OYU1" s="24" t="n"/>
      <c r="OYV1" s="24" t="n"/>
      <c r="OYW1" s="24" t="n"/>
      <c r="OYX1" s="24" t="n"/>
      <c r="OYY1" s="24" t="n"/>
      <c r="OYZ1" s="24" t="n"/>
      <c r="OZA1" s="24" t="n"/>
      <c r="OZB1" s="24" t="n"/>
      <c r="OZC1" s="24" t="n"/>
      <c r="OZD1" s="24" t="n"/>
      <c r="OZE1" s="24" t="n"/>
      <c r="OZF1" s="24" t="n"/>
      <c r="OZG1" s="24" t="n"/>
      <c r="OZH1" s="24" t="n"/>
      <c r="OZI1" s="24" t="n"/>
      <c r="OZJ1" s="24" t="n"/>
      <c r="OZK1" s="24" t="n"/>
      <c r="OZL1" s="24" t="n"/>
      <c r="OZM1" s="24" t="n"/>
      <c r="OZN1" s="24" t="n"/>
      <c r="OZO1" s="24" t="n"/>
      <c r="OZP1" s="24" t="n"/>
      <c r="OZQ1" s="24" t="n"/>
      <c r="OZR1" s="24" t="n"/>
      <c r="OZS1" s="24" t="n"/>
      <c r="OZT1" s="24" t="n"/>
      <c r="OZU1" s="24" t="n"/>
      <c r="OZV1" s="24" t="n"/>
      <c r="OZW1" s="24" t="n"/>
      <c r="OZX1" s="24" t="n"/>
      <c r="OZY1" s="24" t="n"/>
      <c r="OZZ1" s="24" t="n"/>
      <c r="PAA1" s="24" t="n"/>
      <c r="PAB1" s="24" t="n"/>
      <c r="PAC1" s="24" t="n"/>
      <c r="PAD1" s="24" t="n"/>
      <c r="PAE1" s="24" t="n"/>
      <c r="PAF1" s="24" t="n"/>
      <c r="PAG1" s="24" t="n"/>
      <c r="PAH1" s="24" t="n"/>
      <c r="PAI1" s="24" t="n"/>
      <c r="PAJ1" s="24" t="n"/>
      <c r="PAK1" s="24" t="n"/>
      <c r="PAL1" s="24" t="n"/>
      <c r="PAM1" s="24" t="n"/>
      <c r="PAN1" s="24" t="n"/>
      <c r="PAO1" s="24" t="n"/>
      <c r="PAP1" s="24" t="n"/>
      <c r="PAQ1" s="24" t="n"/>
      <c r="PAR1" s="24" t="n"/>
      <c r="PAS1" s="24" t="n"/>
      <c r="PAT1" s="24" t="n"/>
      <c r="PAU1" s="24" t="n"/>
      <c r="PAV1" s="24" t="n"/>
      <c r="PAW1" s="24" t="n"/>
      <c r="PAX1" s="24" t="n"/>
      <c r="PAY1" s="24" t="n"/>
      <c r="PAZ1" s="24" t="n"/>
      <c r="PBA1" s="24" t="n"/>
      <c r="PBB1" s="24" t="n"/>
      <c r="PBC1" s="24" t="n"/>
      <c r="PBD1" s="24" t="n"/>
      <c r="PBE1" s="24" t="n"/>
      <c r="PBF1" s="24" t="n"/>
      <c r="PBG1" s="24" t="n"/>
      <c r="PBH1" s="24" t="n"/>
      <c r="PBI1" s="24" t="n"/>
      <c r="PBJ1" s="24" t="n"/>
      <c r="PBK1" s="24" t="n"/>
      <c r="PBL1" s="24" t="n"/>
      <c r="PBM1" s="24" t="n"/>
      <c r="PBN1" s="24" t="n"/>
      <c r="PBO1" s="24" t="n"/>
      <c r="PBP1" s="24" t="n"/>
      <c r="PBQ1" s="24" t="n"/>
      <c r="PBR1" s="24" t="n"/>
      <c r="PBS1" s="24" t="n"/>
      <c r="PBT1" s="24" t="n"/>
      <c r="PBU1" s="24" t="n"/>
      <c r="PBV1" s="24" t="n"/>
      <c r="PBW1" s="24" t="n"/>
      <c r="PBX1" s="24" t="n"/>
      <c r="PBY1" s="24" t="n"/>
      <c r="PBZ1" s="24" t="n"/>
      <c r="PCA1" s="24" t="n"/>
      <c r="PCB1" s="24" t="n"/>
      <c r="PCC1" s="24" t="n"/>
      <c r="PCD1" s="24" t="n"/>
      <c r="PCE1" s="24" t="n"/>
      <c r="PCF1" s="24" t="n"/>
      <c r="PCG1" s="24" t="n"/>
      <c r="PCH1" s="24" t="n"/>
      <c r="PCI1" s="24" t="n"/>
      <c r="PCJ1" s="24" t="n"/>
      <c r="PCK1" s="24" t="n"/>
      <c r="PCL1" s="24" t="n"/>
      <c r="PCM1" s="24" t="n"/>
      <c r="PCN1" s="24" t="n"/>
      <c r="PCO1" s="24" t="n"/>
      <c r="PCP1" s="24" t="n"/>
      <c r="PCQ1" s="24" t="n"/>
      <c r="PCR1" s="24" t="n"/>
      <c r="PCS1" s="24" t="n"/>
      <c r="PCT1" s="24" t="n"/>
      <c r="PCU1" s="24" t="n"/>
      <c r="PCV1" s="24" t="n"/>
      <c r="PCW1" s="24" t="n"/>
      <c r="PCX1" s="24" t="n"/>
      <c r="PCY1" s="24" t="n"/>
      <c r="PCZ1" s="24" t="n"/>
      <c r="PDA1" s="24" t="n"/>
      <c r="PDB1" s="24" t="n"/>
      <c r="PDC1" s="24" t="n"/>
      <c r="PDD1" s="24" t="n"/>
      <c r="PDE1" s="24" t="n"/>
      <c r="PDF1" s="24" t="n"/>
      <c r="PDG1" s="24" t="n"/>
      <c r="PDH1" s="24" t="n"/>
      <c r="PDI1" s="24" t="n"/>
      <c r="PDJ1" s="24" t="n"/>
      <c r="PDK1" s="24" t="n"/>
      <c r="PDL1" s="24" t="n"/>
      <c r="PDM1" s="24" t="n"/>
      <c r="PDN1" s="24" t="n"/>
      <c r="PDO1" s="24" t="n"/>
      <c r="PDP1" s="24" t="n"/>
      <c r="PDQ1" s="24" t="n"/>
      <c r="PDR1" s="24" t="n"/>
      <c r="PDS1" s="24" t="n"/>
      <c r="PDT1" s="24" t="n"/>
      <c r="PDU1" s="24" t="n"/>
      <c r="PDV1" s="24" t="n"/>
      <c r="PDW1" s="24" t="n"/>
      <c r="PDX1" s="24" t="n"/>
      <c r="PDY1" s="24" t="n"/>
      <c r="PDZ1" s="24" t="n"/>
      <c r="PEA1" s="24" t="n"/>
      <c r="PEB1" s="24" t="n"/>
      <c r="PEC1" s="24" t="n"/>
      <c r="PED1" s="24" t="n"/>
      <c r="PEE1" s="24" t="n"/>
      <c r="PEF1" s="24" t="n"/>
      <c r="PEG1" s="24" t="n"/>
      <c r="PEH1" s="24" t="n"/>
      <c r="PEI1" s="24" t="n"/>
      <c r="PEJ1" s="24" t="n"/>
      <c r="PEK1" s="24" t="n"/>
      <c r="PEL1" s="24" t="n"/>
      <c r="PEM1" s="24" t="n"/>
      <c r="PEN1" s="24" t="n"/>
      <c r="PEO1" s="24" t="n"/>
      <c r="PEP1" s="24" t="n"/>
      <c r="PEQ1" s="24" t="n"/>
      <c r="PER1" s="24" t="n"/>
      <c r="PES1" s="24" t="n"/>
      <c r="PET1" s="24" t="n"/>
      <c r="PEU1" s="24" t="n"/>
      <c r="PEV1" s="24" t="n"/>
      <c r="PEW1" s="24" t="n"/>
      <c r="PEX1" s="24" t="n"/>
      <c r="PEY1" s="24" t="n"/>
      <c r="PEZ1" s="24" t="n"/>
      <c r="PFA1" s="24" t="n"/>
      <c r="PFB1" s="24" t="n"/>
      <c r="PFC1" s="24" t="n"/>
      <c r="PFD1" s="24" t="n"/>
      <c r="PFE1" s="24" t="n"/>
      <c r="PFF1" s="24" t="n"/>
      <c r="PFG1" s="24" t="n"/>
      <c r="PFH1" s="24" t="n"/>
      <c r="PFI1" s="24" t="n"/>
      <c r="PFJ1" s="24" t="n"/>
      <c r="PFK1" s="24" t="n"/>
      <c r="PFL1" s="24" t="n"/>
      <c r="PFM1" s="24" t="n"/>
      <c r="PFN1" s="24" t="n"/>
      <c r="PFO1" s="24" t="n"/>
      <c r="PFP1" s="24" t="n"/>
      <c r="PFQ1" s="24" t="n"/>
      <c r="PFR1" s="24" t="n"/>
      <c r="PFS1" s="24" t="n"/>
      <c r="PFT1" s="24" t="n"/>
      <c r="PFU1" s="24" t="n"/>
      <c r="PFV1" s="24" t="n"/>
      <c r="PFW1" s="24" t="n"/>
      <c r="PFX1" s="24" t="n"/>
      <c r="PFY1" s="24" t="n"/>
      <c r="PFZ1" s="24" t="n"/>
      <c r="PGA1" s="24" t="n"/>
      <c r="PGB1" s="24" t="n"/>
      <c r="PGC1" s="24" t="n"/>
      <c r="PGD1" s="24" t="n"/>
      <c r="PGE1" s="24" t="n"/>
      <c r="PGF1" s="24" t="n"/>
      <c r="PGG1" s="24" t="n"/>
      <c r="PGH1" s="24" t="n"/>
      <c r="PGI1" s="24" t="n"/>
      <c r="PGJ1" s="24" t="n"/>
      <c r="PGK1" s="24" t="n"/>
      <c r="PGL1" s="24" t="n"/>
      <c r="PGM1" s="24" t="n"/>
      <c r="PGN1" s="24" t="n"/>
      <c r="PGO1" s="24" t="n"/>
      <c r="PGP1" s="24" t="n"/>
      <c r="PGQ1" s="24" t="n"/>
      <c r="PGR1" s="24" t="n"/>
      <c r="PGS1" s="24" t="n"/>
      <c r="PGT1" s="24" t="n"/>
      <c r="PGU1" s="24" t="n"/>
      <c r="PGV1" s="24" t="n"/>
      <c r="PGW1" s="24" t="n"/>
      <c r="PGX1" s="24" t="n"/>
      <c r="PGY1" s="24" t="n"/>
      <c r="PGZ1" s="24" t="n"/>
      <c r="PHA1" s="24" t="n"/>
      <c r="PHB1" s="24" t="n"/>
      <c r="PHC1" s="24" t="n"/>
      <c r="PHD1" s="24" t="n"/>
      <c r="PHE1" s="24" t="n"/>
      <c r="PHF1" s="24" t="n"/>
      <c r="PHG1" s="24" t="n"/>
      <c r="PHH1" s="24" t="n"/>
      <c r="PHI1" s="24" t="n"/>
      <c r="PHJ1" s="24" t="n"/>
      <c r="PHK1" s="24" t="n"/>
      <c r="PHL1" s="24" t="n"/>
      <c r="PHM1" s="24" t="n"/>
      <c r="PHN1" s="24" t="n"/>
      <c r="PHO1" s="24" t="n"/>
      <c r="PHP1" s="24" t="n"/>
      <c r="PHQ1" s="24" t="n"/>
      <c r="PHR1" s="24" t="n"/>
      <c r="PHS1" s="24" t="n"/>
      <c r="PHT1" s="24" t="n"/>
      <c r="PHU1" s="24" t="n"/>
      <c r="PHV1" s="24" t="n"/>
      <c r="PHW1" s="24" t="n"/>
      <c r="PHX1" s="24" t="n"/>
      <c r="PHY1" s="24" t="n"/>
      <c r="PHZ1" s="24" t="n"/>
      <c r="PIA1" s="24" t="n"/>
      <c r="PIB1" s="24" t="n"/>
      <c r="PIC1" s="24" t="n"/>
      <c r="PID1" s="24" t="n"/>
      <c r="PIE1" s="24" t="n"/>
      <c r="PIF1" s="24" t="n"/>
      <c r="PIG1" s="24" t="n"/>
      <c r="PIH1" s="24" t="n"/>
      <c r="PII1" s="24" t="n"/>
      <c r="PIJ1" s="24" t="n"/>
      <c r="PIK1" s="24" t="n"/>
      <c r="PIL1" s="24" t="n"/>
      <c r="PIM1" s="24" t="n"/>
      <c r="PIN1" s="24" t="n"/>
      <c r="PIO1" s="24" t="n"/>
      <c r="PIP1" s="24" t="n"/>
      <c r="PIQ1" s="24" t="n"/>
      <c r="PIR1" s="24" t="n"/>
      <c r="PIS1" s="24" t="n"/>
      <c r="PIT1" s="24" t="n"/>
      <c r="PIU1" s="24" t="n"/>
      <c r="PIV1" s="24" t="n"/>
      <c r="PIW1" s="24" t="n"/>
      <c r="PIX1" s="24" t="n"/>
      <c r="PIY1" s="24" t="n"/>
      <c r="PIZ1" s="24" t="n"/>
      <c r="PJA1" s="24" t="n"/>
      <c r="PJB1" s="24" t="n"/>
      <c r="PJC1" s="24" t="n"/>
      <c r="PJD1" s="24" t="n"/>
      <c r="PJE1" s="24" t="n"/>
      <c r="PJF1" s="24" t="n"/>
      <c r="PJG1" s="24" t="n"/>
      <c r="PJH1" s="24" t="n"/>
      <c r="PJI1" s="24" t="n"/>
      <c r="PJJ1" s="24" t="n"/>
      <c r="PJK1" s="24" t="n"/>
      <c r="PJL1" s="24" t="n"/>
      <c r="PJM1" s="24" t="n"/>
      <c r="PJN1" s="24" t="n"/>
      <c r="PJO1" s="24" t="n"/>
      <c r="PJP1" s="24" t="n"/>
      <c r="PJQ1" s="24" t="n"/>
      <c r="PJR1" s="24" t="n"/>
      <c r="PJS1" s="24" t="n"/>
      <c r="PJT1" s="24" t="n"/>
      <c r="PJU1" s="24" t="n"/>
      <c r="PJV1" s="24" t="n"/>
      <c r="PJW1" s="24" t="n"/>
      <c r="PJX1" s="24" t="n"/>
      <c r="PJY1" s="24" t="n"/>
      <c r="PJZ1" s="24" t="n"/>
      <c r="PKA1" s="24" t="n"/>
      <c r="PKB1" s="24" t="n"/>
      <c r="PKC1" s="24" t="n"/>
      <c r="PKD1" s="24" t="n"/>
      <c r="PKE1" s="24" t="n"/>
      <c r="PKF1" s="24" t="n"/>
      <c r="PKG1" s="24" t="n"/>
      <c r="PKH1" s="24" t="n"/>
      <c r="PKI1" s="24" t="n"/>
      <c r="PKJ1" s="24" t="n"/>
      <c r="PKK1" s="24" t="n"/>
      <c r="PKL1" s="24" t="n"/>
      <c r="PKM1" s="24" t="n"/>
      <c r="PKN1" s="24" t="n"/>
      <c r="PKO1" s="24" t="n"/>
      <c r="PKP1" s="24" t="n"/>
      <c r="PKQ1" s="24" t="n"/>
      <c r="PKR1" s="24" t="n"/>
      <c r="PKS1" s="24" t="n"/>
      <c r="PKT1" s="24" t="n"/>
      <c r="PKU1" s="24" t="n"/>
      <c r="PKV1" s="24" t="n"/>
      <c r="PKW1" s="24" t="n"/>
      <c r="PKX1" s="24" t="n"/>
      <c r="PKY1" s="24" t="n"/>
      <c r="PKZ1" s="24" t="n"/>
      <c r="PLA1" s="24" t="n"/>
      <c r="PLB1" s="24" t="n"/>
      <c r="PLC1" s="24" t="n"/>
      <c r="PLD1" s="24" t="n"/>
      <c r="PLE1" s="24" t="n"/>
      <c r="PLF1" s="24" t="n"/>
      <c r="PLG1" s="24" t="n"/>
      <c r="PLH1" s="24" t="n"/>
      <c r="PLI1" s="24" t="n"/>
      <c r="PLJ1" s="24" t="n"/>
      <c r="PLK1" s="24" t="n"/>
      <c r="PLL1" s="24" t="n"/>
      <c r="PLM1" s="24" t="n"/>
      <c r="PLN1" s="24" t="n"/>
      <c r="PLO1" s="24" t="n"/>
      <c r="PLP1" s="24" t="n"/>
      <c r="PLQ1" s="24" t="n"/>
      <c r="PLR1" s="24" t="n"/>
      <c r="PLS1" s="24" t="n"/>
      <c r="PLT1" s="24" t="n"/>
      <c r="PLU1" s="24" t="n"/>
      <c r="PLV1" s="24" t="n"/>
      <c r="PLW1" s="24" t="n"/>
      <c r="PLX1" s="24" t="n"/>
      <c r="PLY1" s="24" t="n"/>
      <c r="PLZ1" s="24" t="n"/>
      <c r="PMA1" s="24" t="n"/>
      <c r="PMB1" s="24" t="n"/>
      <c r="PMC1" s="24" t="n"/>
      <c r="PMD1" s="24" t="n"/>
      <c r="PME1" s="24" t="n"/>
      <c r="PMF1" s="24" t="n"/>
      <c r="PMG1" s="24" t="n"/>
      <c r="PMH1" s="24" t="n"/>
      <c r="PMI1" s="24" t="n"/>
      <c r="PMJ1" s="24" t="n"/>
      <c r="PMK1" s="24" t="n"/>
      <c r="PML1" s="24" t="n"/>
      <c r="PMM1" s="24" t="n"/>
      <c r="PMN1" s="24" t="n"/>
      <c r="PMO1" s="24" t="n"/>
      <c r="PMP1" s="24" t="n"/>
      <c r="PMQ1" s="24" t="n"/>
      <c r="PMR1" s="24" t="n"/>
      <c r="PMS1" s="24" t="n"/>
      <c r="PMT1" s="24" t="n"/>
      <c r="PMU1" s="24" t="n"/>
      <c r="PMV1" s="24" t="n"/>
      <c r="PMW1" s="24" t="n"/>
      <c r="PMX1" s="24" t="n"/>
      <c r="PMY1" s="24" t="n"/>
      <c r="PMZ1" s="24" t="n"/>
      <c r="PNA1" s="24" t="n"/>
      <c r="PNB1" s="24" t="n"/>
      <c r="PNC1" s="24" t="n"/>
      <c r="PND1" s="24" t="n"/>
      <c r="PNE1" s="24" t="n"/>
      <c r="PNF1" s="24" t="n"/>
      <c r="PNG1" s="24" t="n"/>
      <c r="PNH1" s="24" t="n"/>
      <c r="PNI1" s="24" t="n"/>
      <c r="PNJ1" s="24" t="n"/>
      <c r="PNK1" s="24" t="n"/>
      <c r="PNL1" s="24" t="n"/>
      <c r="PNM1" s="24" t="n"/>
      <c r="PNN1" s="24" t="n"/>
      <c r="PNO1" s="24" t="n"/>
      <c r="PNP1" s="24" t="n"/>
      <c r="PNQ1" s="24" t="n"/>
      <c r="PNR1" s="24" t="n"/>
      <c r="PNS1" s="24" t="n"/>
      <c r="PNT1" s="24" t="n"/>
      <c r="PNU1" s="24" t="n"/>
      <c r="PNV1" s="24" t="n"/>
      <c r="PNW1" s="24" t="n"/>
      <c r="PNX1" s="24" t="n"/>
      <c r="PNY1" s="24" t="n"/>
      <c r="PNZ1" s="24" t="n"/>
      <c r="POA1" s="24" t="n"/>
      <c r="POB1" s="24" t="n"/>
      <c r="POC1" s="24" t="n"/>
      <c r="POD1" s="24" t="n"/>
      <c r="POE1" s="24" t="n"/>
      <c r="POF1" s="24" t="n"/>
      <c r="POG1" s="24" t="n"/>
      <c r="POH1" s="24" t="n"/>
      <c r="POI1" s="24" t="n"/>
      <c r="POJ1" s="24" t="n"/>
      <c r="POK1" s="24" t="n"/>
      <c r="POL1" s="24" t="n"/>
      <c r="POM1" s="24" t="n"/>
      <c r="PON1" s="24" t="n"/>
      <c r="POO1" s="24" t="n"/>
      <c r="POP1" s="24" t="n"/>
      <c r="POQ1" s="24" t="n"/>
      <c r="POR1" s="24" t="n"/>
      <c r="POS1" s="24" t="n"/>
      <c r="POT1" s="24" t="n"/>
      <c r="POU1" s="24" t="n"/>
      <c r="POV1" s="24" t="n"/>
      <c r="POW1" s="24" t="n"/>
      <c r="POX1" s="24" t="n"/>
      <c r="POY1" s="24" t="n"/>
      <c r="POZ1" s="24" t="n"/>
      <c r="PPA1" s="24" t="n"/>
      <c r="PPB1" s="24" t="n"/>
      <c r="PPC1" s="24" t="n"/>
      <c r="PPD1" s="24" t="n"/>
      <c r="PPE1" s="24" t="n"/>
      <c r="PPF1" s="24" t="n"/>
      <c r="PPG1" s="24" t="n"/>
      <c r="PPH1" s="24" t="n"/>
      <c r="PPI1" s="24" t="n"/>
      <c r="PPJ1" s="24" t="n"/>
      <c r="PPK1" s="24" t="n"/>
      <c r="PPL1" s="24" t="n"/>
      <c r="PPM1" s="24" t="n"/>
      <c r="PPN1" s="24" t="n"/>
      <c r="PPO1" s="24" t="n"/>
      <c r="PPP1" s="24" t="n"/>
      <c r="PPQ1" s="24" t="n"/>
      <c r="PPR1" s="24" t="n"/>
      <c r="PPS1" s="24" t="n"/>
      <c r="PPT1" s="24" t="n"/>
      <c r="PPU1" s="24" t="n"/>
      <c r="PPV1" s="24" t="n"/>
      <c r="PPW1" s="24" t="n"/>
      <c r="PPX1" s="24" t="n"/>
      <c r="PPY1" s="24" t="n"/>
      <c r="PPZ1" s="24" t="n"/>
      <c r="PQA1" s="24" t="n"/>
      <c r="PQB1" s="24" t="n"/>
      <c r="PQC1" s="24" t="n"/>
      <c r="PQD1" s="24" t="n"/>
      <c r="PQE1" s="24" t="n"/>
      <c r="PQF1" s="24" t="n"/>
      <c r="PQG1" s="24" t="n"/>
      <c r="PQH1" s="24" t="n"/>
      <c r="PQI1" s="24" t="n"/>
      <c r="PQJ1" s="24" t="n"/>
      <c r="PQK1" s="24" t="n"/>
      <c r="PQL1" s="24" t="n"/>
      <c r="PQM1" s="24" t="n"/>
      <c r="PQN1" s="24" t="n"/>
      <c r="PQO1" s="24" t="n"/>
      <c r="PQP1" s="24" t="n"/>
      <c r="PQQ1" s="24" t="n"/>
      <c r="PQR1" s="24" t="n"/>
      <c r="PQS1" s="24" t="n"/>
      <c r="PQT1" s="24" t="n"/>
      <c r="PQU1" s="24" t="n"/>
      <c r="PQV1" s="24" t="n"/>
      <c r="PQW1" s="24" t="n"/>
      <c r="PQX1" s="24" t="n"/>
      <c r="PQY1" s="24" t="n"/>
      <c r="PQZ1" s="24" t="n"/>
      <c r="PRA1" s="24" t="n"/>
      <c r="PRB1" s="24" t="n"/>
      <c r="PRC1" s="24" t="n"/>
      <c r="PRD1" s="24" t="n"/>
      <c r="PRE1" s="24" t="n"/>
      <c r="PRF1" s="24" t="n"/>
      <c r="PRG1" s="24" t="n"/>
      <c r="PRH1" s="24" t="n"/>
      <c r="PRI1" s="24" t="n"/>
      <c r="PRJ1" s="24" t="n"/>
      <c r="PRK1" s="24" t="n"/>
      <c r="PRL1" s="24" t="n"/>
      <c r="PRM1" s="24" t="n"/>
      <c r="PRN1" s="24" t="n"/>
      <c r="PRO1" s="24" t="n"/>
      <c r="PRP1" s="24" t="n"/>
      <c r="PRQ1" s="24" t="n"/>
      <c r="PRR1" s="24" t="n"/>
      <c r="PRS1" s="24" t="n"/>
      <c r="PRT1" s="24" t="n"/>
      <c r="PRU1" s="24" t="n"/>
      <c r="PRV1" s="24" t="n"/>
      <c r="PRW1" s="24" t="n"/>
      <c r="PRX1" s="24" t="n"/>
      <c r="PRY1" s="24" t="n"/>
      <c r="PRZ1" s="24" t="n"/>
      <c r="PSA1" s="24" t="n"/>
      <c r="PSB1" s="24" t="n"/>
      <c r="PSC1" s="24" t="n"/>
      <c r="PSD1" s="24" t="n"/>
      <c r="PSE1" s="24" t="n"/>
      <c r="PSF1" s="24" t="n"/>
      <c r="PSG1" s="24" t="n"/>
      <c r="PSH1" s="24" t="n"/>
      <c r="PSI1" s="24" t="n"/>
      <c r="PSJ1" s="24" t="n"/>
      <c r="PSK1" s="24" t="n"/>
      <c r="PSL1" s="24" t="n"/>
      <c r="PSM1" s="24" t="n"/>
      <c r="PSN1" s="24" t="n"/>
      <c r="PSO1" s="24" t="n"/>
      <c r="PSP1" s="24" t="n"/>
      <c r="PSQ1" s="24" t="n"/>
      <c r="PSR1" s="24" t="n"/>
      <c r="PSS1" s="24" t="n"/>
      <c r="PST1" s="24" t="n"/>
      <c r="PSU1" s="24" t="n"/>
      <c r="PSV1" s="24" t="n"/>
      <c r="PSW1" s="24" t="n"/>
      <c r="PSX1" s="24" t="n"/>
      <c r="PSY1" s="24" t="n"/>
      <c r="PSZ1" s="24" t="n"/>
      <c r="PTA1" s="24" t="n"/>
      <c r="PTB1" s="24" t="n"/>
      <c r="PTC1" s="24" t="n"/>
      <c r="PTD1" s="24" t="n"/>
      <c r="PTE1" s="24" t="n"/>
      <c r="PTF1" s="24" t="n"/>
      <c r="PTG1" s="24" t="n"/>
      <c r="PTH1" s="24" t="n"/>
      <c r="PTI1" s="24" t="n"/>
      <c r="PTJ1" s="24" t="n"/>
      <c r="PTK1" s="24" t="n"/>
      <c r="PTL1" s="24" t="n"/>
      <c r="PTM1" s="24" t="n"/>
      <c r="PTN1" s="24" t="n"/>
      <c r="PTO1" s="24" t="n"/>
      <c r="PTP1" s="24" t="n"/>
      <c r="PTQ1" s="24" t="n"/>
      <c r="PTR1" s="24" t="n"/>
      <c r="PTS1" s="24" t="n"/>
      <c r="PTT1" s="24" t="n"/>
      <c r="PTU1" s="24" t="n"/>
      <c r="PTV1" s="24" t="n"/>
      <c r="PTW1" s="24" t="n"/>
      <c r="PTX1" s="24" t="n"/>
      <c r="PTY1" s="24" t="n"/>
      <c r="PTZ1" s="24" t="n"/>
      <c r="PUA1" s="24" t="n"/>
      <c r="PUB1" s="24" t="n"/>
      <c r="PUC1" s="24" t="n"/>
      <c r="PUD1" s="24" t="n"/>
      <c r="PUE1" s="24" t="n"/>
      <c r="PUF1" s="24" t="n"/>
      <c r="PUG1" s="24" t="n"/>
      <c r="PUH1" s="24" t="n"/>
      <c r="PUI1" s="24" t="n"/>
      <c r="PUJ1" s="24" t="n"/>
      <c r="PUK1" s="24" t="n"/>
      <c r="PUL1" s="24" t="n"/>
      <c r="PUM1" s="24" t="n"/>
      <c r="PUN1" s="24" t="n"/>
      <c r="PUO1" s="24" t="n"/>
      <c r="PUP1" s="24" t="n"/>
      <c r="PUQ1" s="24" t="n"/>
      <c r="PUR1" s="24" t="n"/>
      <c r="PUS1" s="24" t="n"/>
      <c r="PUT1" s="24" t="n"/>
      <c r="PUU1" s="24" t="n"/>
      <c r="PUV1" s="24" t="n"/>
      <c r="PUW1" s="24" t="n"/>
      <c r="PUX1" s="24" t="n"/>
      <c r="PUY1" s="24" t="n"/>
      <c r="PUZ1" s="24" t="n"/>
      <c r="PVA1" s="24" t="n"/>
      <c r="PVB1" s="24" t="n"/>
      <c r="PVC1" s="24" t="n"/>
      <c r="PVD1" s="24" t="n"/>
      <c r="PVE1" s="24" t="n"/>
      <c r="PVF1" s="24" t="n"/>
      <c r="PVG1" s="24" t="n"/>
      <c r="PVH1" s="24" t="n"/>
      <c r="PVI1" s="24" t="n"/>
      <c r="PVJ1" s="24" t="n"/>
      <c r="PVK1" s="24" t="n"/>
      <c r="PVL1" s="24" t="n"/>
      <c r="PVM1" s="24" t="n"/>
      <c r="PVN1" s="24" t="n"/>
      <c r="PVO1" s="24" t="n"/>
      <c r="PVP1" s="24" t="n"/>
      <c r="PVQ1" s="24" t="n"/>
      <c r="PVR1" s="24" t="n"/>
      <c r="PVS1" s="24" t="n"/>
      <c r="PVT1" s="24" t="n"/>
      <c r="PVU1" s="24" t="n"/>
      <c r="PVV1" s="24" t="n"/>
      <c r="PVW1" s="24" t="n"/>
      <c r="PVX1" s="24" t="n"/>
      <c r="PVY1" s="24" t="n"/>
      <c r="PVZ1" s="24" t="n"/>
      <c r="PWA1" s="24" t="n"/>
      <c r="PWB1" s="24" t="n"/>
      <c r="PWC1" s="24" t="n"/>
      <c r="PWD1" s="24" t="n"/>
      <c r="PWE1" s="24" t="n"/>
      <c r="PWF1" s="24" t="n"/>
      <c r="PWG1" s="24" t="n"/>
      <c r="PWH1" s="24" t="n"/>
      <c r="PWI1" s="24" t="n"/>
      <c r="PWJ1" s="24" t="n"/>
      <c r="PWK1" s="24" t="n"/>
      <c r="PWL1" s="24" t="n"/>
      <c r="PWM1" s="24" t="n"/>
      <c r="PWN1" s="24" t="n"/>
      <c r="PWO1" s="24" t="n"/>
      <c r="PWP1" s="24" t="n"/>
      <c r="PWQ1" s="24" t="n"/>
      <c r="PWR1" s="24" t="n"/>
      <c r="PWS1" s="24" t="n"/>
      <c r="PWT1" s="24" t="n"/>
      <c r="PWU1" s="24" t="n"/>
      <c r="PWV1" s="24" t="n"/>
      <c r="PWW1" s="24" t="n"/>
      <c r="PWX1" s="24" t="n"/>
      <c r="PWY1" s="24" t="n"/>
      <c r="PWZ1" s="24" t="n"/>
      <c r="PXA1" s="24" t="n"/>
      <c r="PXB1" s="24" t="n"/>
      <c r="PXC1" s="24" t="n"/>
      <c r="PXD1" s="24" t="n"/>
      <c r="PXE1" s="24" t="n"/>
      <c r="PXF1" s="24" t="n"/>
      <c r="PXG1" s="24" t="n"/>
      <c r="PXH1" s="24" t="n"/>
      <c r="PXI1" s="24" t="n"/>
      <c r="PXJ1" s="24" t="n"/>
      <c r="PXK1" s="24" t="n"/>
      <c r="PXL1" s="24" t="n"/>
      <c r="PXM1" s="24" t="n"/>
      <c r="PXN1" s="24" t="n"/>
      <c r="PXO1" s="24" t="n"/>
      <c r="PXP1" s="24" t="n"/>
      <c r="PXQ1" s="24" t="n"/>
      <c r="PXR1" s="24" t="n"/>
      <c r="PXS1" s="24" t="n"/>
      <c r="PXT1" s="24" t="n"/>
      <c r="PXU1" s="24" t="n"/>
      <c r="PXV1" s="24" t="n"/>
      <c r="PXW1" s="24" t="n"/>
      <c r="PXX1" s="24" t="n"/>
      <c r="PXY1" s="24" t="n"/>
      <c r="PXZ1" s="24" t="n"/>
      <c r="PYA1" s="24" t="n"/>
      <c r="PYB1" s="24" t="n"/>
      <c r="PYC1" s="24" t="n"/>
      <c r="PYD1" s="24" t="n"/>
      <c r="PYE1" s="24" t="n"/>
      <c r="PYF1" s="24" t="n"/>
      <c r="PYG1" s="24" t="n"/>
      <c r="PYH1" s="24" t="n"/>
      <c r="PYI1" s="24" t="n"/>
      <c r="PYJ1" s="24" t="n"/>
      <c r="PYK1" s="24" t="n"/>
      <c r="PYL1" s="24" t="n"/>
      <c r="PYM1" s="24" t="n"/>
      <c r="PYN1" s="24" t="n"/>
      <c r="PYO1" s="24" t="n"/>
      <c r="PYP1" s="24" t="n"/>
      <c r="PYQ1" s="24" t="n"/>
      <c r="PYR1" s="24" t="n"/>
      <c r="PYS1" s="24" t="n"/>
      <c r="PYT1" s="24" t="n"/>
      <c r="PYU1" s="24" t="n"/>
      <c r="PYV1" s="24" t="n"/>
      <c r="PYW1" s="24" t="n"/>
      <c r="PYX1" s="24" t="n"/>
      <c r="PYY1" s="24" t="n"/>
      <c r="PYZ1" s="24" t="n"/>
      <c r="PZA1" s="24" t="n"/>
      <c r="PZB1" s="24" t="n"/>
      <c r="PZC1" s="24" t="n"/>
      <c r="PZD1" s="24" t="n"/>
      <c r="PZE1" s="24" t="n"/>
      <c r="PZF1" s="24" t="n"/>
      <c r="PZG1" s="24" t="n"/>
      <c r="PZH1" s="24" t="n"/>
      <c r="PZI1" s="24" t="n"/>
      <c r="PZJ1" s="24" t="n"/>
      <c r="PZK1" s="24" t="n"/>
      <c r="PZL1" s="24" t="n"/>
      <c r="PZM1" s="24" t="n"/>
      <c r="PZN1" s="24" t="n"/>
      <c r="PZO1" s="24" t="n"/>
      <c r="PZP1" s="24" t="n"/>
      <c r="PZQ1" s="24" t="n"/>
      <c r="PZR1" s="24" t="n"/>
      <c r="PZS1" s="24" t="n"/>
      <c r="PZT1" s="24" t="n"/>
      <c r="PZU1" s="24" t="n"/>
      <c r="PZV1" s="24" t="n"/>
      <c r="PZW1" s="24" t="n"/>
      <c r="PZX1" s="24" t="n"/>
      <c r="PZY1" s="24" t="n"/>
      <c r="PZZ1" s="24" t="n"/>
      <c r="QAA1" s="24" t="n"/>
      <c r="QAB1" s="24" t="n"/>
      <c r="QAC1" s="24" t="n"/>
      <c r="QAD1" s="24" t="n"/>
      <c r="QAE1" s="24" t="n"/>
      <c r="QAF1" s="24" t="n"/>
      <c r="QAG1" s="24" t="n"/>
      <c r="QAH1" s="24" t="n"/>
      <c r="QAI1" s="24" t="n"/>
      <c r="QAJ1" s="24" t="n"/>
      <c r="QAK1" s="24" t="n"/>
      <c r="QAL1" s="24" t="n"/>
      <c r="QAM1" s="24" t="n"/>
      <c r="QAN1" s="24" t="n"/>
      <c r="QAO1" s="24" t="n"/>
      <c r="QAP1" s="24" t="n"/>
      <c r="QAQ1" s="24" t="n"/>
      <c r="QAR1" s="24" t="n"/>
      <c r="QAS1" s="24" t="n"/>
      <c r="QAT1" s="24" t="n"/>
      <c r="QAU1" s="24" t="n"/>
      <c r="QAV1" s="24" t="n"/>
      <c r="QAW1" s="24" t="n"/>
      <c r="QAX1" s="24" t="n"/>
      <c r="QAY1" s="24" t="n"/>
      <c r="QAZ1" s="24" t="n"/>
      <c r="QBA1" s="24" t="n"/>
      <c r="QBB1" s="24" t="n"/>
      <c r="QBC1" s="24" t="n"/>
      <c r="QBD1" s="24" t="n"/>
      <c r="QBE1" s="24" t="n"/>
      <c r="QBF1" s="24" t="n"/>
      <c r="QBG1" s="24" t="n"/>
      <c r="QBH1" s="24" t="n"/>
      <c r="QBI1" s="24" t="n"/>
      <c r="QBJ1" s="24" t="n"/>
      <c r="QBK1" s="24" t="n"/>
      <c r="QBL1" s="24" t="n"/>
      <c r="QBM1" s="24" t="n"/>
      <c r="QBN1" s="24" t="n"/>
      <c r="QBO1" s="24" t="n"/>
      <c r="QBP1" s="24" t="n"/>
      <c r="QBQ1" s="24" t="n"/>
      <c r="QBR1" s="24" t="n"/>
      <c r="QBS1" s="24" t="n"/>
      <c r="QBT1" s="24" t="n"/>
      <c r="QBU1" s="24" t="n"/>
      <c r="QBV1" s="24" t="n"/>
      <c r="QBW1" s="24" t="n"/>
      <c r="QBX1" s="24" t="n"/>
      <c r="QBY1" s="24" t="n"/>
      <c r="QBZ1" s="24" t="n"/>
      <c r="QCA1" s="24" t="n"/>
      <c r="QCB1" s="24" t="n"/>
      <c r="QCC1" s="24" t="n"/>
      <c r="QCD1" s="24" t="n"/>
      <c r="QCE1" s="24" t="n"/>
      <c r="QCF1" s="24" t="n"/>
      <c r="QCG1" s="24" t="n"/>
      <c r="QCH1" s="24" t="n"/>
      <c r="QCI1" s="24" t="n"/>
      <c r="QCJ1" s="24" t="n"/>
      <c r="QCK1" s="24" t="n"/>
      <c r="QCL1" s="24" t="n"/>
      <c r="QCM1" s="24" t="n"/>
      <c r="QCN1" s="24" t="n"/>
      <c r="QCO1" s="24" t="n"/>
      <c r="QCP1" s="24" t="n"/>
      <c r="QCQ1" s="24" t="n"/>
      <c r="QCR1" s="24" t="n"/>
      <c r="QCS1" s="24" t="n"/>
      <c r="QCT1" s="24" t="n"/>
      <c r="QCU1" s="24" t="n"/>
      <c r="QCV1" s="24" t="n"/>
      <c r="QCW1" s="24" t="n"/>
      <c r="QCX1" s="24" t="n"/>
      <c r="QCY1" s="24" t="n"/>
      <c r="QCZ1" s="24" t="n"/>
      <c r="QDA1" s="24" t="n"/>
      <c r="QDB1" s="24" t="n"/>
      <c r="QDC1" s="24" t="n"/>
      <c r="QDD1" s="24" t="n"/>
      <c r="QDE1" s="24" t="n"/>
      <c r="QDF1" s="24" t="n"/>
      <c r="QDG1" s="24" t="n"/>
      <c r="QDH1" s="24" t="n"/>
      <c r="QDI1" s="24" t="n"/>
      <c r="QDJ1" s="24" t="n"/>
      <c r="QDK1" s="24" t="n"/>
      <c r="QDL1" s="24" t="n"/>
      <c r="QDM1" s="24" t="n"/>
      <c r="QDN1" s="24" t="n"/>
      <c r="QDO1" s="24" t="n"/>
      <c r="QDP1" s="24" t="n"/>
      <c r="QDQ1" s="24" t="n"/>
      <c r="QDR1" s="24" t="n"/>
      <c r="QDS1" s="24" t="n"/>
      <c r="QDT1" s="24" t="n"/>
      <c r="QDU1" s="24" t="n"/>
      <c r="QDV1" s="24" t="n"/>
      <c r="QDW1" s="24" t="n"/>
      <c r="QDX1" s="24" t="n"/>
      <c r="QDY1" s="24" t="n"/>
      <c r="QDZ1" s="24" t="n"/>
      <c r="QEA1" s="24" t="n"/>
      <c r="QEB1" s="24" t="n"/>
      <c r="QEC1" s="24" t="n"/>
      <c r="QED1" s="24" t="n"/>
      <c r="QEE1" s="24" t="n"/>
      <c r="QEF1" s="24" t="n"/>
      <c r="QEG1" s="24" t="n"/>
      <c r="QEH1" s="24" t="n"/>
      <c r="QEI1" s="24" t="n"/>
      <c r="QEJ1" s="24" t="n"/>
      <c r="QEK1" s="24" t="n"/>
      <c r="QEL1" s="24" t="n"/>
      <c r="QEM1" s="24" t="n"/>
      <c r="QEN1" s="24" t="n"/>
      <c r="QEO1" s="24" t="n"/>
      <c r="QEP1" s="24" t="n"/>
      <c r="QEQ1" s="24" t="n"/>
      <c r="QER1" s="24" t="n"/>
      <c r="QES1" s="24" t="n"/>
      <c r="QET1" s="24" t="n"/>
      <c r="QEU1" s="24" t="n"/>
      <c r="QEV1" s="24" t="n"/>
      <c r="QEW1" s="24" t="n"/>
      <c r="QEX1" s="24" t="n"/>
      <c r="QEY1" s="24" t="n"/>
      <c r="QEZ1" s="24" t="n"/>
      <c r="QFA1" s="24" t="n"/>
      <c r="QFB1" s="24" t="n"/>
      <c r="QFC1" s="24" t="n"/>
      <c r="QFD1" s="24" t="n"/>
      <c r="QFE1" s="24" t="n"/>
      <c r="QFF1" s="24" t="n"/>
      <c r="QFG1" s="24" t="n"/>
      <c r="QFH1" s="24" t="n"/>
      <c r="QFI1" s="24" t="n"/>
      <c r="QFJ1" s="24" t="n"/>
      <c r="QFK1" s="24" t="n"/>
      <c r="QFL1" s="24" t="n"/>
      <c r="QFM1" s="24" t="n"/>
      <c r="QFN1" s="24" t="n"/>
      <c r="QFO1" s="24" t="n"/>
      <c r="QFP1" s="24" t="n"/>
      <c r="QFQ1" s="24" t="n"/>
      <c r="QFR1" s="24" t="n"/>
      <c r="QFS1" s="24" t="n"/>
      <c r="QFT1" s="24" t="n"/>
      <c r="QFU1" s="24" t="n"/>
      <c r="QFV1" s="24" t="n"/>
      <c r="QFW1" s="24" t="n"/>
      <c r="QFX1" s="24" t="n"/>
      <c r="QFY1" s="24" t="n"/>
      <c r="QFZ1" s="24" t="n"/>
      <c r="QGA1" s="24" t="n"/>
      <c r="QGB1" s="24" t="n"/>
      <c r="QGC1" s="24" t="n"/>
      <c r="QGD1" s="24" t="n"/>
      <c r="QGE1" s="24" t="n"/>
      <c r="QGF1" s="24" t="n"/>
      <c r="QGG1" s="24" t="n"/>
      <c r="QGH1" s="24" t="n"/>
      <c r="QGI1" s="24" t="n"/>
      <c r="QGJ1" s="24" t="n"/>
      <c r="QGK1" s="24" t="n"/>
      <c r="QGL1" s="24" t="n"/>
      <c r="QGM1" s="24" t="n"/>
      <c r="QGN1" s="24" t="n"/>
      <c r="QGO1" s="24" t="n"/>
      <c r="QGP1" s="24" t="n"/>
      <c r="QGQ1" s="24" t="n"/>
      <c r="QGR1" s="24" t="n"/>
      <c r="QGS1" s="24" t="n"/>
      <c r="QGT1" s="24" t="n"/>
      <c r="QGU1" s="24" t="n"/>
      <c r="QGV1" s="24" t="n"/>
      <c r="QGW1" s="24" t="n"/>
      <c r="QGX1" s="24" t="n"/>
      <c r="QGY1" s="24" t="n"/>
      <c r="QGZ1" s="24" t="n"/>
      <c r="QHA1" s="24" t="n"/>
      <c r="QHB1" s="24" t="n"/>
      <c r="QHC1" s="24" t="n"/>
      <c r="QHD1" s="24" t="n"/>
      <c r="QHE1" s="24" t="n"/>
      <c r="QHF1" s="24" t="n"/>
      <c r="QHG1" s="24" t="n"/>
      <c r="QHH1" s="24" t="n"/>
      <c r="QHI1" s="24" t="n"/>
      <c r="QHJ1" s="24" t="n"/>
      <c r="QHK1" s="24" t="n"/>
      <c r="QHL1" s="24" t="n"/>
      <c r="QHM1" s="24" t="n"/>
      <c r="QHN1" s="24" t="n"/>
      <c r="QHO1" s="24" t="n"/>
      <c r="QHP1" s="24" t="n"/>
      <c r="QHQ1" s="24" t="n"/>
      <c r="QHR1" s="24" t="n"/>
      <c r="QHS1" s="24" t="n"/>
      <c r="QHT1" s="24" t="n"/>
      <c r="QHU1" s="24" t="n"/>
      <c r="QHV1" s="24" t="n"/>
      <c r="QHW1" s="24" t="n"/>
      <c r="QHX1" s="24" t="n"/>
      <c r="QHY1" s="24" t="n"/>
      <c r="QHZ1" s="24" t="n"/>
      <c r="QIA1" s="24" t="n"/>
      <c r="QIB1" s="24" t="n"/>
      <c r="QIC1" s="24" t="n"/>
      <c r="QID1" s="24" t="n"/>
      <c r="QIE1" s="24" t="n"/>
      <c r="QIF1" s="24" t="n"/>
      <c r="QIG1" s="24" t="n"/>
      <c r="QIH1" s="24" t="n"/>
      <c r="QII1" s="24" t="n"/>
      <c r="QIJ1" s="24" t="n"/>
      <c r="QIK1" s="24" t="n"/>
      <c r="QIL1" s="24" t="n"/>
      <c r="QIM1" s="24" t="n"/>
      <c r="QIN1" s="24" t="n"/>
      <c r="QIO1" s="24" t="n"/>
      <c r="QIP1" s="24" t="n"/>
      <c r="QIQ1" s="24" t="n"/>
      <c r="QIR1" s="24" t="n"/>
      <c r="QIS1" s="24" t="n"/>
      <c r="QIT1" s="24" t="n"/>
      <c r="QIU1" s="24" t="n"/>
      <c r="QIV1" s="24" t="n"/>
      <c r="QIW1" s="24" t="n"/>
      <c r="QIX1" s="24" t="n"/>
      <c r="QIY1" s="24" t="n"/>
      <c r="QIZ1" s="24" t="n"/>
      <c r="QJA1" s="24" t="n"/>
      <c r="QJB1" s="24" t="n"/>
      <c r="QJC1" s="24" t="n"/>
      <c r="QJD1" s="24" t="n"/>
      <c r="QJE1" s="24" t="n"/>
      <c r="QJF1" s="24" t="n"/>
      <c r="QJG1" s="24" t="n"/>
      <c r="QJH1" s="24" t="n"/>
      <c r="QJI1" s="24" t="n"/>
      <c r="QJJ1" s="24" t="n"/>
      <c r="QJK1" s="24" t="n"/>
      <c r="QJL1" s="24" t="n"/>
      <c r="QJM1" s="24" t="n"/>
      <c r="QJN1" s="24" t="n"/>
      <c r="QJO1" s="24" t="n"/>
      <c r="QJP1" s="24" t="n"/>
      <c r="QJQ1" s="24" t="n"/>
      <c r="QJR1" s="24" t="n"/>
      <c r="QJS1" s="24" t="n"/>
      <c r="QJT1" s="24" t="n"/>
      <c r="QJU1" s="24" t="n"/>
      <c r="QJV1" s="24" t="n"/>
      <c r="QJW1" s="24" t="n"/>
      <c r="QJX1" s="24" t="n"/>
      <c r="QJY1" s="24" t="n"/>
      <c r="QJZ1" s="24" t="n"/>
      <c r="QKA1" s="24" t="n"/>
      <c r="QKB1" s="24" t="n"/>
      <c r="QKC1" s="24" t="n"/>
      <c r="QKD1" s="24" t="n"/>
      <c r="QKE1" s="24" t="n"/>
      <c r="QKF1" s="24" t="n"/>
      <c r="QKG1" s="24" t="n"/>
      <c r="QKH1" s="24" t="n"/>
      <c r="QKI1" s="24" t="n"/>
      <c r="QKJ1" s="24" t="n"/>
      <c r="QKK1" s="24" t="n"/>
      <c r="QKL1" s="24" t="n"/>
      <c r="QKM1" s="24" t="n"/>
      <c r="QKN1" s="24" t="n"/>
      <c r="QKO1" s="24" t="n"/>
      <c r="QKP1" s="24" t="n"/>
      <c r="QKQ1" s="24" t="n"/>
      <c r="QKR1" s="24" t="n"/>
      <c r="QKS1" s="24" t="n"/>
      <c r="QKT1" s="24" t="n"/>
      <c r="QKU1" s="24" t="n"/>
      <c r="QKV1" s="24" t="n"/>
      <c r="QKW1" s="24" t="n"/>
      <c r="QKX1" s="24" t="n"/>
      <c r="QKY1" s="24" t="n"/>
      <c r="QKZ1" s="24" t="n"/>
      <c r="QLA1" s="24" t="n"/>
      <c r="QLB1" s="24" t="n"/>
      <c r="QLC1" s="24" t="n"/>
      <c r="QLD1" s="24" t="n"/>
      <c r="QLE1" s="24" t="n"/>
      <c r="QLF1" s="24" t="n"/>
      <c r="QLG1" s="24" t="n"/>
      <c r="QLH1" s="24" t="n"/>
      <c r="QLI1" s="24" t="n"/>
      <c r="QLJ1" s="24" t="n"/>
      <c r="QLK1" s="24" t="n"/>
      <c r="QLL1" s="24" t="n"/>
      <c r="QLM1" s="24" t="n"/>
      <c r="QLN1" s="24" t="n"/>
      <c r="QLO1" s="24" t="n"/>
      <c r="QLP1" s="24" t="n"/>
      <c r="QLQ1" s="24" t="n"/>
      <c r="QLR1" s="24" t="n"/>
      <c r="QLS1" s="24" t="n"/>
      <c r="QLT1" s="24" t="n"/>
      <c r="QLU1" s="24" t="n"/>
      <c r="QLV1" s="24" t="n"/>
      <c r="QLW1" s="24" t="n"/>
      <c r="QLX1" s="24" t="n"/>
      <c r="QLY1" s="24" t="n"/>
      <c r="QLZ1" s="24" t="n"/>
      <c r="QMA1" s="24" t="n"/>
      <c r="QMB1" s="24" t="n"/>
      <c r="QMC1" s="24" t="n"/>
      <c r="QMD1" s="24" t="n"/>
      <c r="QME1" s="24" t="n"/>
      <c r="QMF1" s="24" t="n"/>
      <c r="QMG1" s="24" t="n"/>
      <c r="QMH1" s="24" t="n"/>
      <c r="QMI1" s="24" t="n"/>
      <c r="QMJ1" s="24" t="n"/>
      <c r="QMK1" s="24" t="n"/>
      <c r="QML1" s="24" t="n"/>
      <c r="QMM1" s="24" t="n"/>
      <c r="QMN1" s="24" t="n"/>
      <c r="QMO1" s="24" t="n"/>
      <c r="QMP1" s="24" t="n"/>
      <c r="QMQ1" s="24" t="n"/>
      <c r="QMR1" s="24" t="n"/>
      <c r="QMS1" s="24" t="n"/>
      <c r="QMT1" s="24" t="n"/>
      <c r="QMU1" s="24" t="n"/>
      <c r="QMV1" s="24" t="n"/>
      <c r="QMW1" s="24" t="n"/>
      <c r="QMX1" s="24" t="n"/>
      <c r="QMY1" s="24" t="n"/>
      <c r="QMZ1" s="24" t="n"/>
      <c r="QNA1" s="24" t="n"/>
      <c r="QNB1" s="24" t="n"/>
      <c r="QNC1" s="24" t="n"/>
      <c r="QND1" s="24" t="n"/>
      <c r="QNE1" s="24" t="n"/>
      <c r="QNF1" s="24" t="n"/>
      <c r="QNG1" s="24" t="n"/>
      <c r="QNH1" s="24" t="n"/>
      <c r="QNI1" s="24" t="n"/>
      <c r="QNJ1" s="24" t="n"/>
      <c r="QNK1" s="24" t="n"/>
      <c r="QNL1" s="24" t="n"/>
      <c r="QNM1" s="24" t="n"/>
      <c r="QNN1" s="24" t="n"/>
      <c r="QNO1" s="24" t="n"/>
      <c r="QNP1" s="24" t="n"/>
      <c r="QNQ1" s="24" t="n"/>
      <c r="QNR1" s="24" t="n"/>
      <c r="QNS1" s="24" t="n"/>
      <c r="QNT1" s="24" t="n"/>
      <c r="QNU1" s="24" t="n"/>
      <c r="QNV1" s="24" t="n"/>
      <c r="QNW1" s="24" t="n"/>
      <c r="QNX1" s="24" t="n"/>
      <c r="QNY1" s="24" t="n"/>
      <c r="QNZ1" s="24" t="n"/>
      <c r="QOA1" s="24" t="n"/>
      <c r="QOB1" s="24" t="n"/>
      <c r="QOC1" s="24" t="n"/>
      <c r="QOD1" s="24" t="n"/>
      <c r="QOE1" s="24" t="n"/>
      <c r="QOF1" s="24" t="n"/>
      <c r="QOG1" s="24" t="n"/>
      <c r="QOH1" s="24" t="n"/>
      <c r="QOI1" s="24" t="n"/>
      <c r="QOJ1" s="24" t="n"/>
      <c r="QOK1" s="24" t="n"/>
      <c r="QOL1" s="24" t="n"/>
      <c r="QOM1" s="24" t="n"/>
      <c r="QON1" s="24" t="n"/>
      <c r="QOO1" s="24" t="n"/>
      <c r="QOP1" s="24" t="n"/>
      <c r="QOQ1" s="24" t="n"/>
      <c r="QOR1" s="24" t="n"/>
      <c r="QOS1" s="24" t="n"/>
      <c r="QOT1" s="24" t="n"/>
      <c r="QOU1" s="24" t="n"/>
      <c r="QOV1" s="24" t="n"/>
      <c r="QOW1" s="24" t="n"/>
      <c r="QOX1" s="24" t="n"/>
      <c r="QOY1" s="24" t="n"/>
      <c r="QOZ1" s="24" t="n"/>
      <c r="QPA1" s="24" t="n"/>
      <c r="QPB1" s="24" t="n"/>
      <c r="QPC1" s="24" t="n"/>
      <c r="QPD1" s="24" t="n"/>
      <c r="QPE1" s="24" t="n"/>
      <c r="QPF1" s="24" t="n"/>
      <c r="QPG1" s="24" t="n"/>
      <c r="QPH1" s="24" t="n"/>
      <c r="QPI1" s="24" t="n"/>
      <c r="QPJ1" s="24" t="n"/>
      <c r="QPK1" s="24" t="n"/>
      <c r="QPL1" s="24" t="n"/>
      <c r="QPM1" s="24" t="n"/>
      <c r="QPN1" s="24" t="n"/>
      <c r="QPO1" s="24" t="n"/>
      <c r="QPP1" s="24" t="n"/>
      <c r="QPQ1" s="24" t="n"/>
      <c r="QPR1" s="24" t="n"/>
      <c r="QPS1" s="24" t="n"/>
      <c r="QPT1" s="24" t="n"/>
      <c r="QPU1" s="24" t="n"/>
      <c r="QPV1" s="24" t="n"/>
      <c r="QPW1" s="24" t="n"/>
      <c r="QPX1" s="24" t="n"/>
      <c r="QPY1" s="24" t="n"/>
      <c r="QPZ1" s="24" t="n"/>
      <c r="QQA1" s="24" t="n"/>
      <c r="QQB1" s="24" t="n"/>
      <c r="QQC1" s="24" t="n"/>
      <c r="QQD1" s="24" t="n"/>
      <c r="QQE1" s="24" t="n"/>
      <c r="QQF1" s="24" t="n"/>
      <c r="QQG1" s="24" t="n"/>
      <c r="QQH1" s="24" t="n"/>
      <c r="QQI1" s="24" t="n"/>
      <c r="QQJ1" s="24" t="n"/>
      <c r="QQK1" s="24" t="n"/>
      <c r="QQL1" s="24" t="n"/>
      <c r="QQM1" s="24" t="n"/>
      <c r="QQN1" s="24" t="n"/>
      <c r="QQO1" s="24" t="n"/>
      <c r="QQP1" s="24" t="n"/>
      <c r="QQQ1" s="24" t="n"/>
      <c r="QQR1" s="24" t="n"/>
      <c r="QQS1" s="24" t="n"/>
      <c r="QQT1" s="24" t="n"/>
      <c r="QQU1" s="24" t="n"/>
      <c r="QQV1" s="24" t="n"/>
      <c r="QQW1" s="24" t="n"/>
      <c r="QQX1" s="24" t="n"/>
      <c r="QQY1" s="24" t="n"/>
      <c r="QQZ1" s="24" t="n"/>
      <c r="QRA1" s="24" t="n"/>
      <c r="QRB1" s="24" t="n"/>
      <c r="QRC1" s="24" t="n"/>
      <c r="QRD1" s="24" t="n"/>
      <c r="QRE1" s="24" t="n"/>
      <c r="QRF1" s="24" t="n"/>
      <c r="QRG1" s="24" t="n"/>
      <c r="QRH1" s="24" t="n"/>
      <c r="QRI1" s="24" t="n"/>
      <c r="QRJ1" s="24" t="n"/>
      <c r="QRK1" s="24" t="n"/>
      <c r="QRL1" s="24" t="n"/>
      <c r="QRM1" s="24" t="n"/>
      <c r="QRN1" s="24" t="n"/>
      <c r="QRO1" s="24" t="n"/>
      <c r="QRP1" s="24" t="n"/>
      <c r="QRQ1" s="24" t="n"/>
      <c r="QRR1" s="24" t="n"/>
      <c r="QRS1" s="24" t="n"/>
      <c r="QRT1" s="24" t="n"/>
      <c r="QRU1" s="24" t="n"/>
      <c r="QRV1" s="24" t="n"/>
      <c r="QRW1" s="24" t="n"/>
      <c r="QRX1" s="24" t="n"/>
      <c r="QRY1" s="24" t="n"/>
      <c r="QRZ1" s="24" t="n"/>
      <c r="QSA1" s="24" t="n"/>
      <c r="QSB1" s="24" t="n"/>
      <c r="QSC1" s="24" t="n"/>
      <c r="QSD1" s="24" t="n"/>
      <c r="QSE1" s="24" t="n"/>
      <c r="QSF1" s="24" t="n"/>
      <c r="QSG1" s="24" t="n"/>
      <c r="QSH1" s="24" t="n"/>
      <c r="QSI1" s="24" t="n"/>
      <c r="QSJ1" s="24" t="n"/>
      <c r="QSK1" s="24" t="n"/>
      <c r="QSL1" s="24" t="n"/>
      <c r="QSM1" s="24" t="n"/>
      <c r="QSN1" s="24" t="n"/>
      <c r="QSO1" s="24" t="n"/>
      <c r="QSP1" s="24" t="n"/>
      <c r="QSQ1" s="24" t="n"/>
      <c r="QSR1" s="24" t="n"/>
      <c r="QSS1" s="24" t="n"/>
      <c r="QST1" s="24" t="n"/>
      <c r="QSU1" s="24" t="n"/>
      <c r="QSV1" s="24" t="n"/>
      <c r="QSW1" s="24" t="n"/>
      <c r="QSX1" s="24" t="n"/>
      <c r="QSY1" s="24" t="n"/>
      <c r="QSZ1" s="24" t="n"/>
      <c r="QTA1" s="24" t="n"/>
      <c r="QTB1" s="24" t="n"/>
      <c r="QTC1" s="24" t="n"/>
      <c r="QTD1" s="24" t="n"/>
      <c r="QTE1" s="24" t="n"/>
      <c r="QTF1" s="24" t="n"/>
      <c r="QTG1" s="24" t="n"/>
      <c r="QTH1" s="24" t="n"/>
      <c r="QTI1" s="24" t="n"/>
      <c r="QTJ1" s="24" t="n"/>
      <c r="QTK1" s="24" t="n"/>
      <c r="QTL1" s="24" t="n"/>
      <c r="QTM1" s="24" t="n"/>
      <c r="QTN1" s="24" t="n"/>
      <c r="QTO1" s="24" t="n"/>
      <c r="QTP1" s="24" t="n"/>
      <c r="QTQ1" s="24" t="n"/>
      <c r="QTR1" s="24" t="n"/>
      <c r="QTS1" s="24" t="n"/>
      <c r="QTT1" s="24" t="n"/>
      <c r="QTU1" s="24" t="n"/>
      <c r="QTV1" s="24" t="n"/>
      <c r="QTW1" s="24" t="n"/>
      <c r="QTX1" s="24" t="n"/>
      <c r="QTY1" s="24" t="n"/>
      <c r="QTZ1" s="24" t="n"/>
      <c r="QUA1" s="24" t="n"/>
      <c r="QUB1" s="24" t="n"/>
      <c r="QUC1" s="24" t="n"/>
      <c r="QUD1" s="24" t="n"/>
      <c r="QUE1" s="24" t="n"/>
      <c r="QUF1" s="24" t="n"/>
      <c r="QUG1" s="24" t="n"/>
      <c r="QUH1" s="24" t="n"/>
      <c r="QUI1" s="24" t="n"/>
      <c r="QUJ1" s="24" t="n"/>
      <c r="QUK1" s="24" t="n"/>
      <c r="QUL1" s="24" t="n"/>
      <c r="QUM1" s="24" t="n"/>
      <c r="QUN1" s="24" t="n"/>
      <c r="QUO1" s="24" t="n"/>
      <c r="QUP1" s="24" t="n"/>
      <c r="QUQ1" s="24" t="n"/>
      <c r="QUR1" s="24" t="n"/>
      <c r="QUS1" s="24" t="n"/>
      <c r="QUT1" s="24" t="n"/>
      <c r="QUU1" s="24" t="n"/>
      <c r="QUV1" s="24" t="n"/>
      <c r="QUW1" s="24" t="n"/>
      <c r="QUX1" s="24" t="n"/>
      <c r="QUY1" s="24" t="n"/>
      <c r="QUZ1" s="24" t="n"/>
      <c r="QVA1" s="24" t="n"/>
      <c r="QVB1" s="24" t="n"/>
      <c r="QVC1" s="24" t="n"/>
      <c r="QVD1" s="24" t="n"/>
      <c r="QVE1" s="24" t="n"/>
      <c r="QVF1" s="24" t="n"/>
      <c r="QVG1" s="24" t="n"/>
      <c r="QVH1" s="24" t="n"/>
      <c r="QVI1" s="24" t="n"/>
      <c r="QVJ1" s="24" t="n"/>
      <c r="QVK1" s="24" t="n"/>
      <c r="QVL1" s="24" t="n"/>
      <c r="QVM1" s="24" t="n"/>
      <c r="QVN1" s="24" t="n"/>
      <c r="QVO1" s="24" t="n"/>
      <c r="QVP1" s="24" t="n"/>
      <c r="QVQ1" s="24" t="n"/>
      <c r="QVR1" s="24" t="n"/>
      <c r="QVS1" s="24" t="n"/>
      <c r="QVT1" s="24" t="n"/>
      <c r="QVU1" s="24" t="n"/>
      <c r="QVV1" s="24" t="n"/>
      <c r="QVW1" s="24" t="n"/>
      <c r="QVX1" s="24" t="n"/>
      <c r="QVY1" s="24" t="n"/>
      <c r="QVZ1" s="24" t="n"/>
      <c r="QWA1" s="24" t="n"/>
      <c r="QWB1" s="24" t="n"/>
      <c r="QWC1" s="24" t="n"/>
      <c r="QWD1" s="24" t="n"/>
      <c r="QWE1" s="24" t="n"/>
      <c r="QWF1" s="24" t="n"/>
      <c r="QWG1" s="24" t="n"/>
      <c r="QWH1" s="24" t="n"/>
      <c r="QWI1" s="24" t="n"/>
      <c r="QWJ1" s="24" t="n"/>
      <c r="QWK1" s="24" t="n"/>
      <c r="QWL1" s="24" t="n"/>
      <c r="QWM1" s="24" t="n"/>
      <c r="QWN1" s="24" t="n"/>
      <c r="QWO1" s="24" t="n"/>
      <c r="QWP1" s="24" t="n"/>
      <c r="QWQ1" s="24" t="n"/>
      <c r="QWR1" s="24" t="n"/>
      <c r="QWS1" s="24" t="n"/>
      <c r="QWT1" s="24" t="n"/>
      <c r="QWU1" s="24" t="n"/>
      <c r="QWV1" s="24" t="n"/>
      <c r="QWW1" s="24" t="n"/>
      <c r="QWX1" s="24" t="n"/>
      <c r="QWY1" s="24" t="n"/>
      <c r="QWZ1" s="24" t="n"/>
      <c r="QXA1" s="24" t="n"/>
      <c r="QXB1" s="24" t="n"/>
      <c r="QXC1" s="24" t="n"/>
      <c r="QXD1" s="24" t="n"/>
      <c r="QXE1" s="24" t="n"/>
      <c r="QXF1" s="24" t="n"/>
      <c r="QXG1" s="24" t="n"/>
      <c r="QXH1" s="24" t="n"/>
      <c r="QXI1" s="24" t="n"/>
      <c r="QXJ1" s="24" t="n"/>
      <c r="QXK1" s="24" t="n"/>
      <c r="QXL1" s="24" t="n"/>
      <c r="QXM1" s="24" t="n"/>
      <c r="QXN1" s="24" t="n"/>
      <c r="QXO1" s="24" t="n"/>
      <c r="QXP1" s="24" t="n"/>
      <c r="QXQ1" s="24" t="n"/>
      <c r="QXR1" s="24" t="n"/>
      <c r="QXS1" s="24" t="n"/>
      <c r="QXT1" s="24" t="n"/>
      <c r="QXU1" s="24" t="n"/>
      <c r="QXV1" s="24" t="n"/>
      <c r="QXW1" s="24" t="n"/>
      <c r="QXX1" s="24" t="n"/>
      <c r="QXY1" s="24" t="n"/>
      <c r="QXZ1" s="24" t="n"/>
      <c r="QYA1" s="24" t="n"/>
      <c r="QYB1" s="24" t="n"/>
      <c r="QYC1" s="24" t="n"/>
      <c r="QYD1" s="24" t="n"/>
      <c r="QYE1" s="24" t="n"/>
      <c r="QYF1" s="24" t="n"/>
      <c r="QYG1" s="24" t="n"/>
      <c r="QYH1" s="24" t="n"/>
      <c r="QYI1" s="24" t="n"/>
      <c r="QYJ1" s="24" t="n"/>
      <c r="QYK1" s="24" t="n"/>
      <c r="QYL1" s="24" t="n"/>
      <c r="QYM1" s="24" t="n"/>
      <c r="QYN1" s="24" t="n"/>
      <c r="QYO1" s="24" t="n"/>
      <c r="QYP1" s="24" t="n"/>
      <c r="QYQ1" s="24" t="n"/>
      <c r="QYR1" s="24" t="n"/>
      <c r="QYS1" s="24" t="n"/>
      <c r="QYT1" s="24" t="n"/>
      <c r="QYU1" s="24" t="n"/>
      <c r="QYV1" s="24" t="n"/>
      <c r="QYW1" s="24" t="n"/>
      <c r="QYX1" s="24" t="n"/>
      <c r="QYY1" s="24" t="n"/>
      <c r="QYZ1" s="24" t="n"/>
      <c r="QZA1" s="24" t="n"/>
      <c r="QZB1" s="24" t="n"/>
      <c r="QZC1" s="24" t="n"/>
      <c r="QZD1" s="24" t="n"/>
      <c r="QZE1" s="24" t="n"/>
      <c r="QZF1" s="24" t="n"/>
      <c r="QZG1" s="24" t="n"/>
      <c r="QZH1" s="24" t="n"/>
      <c r="QZI1" s="24" t="n"/>
      <c r="QZJ1" s="24" t="n"/>
      <c r="QZK1" s="24" t="n"/>
      <c r="QZL1" s="24" t="n"/>
      <c r="QZM1" s="24" t="n"/>
      <c r="QZN1" s="24" t="n"/>
      <c r="QZO1" s="24" t="n"/>
      <c r="QZP1" s="24" t="n"/>
      <c r="QZQ1" s="24" t="n"/>
      <c r="QZR1" s="24" t="n"/>
      <c r="QZS1" s="24" t="n"/>
      <c r="QZT1" s="24" t="n"/>
      <c r="QZU1" s="24" t="n"/>
      <c r="QZV1" s="24" t="n"/>
      <c r="QZW1" s="24" t="n"/>
      <c r="QZX1" s="24" t="n"/>
      <c r="QZY1" s="24" t="n"/>
      <c r="QZZ1" s="24" t="n"/>
      <c r="RAA1" s="24" t="n"/>
      <c r="RAB1" s="24" t="n"/>
      <c r="RAC1" s="24" t="n"/>
      <c r="RAD1" s="24" t="n"/>
      <c r="RAE1" s="24" t="n"/>
      <c r="RAF1" s="24" t="n"/>
      <c r="RAG1" s="24" t="n"/>
      <c r="RAH1" s="24" t="n"/>
      <c r="RAI1" s="24" t="n"/>
      <c r="RAJ1" s="24" t="n"/>
      <c r="RAK1" s="24" t="n"/>
      <c r="RAL1" s="24" t="n"/>
      <c r="RAM1" s="24" t="n"/>
      <c r="RAN1" s="24" t="n"/>
      <c r="RAO1" s="24" t="n"/>
      <c r="RAP1" s="24" t="n"/>
      <c r="RAQ1" s="24" t="n"/>
      <c r="RAR1" s="24" t="n"/>
      <c r="RAS1" s="24" t="n"/>
      <c r="RAT1" s="24" t="n"/>
      <c r="RAU1" s="24" t="n"/>
      <c r="RAV1" s="24" t="n"/>
      <c r="RAW1" s="24" t="n"/>
      <c r="RAX1" s="24" t="n"/>
      <c r="RAY1" s="24" t="n"/>
      <c r="RAZ1" s="24" t="n"/>
      <c r="RBA1" s="24" t="n"/>
      <c r="RBB1" s="24" t="n"/>
      <c r="RBC1" s="24" t="n"/>
      <c r="RBD1" s="24" t="n"/>
      <c r="RBE1" s="24" t="n"/>
      <c r="RBF1" s="24" t="n"/>
      <c r="RBG1" s="24" t="n"/>
      <c r="RBH1" s="24" t="n"/>
      <c r="RBI1" s="24" t="n"/>
      <c r="RBJ1" s="24" t="n"/>
      <c r="RBK1" s="24" t="n"/>
      <c r="RBL1" s="24" t="n"/>
      <c r="RBM1" s="24" t="n"/>
      <c r="RBN1" s="24" t="n"/>
      <c r="RBO1" s="24" t="n"/>
      <c r="RBP1" s="24" t="n"/>
      <c r="RBQ1" s="24" t="n"/>
      <c r="RBR1" s="24" t="n"/>
      <c r="RBS1" s="24" t="n"/>
      <c r="RBT1" s="24" t="n"/>
      <c r="RBU1" s="24" t="n"/>
      <c r="RBV1" s="24" t="n"/>
      <c r="RBW1" s="24" t="n"/>
      <c r="RBX1" s="24" t="n"/>
      <c r="RBY1" s="24" t="n"/>
      <c r="RBZ1" s="24" t="n"/>
      <c r="RCA1" s="24" t="n"/>
      <c r="RCB1" s="24" t="n"/>
      <c r="RCC1" s="24" t="n"/>
      <c r="RCD1" s="24" t="n"/>
      <c r="RCE1" s="24" t="n"/>
      <c r="RCF1" s="24" t="n"/>
      <c r="RCG1" s="24" t="n"/>
      <c r="RCH1" s="24" t="n"/>
      <c r="RCI1" s="24" t="n"/>
      <c r="RCJ1" s="24" t="n"/>
      <c r="RCK1" s="24" t="n"/>
      <c r="RCL1" s="24" t="n"/>
      <c r="RCM1" s="24" t="n"/>
      <c r="RCN1" s="24" t="n"/>
      <c r="RCO1" s="24" t="n"/>
      <c r="RCP1" s="24" t="n"/>
      <c r="RCQ1" s="24" t="n"/>
      <c r="RCR1" s="24" t="n"/>
      <c r="RCS1" s="24" t="n"/>
      <c r="RCT1" s="24" t="n"/>
      <c r="RCU1" s="24" t="n"/>
      <c r="RCV1" s="24" t="n"/>
      <c r="RCW1" s="24" t="n"/>
      <c r="RCX1" s="24" t="n"/>
      <c r="RCY1" s="24" t="n"/>
      <c r="RCZ1" s="24" t="n"/>
      <c r="RDA1" s="24" t="n"/>
      <c r="RDB1" s="24" t="n"/>
      <c r="RDC1" s="24" t="n"/>
      <c r="RDD1" s="24" t="n"/>
      <c r="RDE1" s="24" t="n"/>
      <c r="RDF1" s="24" t="n"/>
      <c r="RDG1" s="24" t="n"/>
      <c r="RDH1" s="24" t="n"/>
      <c r="RDI1" s="24" t="n"/>
      <c r="RDJ1" s="24" t="n"/>
      <c r="RDK1" s="24" t="n"/>
      <c r="RDL1" s="24" t="n"/>
      <c r="RDM1" s="24" t="n"/>
      <c r="RDN1" s="24" t="n"/>
      <c r="RDO1" s="24" t="n"/>
      <c r="RDP1" s="24" t="n"/>
      <c r="RDQ1" s="24" t="n"/>
      <c r="RDR1" s="24" t="n"/>
      <c r="RDS1" s="24" t="n"/>
      <c r="RDT1" s="24" t="n"/>
      <c r="RDU1" s="24" t="n"/>
      <c r="RDV1" s="24" t="n"/>
      <c r="RDW1" s="24" t="n"/>
      <c r="RDX1" s="24" t="n"/>
      <c r="RDY1" s="24" t="n"/>
      <c r="RDZ1" s="24" t="n"/>
      <c r="REA1" s="24" t="n"/>
      <c r="REB1" s="24" t="n"/>
      <c r="REC1" s="24" t="n"/>
      <c r="RED1" s="24" t="n"/>
      <c r="REE1" s="24" t="n"/>
      <c r="REF1" s="24" t="n"/>
      <c r="REG1" s="24" t="n"/>
      <c r="REH1" s="24" t="n"/>
      <c r="REI1" s="24" t="n"/>
      <c r="REJ1" s="24" t="n"/>
      <c r="REK1" s="24" t="n"/>
      <c r="REL1" s="24" t="n"/>
      <c r="REM1" s="24" t="n"/>
      <c r="REN1" s="24" t="n"/>
      <c r="REO1" s="24" t="n"/>
      <c r="REP1" s="24" t="n"/>
      <c r="REQ1" s="24" t="n"/>
      <c r="RER1" s="24" t="n"/>
      <c r="RES1" s="24" t="n"/>
      <c r="RET1" s="24" t="n"/>
      <c r="REU1" s="24" t="n"/>
      <c r="REV1" s="24" t="n"/>
      <c r="REW1" s="24" t="n"/>
      <c r="REX1" s="24" t="n"/>
      <c r="REY1" s="24" t="n"/>
      <c r="REZ1" s="24" t="n"/>
      <c r="RFA1" s="24" t="n"/>
      <c r="RFB1" s="24" t="n"/>
      <c r="RFC1" s="24" t="n"/>
      <c r="RFD1" s="24" t="n"/>
      <c r="RFE1" s="24" t="n"/>
      <c r="RFF1" s="24" t="n"/>
      <c r="RFG1" s="24" t="n"/>
      <c r="RFH1" s="24" t="n"/>
      <c r="RFI1" s="24" t="n"/>
      <c r="RFJ1" s="24" t="n"/>
      <c r="RFK1" s="24" t="n"/>
      <c r="RFL1" s="24" t="n"/>
      <c r="RFM1" s="24" t="n"/>
      <c r="RFN1" s="24" t="n"/>
      <c r="RFO1" s="24" t="n"/>
      <c r="RFP1" s="24" t="n"/>
      <c r="RFQ1" s="24" t="n"/>
      <c r="RFR1" s="24" t="n"/>
      <c r="RFS1" s="24" t="n"/>
      <c r="RFT1" s="24" t="n"/>
      <c r="RFU1" s="24" t="n"/>
      <c r="RFV1" s="24" t="n"/>
      <c r="RFW1" s="24" t="n"/>
      <c r="RFX1" s="24" t="n"/>
      <c r="RFY1" s="24" t="n"/>
      <c r="RFZ1" s="24" t="n"/>
      <c r="RGA1" s="24" t="n"/>
      <c r="RGB1" s="24" t="n"/>
      <c r="RGC1" s="24" t="n"/>
      <c r="RGD1" s="24" t="n"/>
      <c r="RGE1" s="24" t="n"/>
      <c r="RGF1" s="24" t="n"/>
      <c r="RGG1" s="24" t="n"/>
      <c r="RGH1" s="24" t="n"/>
      <c r="RGI1" s="24" t="n"/>
      <c r="RGJ1" s="24" t="n"/>
      <c r="RGK1" s="24" t="n"/>
      <c r="RGL1" s="24" t="n"/>
      <c r="RGM1" s="24" t="n"/>
      <c r="RGN1" s="24" t="n"/>
      <c r="RGO1" s="24" t="n"/>
      <c r="RGP1" s="24" t="n"/>
      <c r="RGQ1" s="24" t="n"/>
      <c r="RGR1" s="24" t="n"/>
      <c r="RGS1" s="24" t="n"/>
      <c r="RGT1" s="24" t="n"/>
      <c r="RGU1" s="24" t="n"/>
      <c r="RGV1" s="24" t="n"/>
      <c r="RGW1" s="24" t="n"/>
      <c r="RGX1" s="24" t="n"/>
      <c r="RGY1" s="24" t="n"/>
      <c r="RGZ1" s="24" t="n"/>
      <c r="RHA1" s="24" t="n"/>
      <c r="RHB1" s="24" t="n"/>
      <c r="RHC1" s="24" t="n"/>
      <c r="RHD1" s="24" t="n"/>
      <c r="RHE1" s="24" t="n"/>
      <c r="RHF1" s="24" t="n"/>
      <c r="RHG1" s="24" t="n"/>
      <c r="RHH1" s="24" t="n"/>
      <c r="RHI1" s="24" t="n"/>
      <c r="RHJ1" s="24" t="n"/>
      <c r="RHK1" s="24" t="n"/>
      <c r="RHL1" s="24" t="n"/>
      <c r="RHM1" s="24" t="n"/>
      <c r="RHN1" s="24" t="n"/>
      <c r="RHO1" s="24" t="n"/>
      <c r="RHP1" s="24" t="n"/>
      <c r="RHQ1" s="24" t="n"/>
      <c r="RHR1" s="24" t="n"/>
      <c r="RHS1" s="24" t="n"/>
      <c r="RHT1" s="24" t="n"/>
      <c r="RHU1" s="24" t="n"/>
      <c r="RHV1" s="24" t="n"/>
      <c r="RHW1" s="24" t="n"/>
      <c r="RHX1" s="24" t="n"/>
      <c r="RHY1" s="24" t="n"/>
      <c r="RHZ1" s="24" t="n"/>
      <c r="RIA1" s="24" t="n"/>
      <c r="RIB1" s="24" t="n"/>
      <c r="RIC1" s="24" t="n"/>
      <c r="RID1" s="24" t="n"/>
      <c r="RIE1" s="24" t="n"/>
      <c r="RIF1" s="24" t="n"/>
      <c r="RIG1" s="24" t="n"/>
      <c r="RIH1" s="24" t="n"/>
      <c r="RII1" s="24" t="n"/>
      <c r="RIJ1" s="24" t="n"/>
      <c r="RIK1" s="24" t="n"/>
      <c r="RIL1" s="24" t="n"/>
      <c r="RIM1" s="24" t="n"/>
      <c r="RIN1" s="24" t="n"/>
      <c r="RIO1" s="24" t="n"/>
      <c r="RIP1" s="24" t="n"/>
      <c r="RIQ1" s="24" t="n"/>
      <c r="RIR1" s="24" t="n"/>
      <c r="RIS1" s="24" t="n"/>
      <c r="RIT1" s="24" t="n"/>
      <c r="RIU1" s="24" t="n"/>
      <c r="RIV1" s="24" t="n"/>
      <c r="RIW1" s="24" t="n"/>
      <c r="RIX1" s="24" t="n"/>
      <c r="RIY1" s="24" t="n"/>
      <c r="RIZ1" s="24" t="n"/>
      <c r="RJA1" s="24" t="n"/>
      <c r="RJB1" s="24" t="n"/>
      <c r="RJC1" s="24" t="n"/>
      <c r="RJD1" s="24" t="n"/>
      <c r="RJE1" s="24" t="n"/>
      <c r="RJF1" s="24" t="n"/>
      <c r="RJG1" s="24" t="n"/>
      <c r="RJH1" s="24" t="n"/>
      <c r="RJI1" s="24" t="n"/>
      <c r="RJJ1" s="24" t="n"/>
      <c r="RJK1" s="24" t="n"/>
      <c r="RJL1" s="24" t="n"/>
      <c r="RJM1" s="24" t="n"/>
      <c r="RJN1" s="24" t="n"/>
      <c r="RJO1" s="24" t="n"/>
      <c r="RJP1" s="24" t="n"/>
      <c r="RJQ1" s="24" t="n"/>
      <c r="RJR1" s="24" t="n"/>
      <c r="RJS1" s="24" t="n"/>
      <c r="RJT1" s="24" t="n"/>
      <c r="RJU1" s="24" t="n"/>
      <c r="RJV1" s="24" t="n"/>
      <c r="RJW1" s="24" t="n"/>
      <c r="RJX1" s="24" t="n"/>
      <c r="RJY1" s="24" t="n"/>
      <c r="RJZ1" s="24" t="n"/>
      <c r="RKA1" s="24" t="n"/>
      <c r="RKB1" s="24" t="n"/>
      <c r="RKC1" s="24" t="n"/>
      <c r="RKD1" s="24" t="n"/>
      <c r="RKE1" s="24" t="n"/>
      <c r="RKF1" s="24" t="n"/>
      <c r="RKG1" s="24" t="n"/>
      <c r="RKH1" s="24" t="n"/>
      <c r="RKI1" s="24" t="n"/>
      <c r="RKJ1" s="24" t="n"/>
      <c r="RKK1" s="24" t="n"/>
      <c r="RKL1" s="24" t="n"/>
      <c r="RKM1" s="24" t="n"/>
      <c r="RKN1" s="24" t="n"/>
      <c r="RKO1" s="24" t="n"/>
      <c r="RKP1" s="24" t="n"/>
      <c r="RKQ1" s="24" t="n"/>
      <c r="RKR1" s="24" t="n"/>
      <c r="RKS1" s="24" t="n"/>
      <c r="RKT1" s="24" t="n"/>
      <c r="RKU1" s="24" t="n"/>
      <c r="RKV1" s="24" t="n"/>
      <c r="RKW1" s="24" t="n"/>
      <c r="RKX1" s="24" t="n"/>
      <c r="RKY1" s="24" t="n"/>
      <c r="RKZ1" s="24" t="n"/>
      <c r="RLA1" s="24" t="n"/>
      <c r="RLB1" s="24" t="n"/>
      <c r="RLC1" s="24" t="n"/>
      <c r="RLD1" s="24" t="n"/>
      <c r="RLE1" s="24" t="n"/>
      <c r="RLF1" s="24" t="n"/>
      <c r="RLG1" s="24" t="n"/>
      <c r="RLH1" s="24" t="n"/>
      <c r="RLI1" s="24" t="n"/>
      <c r="RLJ1" s="24" t="n"/>
      <c r="RLK1" s="24" t="n"/>
      <c r="RLL1" s="24" t="n"/>
      <c r="RLM1" s="24" t="n"/>
      <c r="RLN1" s="24" t="n"/>
      <c r="RLO1" s="24" t="n"/>
      <c r="RLP1" s="24" t="n"/>
      <c r="RLQ1" s="24" t="n"/>
      <c r="RLR1" s="24" t="n"/>
      <c r="RLS1" s="24" t="n"/>
      <c r="RLT1" s="24" t="n"/>
      <c r="RLU1" s="24" t="n"/>
      <c r="RLV1" s="24" t="n"/>
      <c r="RLW1" s="24" t="n"/>
      <c r="RLX1" s="24" t="n"/>
      <c r="RLY1" s="24" t="n"/>
      <c r="RLZ1" s="24" t="n"/>
      <c r="RMA1" s="24" t="n"/>
      <c r="RMB1" s="24" t="n"/>
      <c r="RMC1" s="24" t="n"/>
      <c r="RMD1" s="24" t="n"/>
      <c r="RME1" s="24" t="n"/>
      <c r="RMF1" s="24" t="n"/>
      <c r="RMG1" s="24" t="n"/>
      <c r="RMH1" s="24" t="n"/>
      <c r="RMI1" s="24" t="n"/>
      <c r="RMJ1" s="24" t="n"/>
      <c r="RMK1" s="24" t="n"/>
      <c r="RML1" s="24" t="n"/>
      <c r="RMM1" s="24" t="n"/>
      <c r="RMN1" s="24" t="n"/>
      <c r="RMO1" s="24" t="n"/>
      <c r="RMP1" s="24" t="n"/>
      <c r="RMQ1" s="24" t="n"/>
      <c r="RMR1" s="24" t="n"/>
      <c r="RMS1" s="24" t="n"/>
      <c r="RMT1" s="24" t="n"/>
      <c r="RMU1" s="24" t="n"/>
      <c r="RMV1" s="24" t="n"/>
      <c r="RMW1" s="24" t="n"/>
      <c r="RMX1" s="24" t="n"/>
      <c r="RMY1" s="24" t="n"/>
      <c r="RMZ1" s="24" t="n"/>
      <c r="RNA1" s="24" t="n"/>
      <c r="RNB1" s="24" t="n"/>
      <c r="RNC1" s="24" t="n"/>
      <c r="RND1" s="24" t="n"/>
      <c r="RNE1" s="24" t="n"/>
      <c r="RNF1" s="24" t="n"/>
      <c r="RNG1" s="24" t="n"/>
      <c r="RNH1" s="24" t="n"/>
      <c r="RNI1" s="24" t="n"/>
      <c r="RNJ1" s="24" t="n"/>
      <c r="RNK1" s="24" t="n"/>
      <c r="RNL1" s="24" t="n"/>
      <c r="RNM1" s="24" t="n"/>
      <c r="RNN1" s="24" t="n"/>
      <c r="RNO1" s="24" t="n"/>
      <c r="RNP1" s="24" t="n"/>
      <c r="RNQ1" s="24" t="n"/>
      <c r="RNR1" s="24" t="n"/>
      <c r="RNS1" s="24" t="n"/>
      <c r="RNT1" s="24" t="n"/>
      <c r="RNU1" s="24" t="n"/>
      <c r="RNV1" s="24" t="n"/>
      <c r="RNW1" s="24" t="n"/>
      <c r="RNX1" s="24" t="n"/>
      <c r="RNY1" s="24" t="n"/>
      <c r="RNZ1" s="24" t="n"/>
      <c r="ROA1" s="24" t="n"/>
      <c r="ROB1" s="24" t="n"/>
      <c r="ROC1" s="24" t="n"/>
      <c r="ROD1" s="24" t="n"/>
      <c r="ROE1" s="24" t="n"/>
      <c r="ROF1" s="24" t="n"/>
      <c r="ROG1" s="24" t="n"/>
      <c r="ROH1" s="24" t="n"/>
      <c r="ROI1" s="24" t="n"/>
      <c r="ROJ1" s="24" t="n"/>
      <c r="ROK1" s="24" t="n"/>
      <c r="ROL1" s="24" t="n"/>
      <c r="ROM1" s="24" t="n"/>
      <c r="RON1" s="24" t="n"/>
      <c r="ROO1" s="24" t="n"/>
      <c r="ROP1" s="24" t="n"/>
      <c r="ROQ1" s="24" t="n"/>
      <c r="ROR1" s="24" t="n"/>
      <c r="ROS1" s="24" t="n"/>
      <c r="ROT1" s="24" t="n"/>
      <c r="ROU1" s="24" t="n"/>
      <c r="ROV1" s="24" t="n"/>
      <c r="ROW1" s="24" t="n"/>
      <c r="ROX1" s="24" t="n"/>
      <c r="ROY1" s="24" t="n"/>
      <c r="ROZ1" s="24" t="n"/>
      <c r="RPA1" s="24" t="n"/>
      <c r="RPB1" s="24" t="n"/>
      <c r="RPC1" s="24" t="n"/>
      <c r="RPD1" s="24" t="n"/>
      <c r="RPE1" s="24" t="n"/>
      <c r="RPF1" s="24" t="n"/>
      <c r="RPG1" s="24" t="n"/>
      <c r="RPH1" s="24" t="n"/>
      <c r="RPI1" s="24" t="n"/>
      <c r="RPJ1" s="24" t="n"/>
      <c r="RPK1" s="24" t="n"/>
      <c r="RPL1" s="24" t="n"/>
      <c r="RPM1" s="24" t="n"/>
      <c r="RPN1" s="24" t="n"/>
      <c r="RPO1" s="24" t="n"/>
      <c r="RPP1" s="24" t="n"/>
      <c r="RPQ1" s="24" t="n"/>
      <c r="RPR1" s="24" t="n"/>
      <c r="RPS1" s="24" t="n"/>
      <c r="RPT1" s="24" t="n"/>
      <c r="RPU1" s="24" t="n"/>
      <c r="RPV1" s="24" t="n"/>
      <c r="RPW1" s="24" t="n"/>
      <c r="RPX1" s="24" t="n"/>
      <c r="RPY1" s="24" t="n"/>
      <c r="RPZ1" s="24" t="n"/>
      <c r="RQA1" s="24" t="n"/>
      <c r="RQB1" s="24" t="n"/>
      <c r="RQC1" s="24" t="n"/>
      <c r="RQD1" s="24" t="n"/>
      <c r="RQE1" s="24" t="n"/>
      <c r="RQF1" s="24" t="n"/>
      <c r="RQG1" s="24" t="n"/>
      <c r="RQH1" s="24" t="n"/>
      <c r="RQI1" s="24" t="n"/>
      <c r="RQJ1" s="24" t="n"/>
      <c r="RQK1" s="24" t="n"/>
      <c r="RQL1" s="24" t="n"/>
      <c r="RQM1" s="24" t="n"/>
      <c r="RQN1" s="24" t="n"/>
      <c r="RQO1" s="24" t="n"/>
      <c r="RQP1" s="24" t="n"/>
      <c r="RQQ1" s="24" t="n"/>
      <c r="RQR1" s="24" t="n"/>
      <c r="RQS1" s="24" t="n"/>
      <c r="RQT1" s="24" t="n"/>
      <c r="RQU1" s="24" t="n"/>
      <c r="RQV1" s="24" t="n"/>
      <c r="RQW1" s="24" t="n"/>
      <c r="RQX1" s="24" t="n"/>
      <c r="RQY1" s="24" t="n"/>
      <c r="RQZ1" s="24" t="n"/>
      <c r="RRA1" s="24" t="n"/>
      <c r="RRB1" s="24" t="n"/>
      <c r="RRC1" s="24" t="n"/>
      <c r="RRD1" s="24" t="n"/>
      <c r="RRE1" s="24" t="n"/>
      <c r="RRF1" s="24" t="n"/>
      <c r="RRG1" s="24" t="n"/>
      <c r="RRH1" s="24" t="n"/>
      <c r="RRI1" s="24" t="n"/>
      <c r="RRJ1" s="24" t="n"/>
      <c r="RRK1" s="24" t="n"/>
      <c r="RRL1" s="24" t="n"/>
      <c r="RRM1" s="24" t="n"/>
      <c r="RRN1" s="24" t="n"/>
      <c r="RRO1" s="24" t="n"/>
      <c r="RRP1" s="24" t="n"/>
      <c r="RRQ1" s="24" t="n"/>
      <c r="RRR1" s="24" t="n"/>
      <c r="RRS1" s="24" t="n"/>
      <c r="RRT1" s="24" t="n"/>
      <c r="RRU1" s="24" t="n"/>
      <c r="RRV1" s="24" t="n"/>
      <c r="RRW1" s="24" t="n"/>
      <c r="RRX1" s="24" t="n"/>
      <c r="RRY1" s="24" t="n"/>
      <c r="RRZ1" s="24" t="n"/>
      <c r="RSA1" s="24" t="n"/>
      <c r="RSB1" s="24" t="n"/>
      <c r="RSC1" s="24" t="n"/>
      <c r="RSD1" s="24" t="n"/>
      <c r="RSE1" s="24" t="n"/>
      <c r="RSF1" s="24" t="n"/>
      <c r="RSG1" s="24" t="n"/>
      <c r="RSH1" s="24" t="n"/>
      <c r="RSI1" s="24" t="n"/>
      <c r="RSJ1" s="24" t="n"/>
      <c r="RSK1" s="24" t="n"/>
      <c r="RSL1" s="24" t="n"/>
      <c r="RSM1" s="24" t="n"/>
      <c r="RSN1" s="24" t="n"/>
      <c r="RSO1" s="24" t="n"/>
      <c r="RSP1" s="24" t="n"/>
      <c r="RSQ1" s="24" t="n"/>
      <c r="RSR1" s="24" t="n"/>
      <c r="RSS1" s="24" t="n"/>
      <c r="RST1" s="24" t="n"/>
      <c r="RSU1" s="24" t="n"/>
      <c r="RSV1" s="24" t="n"/>
      <c r="RSW1" s="24" t="n"/>
      <c r="RSX1" s="24" t="n"/>
      <c r="RSY1" s="24" t="n"/>
      <c r="RSZ1" s="24" t="n"/>
      <c r="RTA1" s="24" t="n"/>
      <c r="RTB1" s="24" t="n"/>
      <c r="RTC1" s="24" t="n"/>
      <c r="RTD1" s="24" t="n"/>
      <c r="RTE1" s="24" t="n"/>
      <c r="RTF1" s="24" t="n"/>
      <c r="RTG1" s="24" t="n"/>
      <c r="RTH1" s="24" t="n"/>
      <c r="RTI1" s="24" t="n"/>
      <c r="RTJ1" s="24" t="n"/>
      <c r="RTK1" s="24" t="n"/>
      <c r="RTL1" s="24" t="n"/>
      <c r="RTM1" s="24" t="n"/>
      <c r="RTN1" s="24" t="n"/>
      <c r="RTO1" s="24" t="n"/>
      <c r="RTP1" s="24" t="n"/>
      <c r="RTQ1" s="24" t="n"/>
      <c r="RTR1" s="24" t="n"/>
      <c r="RTS1" s="24" t="n"/>
      <c r="RTT1" s="24" t="n"/>
      <c r="RTU1" s="24" t="n"/>
      <c r="RTV1" s="24" t="n"/>
      <c r="RTW1" s="24" t="n"/>
      <c r="RTX1" s="24" t="n"/>
      <c r="RTY1" s="24" t="n"/>
      <c r="RTZ1" s="24" t="n"/>
      <c r="RUA1" s="24" t="n"/>
      <c r="RUB1" s="24" t="n"/>
      <c r="RUC1" s="24" t="n"/>
      <c r="RUD1" s="24" t="n"/>
      <c r="RUE1" s="24" t="n"/>
      <c r="RUF1" s="24" t="n"/>
      <c r="RUG1" s="24" t="n"/>
      <c r="RUH1" s="24" t="n"/>
      <c r="RUI1" s="24" t="n"/>
      <c r="RUJ1" s="24" t="n"/>
      <c r="RUK1" s="24" t="n"/>
      <c r="RUL1" s="24" t="n"/>
      <c r="RUM1" s="24" t="n"/>
      <c r="RUN1" s="24" t="n"/>
      <c r="RUO1" s="24" t="n"/>
      <c r="RUP1" s="24" t="n"/>
      <c r="RUQ1" s="24" t="n"/>
      <c r="RUR1" s="24" t="n"/>
      <c r="RUS1" s="24" t="n"/>
      <c r="RUT1" s="24" t="n"/>
      <c r="RUU1" s="24" t="n"/>
      <c r="RUV1" s="24" t="n"/>
      <c r="RUW1" s="24" t="n"/>
      <c r="RUX1" s="24" t="n"/>
      <c r="RUY1" s="24" t="n"/>
      <c r="RUZ1" s="24" t="n"/>
      <c r="RVA1" s="24" t="n"/>
      <c r="RVB1" s="24" t="n"/>
      <c r="RVC1" s="24" t="n"/>
      <c r="RVD1" s="24" t="n"/>
      <c r="RVE1" s="24" t="n"/>
      <c r="RVF1" s="24" t="n"/>
      <c r="RVG1" s="24" t="n"/>
      <c r="RVH1" s="24" t="n"/>
      <c r="RVI1" s="24" t="n"/>
      <c r="RVJ1" s="24" t="n"/>
      <c r="RVK1" s="24" t="n"/>
      <c r="RVL1" s="24" t="n"/>
      <c r="RVM1" s="24" t="n"/>
      <c r="RVN1" s="24" t="n"/>
      <c r="RVO1" s="24" t="n"/>
      <c r="RVP1" s="24" t="n"/>
      <c r="RVQ1" s="24" t="n"/>
      <c r="RVR1" s="24" t="n"/>
      <c r="RVS1" s="24" t="n"/>
      <c r="RVT1" s="24" t="n"/>
      <c r="RVU1" s="24" t="n"/>
      <c r="RVV1" s="24" t="n"/>
      <c r="RVW1" s="24" t="n"/>
      <c r="RVX1" s="24" t="n"/>
      <c r="RVY1" s="24" t="n"/>
      <c r="RVZ1" s="24" t="n"/>
      <c r="RWA1" s="24" t="n"/>
      <c r="RWB1" s="24" t="n"/>
      <c r="RWC1" s="24" t="n"/>
      <c r="RWD1" s="24" t="n"/>
      <c r="RWE1" s="24" t="n"/>
      <c r="RWF1" s="24" t="n"/>
      <c r="RWG1" s="24" t="n"/>
      <c r="RWH1" s="24" t="n"/>
      <c r="RWI1" s="24" t="n"/>
      <c r="RWJ1" s="24" t="n"/>
      <c r="RWK1" s="24" t="n"/>
      <c r="RWL1" s="24" t="n"/>
      <c r="RWM1" s="24" t="n"/>
      <c r="RWN1" s="24" t="n"/>
      <c r="RWO1" s="24" t="n"/>
      <c r="RWP1" s="24" t="n"/>
      <c r="RWQ1" s="24" t="n"/>
      <c r="RWR1" s="24" t="n"/>
      <c r="RWS1" s="24" t="n"/>
      <c r="RWT1" s="24" t="n"/>
      <c r="RWU1" s="24" t="n"/>
      <c r="RWV1" s="24" t="n"/>
      <c r="RWW1" s="24" t="n"/>
      <c r="RWX1" s="24" t="n"/>
      <c r="RWY1" s="24" t="n"/>
      <c r="RWZ1" s="24" t="n"/>
      <c r="RXA1" s="24" t="n"/>
      <c r="RXB1" s="24" t="n"/>
      <c r="RXC1" s="24" t="n"/>
      <c r="RXD1" s="24" t="n"/>
      <c r="RXE1" s="24" t="n"/>
      <c r="RXF1" s="24" t="n"/>
      <c r="RXG1" s="24" t="n"/>
      <c r="RXH1" s="24" t="n"/>
      <c r="RXI1" s="24" t="n"/>
      <c r="RXJ1" s="24" t="n"/>
      <c r="RXK1" s="24" t="n"/>
      <c r="RXL1" s="24" t="n"/>
      <c r="RXM1" s="24" t="n"/>
      <c r="RXN1" s="24" t="n"/>
      <c r="RXO1" s="24" t="n"/>
      <c r="RXP1" s="24" t="n"/>
      <c r="RXQ1" s="24" t="n"/>
      <c r="RXR1" s="24" t="n"/>
      <c r="RXS1" s="24" t="n"/>
      <c r="RXT1" s="24" t="n"/>
      <c r="RXU1" s="24" t="n"/>
      <c r="RXV1" s="24" t="n"/>
      <c r="RXW1" s="24" t="n"/>
      <c r="RXX1" s="24" t="n"/>
      <c r="RXY1" s="24" t="n"/>
      <c r="RXZ1" s="24" t="n"/>
      <c r="RYA1" s="24" t="n"/>
      <c r="RYB1" s="24" t="n"/>
      <c r="RYC1" s="24" t="n"/>
      <c r="RYD1" s="24" t="n"/>
      <c r="RYE1" s="24" t="n"/>
      <c r="RYF1" s="24" t="n"/>
      <c r="RYG1" s="24" t="n"/>
      <c r="RYH1" s="24" t="n"/>
      <c r="RYI1" s="24" t="n"/>
      <c r="RYJ1" s="24" t="n"/>
      <c r="RYK1" s="24" t="n"/>
      <c r="RYL1" s="24" t="n"/>
      <c r="RYM1" s="24" t="n"/>
      <c r="RYN1" s="24" t="n"/>
      <c r="RYO1" s="24" t="n"/>
      <c r="RYP1" s="24" t="n"/>
      <c r="RYQ1" s="24" t="n"/>
      <c r="RYR1" s="24" t="n"/>
      <c r="RYS1" s="24" t="n"/>
      <c r="RYT1" s="24" t="n"/>
      <c r="RYU1" s="24" t="n"/>
      <c r="RYV1" s="24" t="n"/>
      <c r="RYW1" s="24" t="n"/>
      <c r="RYX1" s="24" t="n"/>
      <c r="RYY1" s="24" t="n"/>
      <c r="RYZ1" s="24" t="n"/>
      <c r="RZA1" s="24" t="n"/>
      <c r="RZB1" s="24" t="n"/>
      <c r="RZC1" s="24" t="n"/>
      <c r="RZD1" s="24" t="n"/>
      <c r="RZE1" s="24" t="n"/>
      <c r="RZF1" s="24" t="n"/>
      <c r="RZG1" s="24" t="n"/>
      <c r="RZH1" s="24" t="n"/>
      <c r="RZI1" s="24" t="n"/>
      <c r="RZJ1" s="24" t="n"/>
      <c r="RZK1" s="24" t="n"/>
      <c r="RZL1" s="24" t="n"/>
      <c r="RZM1" s="24" t="n"/>
      <c r="RZN1" s="24" t="n"/>
      <c r="RZO1" s="24" t="n"/>
      <c r="RZP1" s="24" t="n"/>
      <c r="RZQ1" s="24" t="n"/>
      <c r="RZR1" s="24" t="n"/>
      <c r="RZS1" s="24" t="n"/>
      <c r="RZT1" s="24" t="n"/>
      <c r="RZU1" s="24" t="n"/>
      <c r="RZV1" s="24" t="n"/>
      <c r="RZW1" s="24" t="n"/>
      <c r="RZX1" s="24" t="n"/>
      <c r="RZY1" s="24" t="n"/>
      <c r="RZZ1" s="24" t="n"/>
      <c r="SAA1" s="24" t="n"/>
      <c r="SAB1" s="24" t="n"/>
      <c r="SAC1" s="24" t="n"/>
      <c r="SAD1" s="24" t="n"/>
      <c r="SAE1" s="24" t="n"/>
      <c r="SAF1" s="24" t="n"/>
      <c r="SAG1" s="24" t="n"/>
      <c r="SAH1" s="24" t="n"/>
      <c r="SAI1" s="24" t="n"/>
      <c r="SAJ1" s="24" t="n"/>
      <c r="SAK1" s="24" t="n"/>
      <c r="SAL1" s="24" t="n"/>
      <c r="SAM1" s="24" t="n"/>
      <c r="SAN1" s="24" t="n"/>
      <c r="SAO1" s="24" t="n"/>
      <c r="SAP1" s="24" t="n"/>
      <c r="SAQ1" s="24" t="n"/>
      <c r="SAR1" s="24" t="n"/>
      <c r="SAS1" s="24" t="n"/>
      <c r="SAT1" s="24" t="n"/>
      <c r="SAU1" s="24" t="n"/>
      <c r="SAV1" s="24" t="n"/>
      <c r="SAW1" s="24" t="n"/>
      <c r="SAX1" s="24" t="n"/>
      <c r="SAY1" s="24" t="n"/>
      <c r="SAZ1" s="24" t="n"/>
      <c r="SBA1" s="24" t="n"/>
      <c r="SBB1" s="24" t="n"/>
      <c r="SBC1" s="24" t="n"/>
      <c r="SBD1" s="24" t="n"/>
      <c r="SBE1" s="24" t="n"/>
      <c r="SBF1" s="24" t="n"/>
      <c r="SBG1" s="24" t="n"/>
      <c r="SBH1" s="24" t="n"/>
      <c r="SBI1" s="24" t="n"/>
      <c r="SBJ1" s="24" t="n"/>
      <c r="SBK1" s="24" t="n"/>
      <c r="SBL1" s="24" t="n"/>
      <c r="SBM1" s="24" t="n"/>
      <c r="SBN1" s="24" t="n"/>
      <c r="SBO1" s="24" t="n"/>
      <c r="SBP1" s="24" t="n"/>
      <c r="SBQ1" s="24" t="n"/>
      <c r="SBR1" s="24" t="n"/>
      <c r="SBS1" s="24" t="n"/>
      <c r="SBT1" s="24" t="n"/>
      <c r="SBU1" s="24" t="n"/>
      <c r="SBV1" s="24" t="n"/>
      <c r="SBW1" s="24" t="n"/>
      <c r="SBX1" s="24" t="n"/>
      <c r="SBY1" s="24" t="n"/>
      <c r="SBZ1" s="24" t="n"/>
      <c r="SCA1" s="24" t="n"/>
      <c r="SCB1" s="24" t="n"/>
      <c r="SCC1" s="24" t="n"/>
      <c r="SCD1" s="24" t="n"/>
      <c r="SCE1" s="24" t="n"/>
      <c r="SCF1" s="24" t="n"/>
      <c r="SCG1" s="24" t="n"/>
      <c r="SCH1" s="24" t="n"/>
      <c r="SCI1" s="24" t="n"/>
      <c r="SCJ1" s="24" t="n"/>
      <c r="SCK1" s="24" t="n"/>
      <c r="SCL1" s="24" t="n"/>
      <c r="SCM1" s="24" t="n"/>
      <c r="SCN1" s="24" t="n"/>
      <c r="SCO1" s="24" t="n"/>
      <c r="SCP1" s="24" t="n"/>
      <c r="SCQ1" s="24" t="n"/>
      <c r="SCR1" s="24" t="n"/>
      <c r="SCS1" s="24" t="n"/>
      <c r="SCT1" s="24" t="n"/>
      <c r="SCU1" s="24" t="n"/>
      <c r="SCV1" s="24" t="n"/>
      <c r="SCW1" s="24" t="n"/>
      <c r="SCX1" s="24" t="n"/>
      <c r="SCY1" s="24" t="n"/>
      <c r="SCZ1" s="24" t="n"/>
      <c r="SDA1" s="24" t="n"/>
      <c r="SDB1" s="24" t="n"/>
      <c r="SDC1" s="24" t="n"/>
      <c r="SDD1" s="24" t="n"/>
      <c r="SDE1" s="24" t="n"/>
      <c r="SDF1" s="24" t="n"/>
      <c r="SDG1" s="24" t="n"/>
      <c r="SDH1" s="24" t="n"/>
      <c r="SDI1" s="24" t="n"/>
      <c r="SDJ1" s="24" t="n"/>
      <c r="SDK1" s="24" t="n"/>
      <c r="SDL1" s="24" t="n"/>
      <c r="SDM1" s="24" t="n"/>
      <c r="SDN1" s="24" t="n"/>
      <c r="SDO1" s="24" t="n"/>
      <c r="SDP1" s="24" t="n"/>
      <c r="SDQ1" s="24" t="n"/>
      <c r="SDR1" s="24" t="n"/>
      <c r="SDS1" s="24" t="n"/>
      <c r="SDT1" s="24" t="n"/>
      <c r="SDU1" s="24" t="n"/>
      <c r="SDV1" s="24" t="n"/>
      <c r="SDW1" s="24" t="n"/>
      <c r="SDX1" s="24" t="n"/>
      <c r="SDY1" s="24" t="n"/>
      <c r="SDZ1" s="24" t="n"/>
      <c r="SEA1" s="24" t="n"/>
      <c r="SEB1" s="24" t="n"/>
      <c r="SEC1" s="24" t="n"/>
      <c r="SED1" s="24" t="n"/>
      <c r="SEE1" s="24" t="n"/>
      <c r="SEF1" s="24" t="n"/>
      <c r="SEG1" s="24" t="n"/>
      <c r="SEH1" s="24" t="n"/>
      <c r="SEI1" s="24" t="n"/>
      <c r="SEJ1" s="24" t="n"/>
      <c r="SEK1" s="24" t="n"/>
      <c r="SEL1" s="24" t="n"/>
      <c r="SEM1" s="24" t="n"/>
      <c r="SEN1" s="24" t="n"/>
      <c r="SEO1" s="24" t="n"/>
      <c r="SEP1" s="24" t="n"/>
      <c r="SEQ1" s="24" t="n"/>
      <c r="SER1" s="24" t="n"/>
      <c r="SES1" s="24" t="n"/>
      <c r="SET1" s="24" t="n"/>
      <c r="SEU1" s="24" t="n"/>
      <c r="SEV1" s="24" t="n"/>
      <c r="SEW1" s="24" t="n"/>
      <c r="SEX1" s="24" t="n"/>
      <c r="SEY1" s="24" t="n"/>
      <c r="SEZ1" s="24" t="n"/>
      <c r="SFA1" s="24" t="n"/>
      <c r="SFB1" s="24" t="n"/>
      <c r="SFC1" s="24" t="n"/>
      <c r="SFD1" s="24" t="n"/>
      <c r="SFE1" s="24" t="n"/>
      <c r="SFF1" s="24" t="n"/>
      <c r="SFG1" s="24" t="n"/>
      <c r="SFH1" s="24" t="n"/>
      <c r="SFI1" s="24" t="n"/>
      <c r="SFJ1" s="24" t="n"/>
      <c r="SFK1" s="24" t="n"/>
      <c r="SFL1" s="24" t="n"/>
      <c r="SFM1" s="24" t="n"/>
      <c r="SFN1" s="24" t="n"/>
      <c r="SFO1" s="24" t="n"/>
      <c r="SFP1" s="24" t="n"/>
      <c r="SFQ1" s="24" t="n"/>
      <c r="SFR1" s="24" t="n"/>
      <c r="SFS1" s="24" t="n"/>
      <c r="SFT1" s="24" t="n"/>
      <c r="SFU1" s="24" t="n"/>
      <c r="SFV1" s="24" t="n"/>
      <c r="SFW1" s="24" t="n"/>
      <c r="SFX1" s="24" t="n"/>
      <c r="SFY1" s="24" t="n"/>
      <c r="SFZ1" s="24" t="n"/>
      <c r="SGA1" s="24" t="n"/>
      <c r="SGB1" s="24" t="n"/>
      <c r="SGC1" s="24" t="n"/>
      <c r="SGD1" s="24" t="n"/>
      <c r="SGE1" s="24" t="n"/>
      <c r="SGF1" s="24" t="n"/>
      <c r="SGG1" s="24" t="n"/>
      <c r="SGH1" s="24" t="n"/>
      <c r="SGI1" s="24" t="n"/>
      <c r="SGJ1" s="24" t="n"/>
      <c r="SGK1" s="24" t="n"/>
      <c r="SGL1" s="24" t="n"/>
      <c r="SGM1" s="24" t="n"/>
      <c r="SGN1" s="24" t="n"/>
      <c r="SGO1" s="24" t="n"/>
      <c r="SGP1" s="24" t="n"/>
      <c r="SGQ1" s="24" t="n"/>
      <c r="SGR1" s="24" t="n"/>
      <c r="SGS1" s="24" t="n"/>
      <c r="SGT1" s="24" t="n"/>
      <c r="SGU1" s="24" t="n"/>
      <c r="SGV1" s="24" t="n"/>
      <c r="SGW1" s="24" t="n"/>
      <c r="SGX1" s="24" t="n"/>
      <c r="SGY1" s="24" t="n"/>
      <c r="SGZ1" s="24" t="n"/>
      <c r="SHA1" s="24" t="n"/>
      <c r="SHB1" s="24" t="n"/>
      <c r="SHC1" s="24" t="n"/>
      <c r="SHD1" s="24" t="n"/>
      <c r="SHE1" s="24" t="n"/>
      <c r="SHF1" s="24" t="n"/>
      <c r="SHG1" s="24" t="n"/>
      <c r="SHH1" s="24" t="n"/>
      <c r="SHI1" s="24" t="n"/>
      <c r="SHJ1" s="24" t="n"/>
      <c r="SHK1" s="24" t="n"/>
      <c r="SHL1" s="24" t="n"/>
      <c r="SHM1" s="24" t="n"/>
      <c r="SHN1" s="24" t="n"/>
      <c r="SHO1" s="24" t="n"/>
      <c r="SHP1" s="24" t="n"/>
      <c r="SHQ1" s="24" t="n"/>
      <c r="SHR1" s="24" t="n"/>
      <c r="SHS1" s="24" t="n"/>
      <c r="SHT1" s="24" t="n"/>
      <c r="SHU1" s="24" t="n"/>
      <c r="SHV1" s="24" t="n"/>
      <c r="SHW1" s="24" t="n"/>
      <c r="SHX1" s="24" t="n"/>
      <c r="SHY1" s="24" t="n"/>
      <c r="SHZ1" s="24" t="n"/>
      <c r="SIA1" s="24" t="n"/>
      <c r="SIB1" s="24" t="n"/>
      <c r="SIC1" s="24" t="n"/>
      <c r="SID1" s="24" t="n"/>
      <c r="SIE1" s="24" t="n"/>
      <c r="SIF1" s="24" t="n"/>
      <c r="SIG1" s="24" t="n"/>
      <c r="SIH1" s="24" t="n"/>
      <c r="SII1" s="24" t="n"/>
      <c r="SIJ1" s="24" t="n"/>
      <c r="SIK1" s="24" t="n"/>
      <c r="SIL1" s="24" t="n"/>
      <c r="SIM1" s="24" t="n"/>
      <c r="SIN1" s="24" t="n"/>
      <c r="SIO1" s="24" t="n"/>
      <c r="SIP1" s="24" t="n"/>
      <c r="SIQ1" s="24" t="n"/>
      <c r="SIR1" s="24" t="n"/>
      <c r="SIS1" s="24" t="n"/>
      <c r="SIT1" s="24" t="n"/>
      <c r="SIU1" s="24" t="n"/>
      <c r="SIV1" s="24" t="n"/>
      <c r="SIW1" s="24" t="n"/>
      <c r="SIX1" s="24" t="n"/>
      <c r="SIY1" s="24" t="n"/>
      <c r="SIZ1" s="24" t="n"/>
      <c r="SJA1" s="24" t="n"/>
      <c r="SJB1" s="24" t="n"/>
      <c r="SJC1" s="24" t="n"/>
      <c r="SJD1" s="24" t="n"/>
      <c r="SJE1" s="24" t="n"/>
      <c r="SJF1" s="24" t="n"/>
      <c r="SJG1" s="24" t="n"/>
      <c r="SJH1" s="24" t="n"/>
      <c r="SJI1" s="24" t="n"/>
      <c r="SJJ1" s="24" t="n"/>
      <c r="SJK1" s="24" t="n"/>
      <c r="SJL1" s="24" t="n"/>
      <c r="SJM1" s="24" t="n"/>
      <c r="SJN1" s="24" t="n"/>
      <c r="SJO1" s="24" t="n"/>
      <c r="SJP1" s="24" t="n"/>
      <c r="SJQ1" s="24" t="n"/>
      <c r="SJR1" s="24" t="n"/>
      <c r="SJS1" s="24" t="n"/>
      <c r="SJT1" s="24" t="n"/>
      <c r="SJU1" s="24" t="n"/>
      <c r="SJV1" s="24" t="n"/>
      <c r="SJW1" s="24" t="n"/>
      <c r="SJX1" s="24" t="n"/>
      <c r="SJY1" s="24" t="n"/>
      <c r="SJZ1" s="24" t="n"/>
      <c r="SKA1" s="24" t="n"/>
      <c r="SKB1" s="24" t="n"/>
      <c r="SKC1" s="24" t="n"/>
      <c r="SKD1" s="24" t="n"/>
      <c r="SKE1" s="24" t="n"/>
      <c r="SKF1" s="24" t="n"/>
      <c r="SKG1" s="24" t="n"/>
      <c r="SKH1" s="24" t="n"/>
      <c r="SKI1" s="24" t="n"/>
      <c r="SKJ1" s="24" t="n"/>
      <c r="SKK1" s="24" t="n"/>
      <c r="SKL1" s="24" t="n"/>
      <c r="SKM1" s="24" t="n"/>
      <c r="SKN1" s="24" t="n"/>
      <c r="SKO1" s="24" t="n"/>
      <c r="SKP1" s="24" t="n"/>
      <c r="SKQ1" s="24" t="n"/>
      <c r="SKR1" s="24" t="n"/>
      <c r="SKS1" s="24" t="n"/>
      <c r="SKT1" s="24" t="n"/>
      <c r="SKU1" s="24" t="n"/>
      <c r="SKV1" s="24" t="n"/>
      <c r="SKW1" s="24" t="n"/>
      <c r="SKX1" s="24" t="n"/>
      <c r="SKY1" s="24" t="n"/>
      <c r="SKZ1" s="24" t="n"/>
      <c r="SLA1" s="24" t="n"/>
      <c r="SLB1" s="24" t="n"/>
      <c r="SLC1" s="24" t="n"/>
      <c r="SLD1" s="24" t="n"/>
      <c r="SLE1" s="24" t="n"/>
      <c r="SLF1" s="24" t="n"/>
      <c r="SLG1" s="24" t="n"/>
      <c r="SLH1" s="24" t="n"/>
      <c r="SLI1" s="24" t="n"/>
      <c r="SLJ1" s="24" t="n"/>
      <c r="SLK1" s="24" t="n"/>
      <c r="SLL1" s="24" t="n"/>
      <c r="SLM1" s="24" t="n"/>
      <c r="SLN1" s="24" t="n"/>
      <c r="SLO1" s="24" t="n"/>
      <c r="SLP1" s="24" t="n"/>
      <c r="SLQ1" s="24" t="n"/>
      <c r="SLR1" s="24" t="n"/>
      <c r="SLS1" s="24" t="n"/>
      <c r="SLT1" s="24" t="n"/>
      <c r="SLU1" s="24" t="n"/>
      <c r="SLV1" s="24" t="n"/>
      <c r="SLW1" s="24" t="n"/>
      <c r="SLX1" s="24" t="n"/>
      <c r="SLY1" s="24" t="n"/>
      <c r="SLZ1" s="24" t="n"/>
      <c r="SMA1" s="24" t="n"/>
      <c r="SMB1" s="24" t="n"/>
      <c r="SMC1" s="24" t="n"/>
      <c r="SMD1" s="24" t="n"/>
      <c r="SME1" s="24" t="n"/>
      <c r="SMF1" s="24" t="n"/>
      <c r="SMG1" s="24" t="n"/>
      <c r="SMH1" s="24" t="n"/>
      <c r="SMI1" s="24" t="n"/>
      <c r="SMJ1" s="24" t="n"/>
      <c r="SMK1" s="24" t="n"/>
      <c r="SML1" s="24" t="n"/>
      <c r="SMM1" s="24" t="n"/>
      <c r="SMN1" s="24" t="n"/>
      <c r="SMO1" s="24" t="n"/>
      <c r="SMP1" s="24" t="n"/>
      <c r="SMQ1" s="24" t="n"/>
      <c r="SMR1" s="24" t="n"/>
      <c r="SMS1" s="24" t="n"/>
      <c r="SMT1" s="24" t="n"/>
      <c r="SMU1" s="24" t="n"/>
      <c r="SMV1" s="24" t="n"/>
      <c r="SMW1" s="24" t="n"/>
      <c r="SMX1" s="24" t="n"/>
      <c r="SMY1" s="24" t="n"/>
      <c r="SMZ1" s="24" t="n"/>
      <c r="SNA1" s="24" t="n"/>
      <c r="SNB1" s="24" t="n"/>
      <c r="SNC1" s="24" t="n"/>
      <c r="SND1" s="24" t="n"/>
      <c r="SNE1" s="24" t="n"/>
      <c r="SNF1" s="24" t="n"/>
      <c r="SNG1" s="24" t="n"/>
      <c r="SNH1" s="24" t="n"/>
      <c r="SNI1" s="24" t="n"/>
      <c r="SNJ1" s="24" t="n"/>
      <c r="SNK1" s="24" t="n"/>
      <c r="SNL1" s="24" t="n"/>
      <c r="SNM1" s="24" t="n"/>
      <c r="SNN1" s="24" t="n"/>
      <c r="SNO1" s="24" t="n"/>
      <c r="SNP1" s="24" t="n"/>
      <c r="SNQ1" s="24" t="n"/>
      <c r="SNR1" s="24" t="n"/>
      <c r="SNS1" s="24" t="n"/>
      <c r="SNT1" s="24" t="n"/>
      <c r="SNU1" s="24" t="n"/>
      <c r="SNV1" s="24" t="n"/>
      <c r="SNW1" s="24" t="n"/>
      <c r="SNX1" s="24" t="n"/>
      <c r="SNY1" s="24" t="n"/>
      <c r="SNZ1" s="24" t="n"/>
      <c r="SOA1" s="24" t="n"/>
      <c r="SOB1" s="24" t="n"/>
      <c r="SOC1" s="24" t="n"/>
      <c r="SOD1" s="24" t="n"/>
      <c r="SOE1" s="24" t="n"/>
      <c r="SOF1" s="24" t="n"/>
      <c r="SOG1" s="24" t="n"/>
      <c r="SOH1" s="24" t="n"/>
      <c r="SOI1" s="24" t="n"/>
      <c r="SOJ1" s="24" t="n"/>
      <c r="SOK1" s="24" t="n"/>
      <c r="SOL1" s="24" t="n"/>
      <c r="SOM1" s="24" t="n"/>
      <c r="SON1" s="24" t="n"/>
      <c r="SOO1" s="24" t="n"/>
      <c r="SOP1" s="24" t="n"/>
      <c r="SOQ1" s="24" t="n"/>
      <c r="SOR1" s="24" t="n"/>
      <c r="SOS1" s="24" t="n"/>
      <c r="SOT1" s="24" t="n"/>
      <c r="SOU1" s="24" t="n"/>
      <c r="SOV1" s="24" t="n"/>
      <c r="SOW1" s="24" t="n"/>
      <c r="SOX1" s="24" t="n"/>
      <c r="SOY1" s="24" t="n"/>
      <c r="SOZ1" s="24" t="n"/>
      <c r="SPA1" s="24" t="n"/>
      <c r="SPB1" s="24" t="n"/>
      <c r="SPC1" s="24" t="n"/>
      <c r="SPD1" s="24" t="n"/>
      <c r="SPE1" s="24" t="n"/>
      <c r="SPF1" s="24" t="n"/>
      <c r="SPG1" s="24" t="n"/>
      <c r="SPH1" s="24" t="n"/>
      <c r="SPI1" s="24" t="n"/>
      <c r="SPJ1" s="24" t="n"/>
      <c r="SPK1" s="24" t="n"/>
      <c r="SPL1" s="24" t="n"/>
      <c r="SPM1" s="24" t="n"/>
      <c r="SPN1" s="24" t="n"/>
      <c r="SPO1" s="24" t="n"/>
      <c r="SPP1" s="24" t="n"/>
      <c r="SPQ1" s="24" t="n"/>
      <c r="SPR1" s="24" t="n"/>
      <c r="SPS1" s="24" t="n"/>
      <c r="SPT1" s="24" t="n"/>
      <c r="SPU1" s="24" t="n"/>
      <c r="SPV1" s="24" t="n"/>
      <c r="SPW1" s="24" t="n"/>
      <c r="SPX1" s="24" t="n"/>
      <c r="SPY1" s="24" t="n"/>
      <c r="SPZ1" s="24" t="n"/>
      <c r="SQA1" s="24" t="n"/>
      <c r="SQB1" s="24" t="n"/>
      <c r="SQC1" s="24" t="n"/>
      <c r="SQD1" s="24" t="n"/>
      <c r="SQE1" s="24" t="n"/>
      <c r="SQF1" s="24" t="n"/>
      <c r="SQG1" s="24" t="n"/>
      <c r="SQH1" s="24" t="n"/>
      <c r="SQI1" s="24" t="n"/>
      <c r="SQJ1" s="24" t="n"/>
      <c r="SQK1" s="24" t="n"/>
      <c r="SQL1" s="24" t="n"/>
      <c r="SQM1" s="24" t="n"/>
      <c r="SQN1" s="24" t="n"/>
      <c r="SQO1" s="24" t="n"/>
      <c r="SQP1" s="24" t="n"/>
      <c r="SQQ1" s="24" t="n"/>
      <c r="SQR1" s="24" t="n"/>
      <c r="SQS1" s="24" t="n"/>
      <c r="SQT1" s="24" t="n"/>
      <c r="SQU1" s="24" t="n"/>
      <c r="SQV1" s="24" t="n"/>
      <c r="SQW1" s="24" t="n"/>
      <c r="SQX1" s="24" t="n"/>
      <c r="SQY1" s="24" t="n"/>
      <c r="SQZ1" s="24" t="n"/>
      <c r="SRA1" s="24" t="n"/>
      <c r="SRB1" s="24" t="n"/>
      <c r="SRC1" s="24" t="n"/>
      <c r="SRD1" s="24" t="n"/>
      <c r="SRE1" s="24" t="n"/>
      <c r="SRF1" s="24" t="n"/>
      <c r="SRG1" s="24" t="n"/>
      <c r="SRH1" s="24" t="n"/>
      <c r="SRI1" s="24" t="n"/>
      <c r="SRJ1" s="24" t="n"/>
      <c r="SRK1" s="24" t="n"/>
      <c r="SRL1" s="24" t="n"/>
      <c r="SRM1" s="24" t="n"/>
      <c r="SRN1" s="24" t="n"/>
      <c r="SRO1" s="24" t="n"/>
      <c r="SRP1" s="24" t="n"/>
      <c r="SRQ1" s="24" t="n"/>
      <c r="SRR1" s="24" t="n"/>
      <c r="SRS1" s="24" t="n"/>
      <c r="SRT1" s="24" t="n"/>
      <c r="SRU1" s="24" t="n"/>
      <c r="SRV1" s="24" t="n"/>
      <c r="SRW1" s="24" t="n"/>
      <c r="SRX1" s="24" t="n"/>
      <c r="SRY1" s="24" t="n"/>
      <c r="SRZ1" s="24" t="n"/>
      <c r="SSA1" s="24" t="n"/>
      <c r="SSB1" s="24" t="n"/>
      <c r="SSC1" s="24" t="n"/>
      <c r="SSD1" s="24" t="n"/>
      <c r="SSE1" s="24" t="n"/>
      <c r="SSF1" s="24" t="n"/>
      <c r="SSG1" s="24" t="n"/>
      <c r="SSH1" s="24" t="n"/>
      <c r="SSI1" s="24" t="n"/>
      <c r="SSJ1" s="24" t="n"/>
      <c r="SSK1" s="24" t="n"/>
      <c r="SSL1" s="24" t="n"/>
      <c r="SSM1" s="24" t="n"/>
      <c r="SSN1" s="24" t="n"/>
      <c r="SSO1" s="24" t="n"/>
      <c r="SSP1" s="24" t="n"/>
      <c r="SSQ1" s="24" t="n"/>
      <c r="SSR1" s="24" t="n"/>
      <c r="SSS1" s="24" t="n"/>
      <c r="SST1" s="24" t="n"/>
      <c r="SSU1" s="24" t="n"/>
      <c r="SSV1" s="24" t="n"/>
      <c r="SSW1" s="24" t="n"/>
      <c r="SSX1" s="24" t="n"/>
      <c r="SSY1" s="24" t="n"/>
      <c r="SSZ1" s="24" t="n"/>
      <c r="STA1" s="24" t="n"/>
      <c r="STB1" s="24" t="n"/>
      <c r="STC1" s="24" t="n"/>
      <c r="STD1" s="24" t="n"/>
      <c r="STE1" s="24" t="n"/>
      <c r="STF1" s="24" t="n"/>
      <c r="STG1" s="24" t="n"/>
      <c r="STH1" s="24" t="n"/>
      <c r="STI1" s="24" t="n"/>
      <c r="STJ1" s="24" t="n"/>
      <c r="STK1" s="24" t="n"/>
      <c r="STL1" s="24" t="n"/>
      <c r="STM1" s="24" t="n"/>
      <c r="STN1" s="24" t="n"/>
      <c r="STO1" s="24" t="n"/>
      <c r="STP1" s="24" t="n"/>
      <c r="STQ1" s="24" t="n"/>
      <c r="STR1" s="24" t="n"/>
      <c r="STS1" s="24" t="n"/>
      <c r="STT1" s="24" t="n"/>
      <c r="STU1" s="24" t="n"/>
      <c r="STV1" s="24" t="n"/>
      <c r="STW1" s="24" t="n"/>
      <c r="STX1" s="24" t="n"/>
      <c r="STY1" s="24" t="n"/>
      <c r="STZ1" s="24" t="n"/>
      <c r="SUA1" s="24" t="n"/>
      <c r="SUB1" s="24" t="n"/>
      <c r="SUC1" s="24" t="n"/>
      <c r="SUD1" s="24" t="n"/>
      <c r="SUE1" s="24" t="n"/>
      <c r="SUF1" s="24" t="n"/>
      <c r="SUG1" s="24" t="n"/>
      <c r="SUH1" s="24" t="n"/>
      <c r="SUI1" s="24" t="n"/>
      <c r="SUJ1" s="24" t="n"/>
      <c r="SUK1" s="24" t="n"/>
      <c r="SUL1" s="24" t="n"/>
      <c r="SUM1" s="24" t="n"/>
      <c r="SUN1" s="24" t="n"/>
      <c r="SUO1" s="24" t="n"/>
      <c r="SUP1" s="24" t="n"/>
      <c r="SUQ1" s="24" t="n"/>
      <c r="SUR1" s="24" t="n"/>
      <c r="SUS1" s="24" t="n"/>
      <c r="SUT1" s="24" t="n"/>
      <c r="SUU1" s="24" t="n"/>
      <c r="SUV1" s="24" t="n"/>
      <c r="SUW1" s="24" t="n"/>
      <c r="SUX1" s="24" t="n"/>
      <c r="SUY1" s="24" t="n"/>
      <c r="SUZ1" s="24" t="n"/>
      <c r="SVA1" s="24" t="n"/>
      <c r="SVB1" s="24" t="n"/>
      <c r="SVC1" s="24" t="n"/>
      <c r="SVD1" s="24" t="n"/>
      <c r="SVE1" s="24" t="n"/>
      <c r="SVF1" s="24" t="n"/>
      <c r="SVG1" s="24" t="n"/>
      <c r="SVH1" s="24" t="n"/>
      <c r="SVI1" s="24" t="n"/>
      <c r="SVJ1" s="24" t="n"/>
      <c r="SVK1" s="24" t="n"/>
      <c r="SVL1" s="24" t="n"/>
      <c r="SVM1" s="24" t="n"/>
      <c r="SVN1" s="24" t="n"/>
      <c r="SVO1" s="24" t="n"/>
      <c r="SVP1" s="24" t="n"/>
      <c r="SVQ1" s="24" t="n"/>
      <c r="SVR1" s="24" t="n"/>
      <c r="SVS1" s="24" t="n"/>
      <c r="SVT1" s="24" t="n"/>
      <c r="SVU1" s="24" t="n"/>
      <c r="SVV1" s="24" t="n"/>
      <c r="SVW1" s="24" t="n"/>
      <c r="SVX1" s="24" t="n"/>
      <c r="SVY1" s="24" t="n"/>
      <c r="SVZ1" s="24" t="n"/>
      <c r="SWA1" s="24" t="n"/>
      <c r="SWB1" s="24" t="n"/>
      <c r="SWC1" s="24" t="n"/>
      <c r="SWD1" s="24" t="n"/>
      <c r="SWE1" s="24" t="n"/>
      <c r="SWF1" s="24" t="n"/>
      <c r="SWG1" s="24" t="n"/>
      <c r="SWH1" s="24" t="n"/>
      <c r="SWI1" s="24" t="n"/>
      <c r="SWJ1" s="24" t="n"/>
      <c r="SWK1" s="24" t="n"/>
      <c r="SWL1" s="24" t="n"/>
      <c r="SWM1" s="24" t="n"/>
      <c r="SWN1" s="24" t="n"/>
      <c r="SWO1" s="24" t="n"/>
      <c r="SWP1" s="24" t="n"/>
      <c r="SWQ1" s="24" t="n"/>
      <c r="SWR1" s="24" t="n"/>
      <c r="SWS1" s="24" t="n"/>
      <c r="SWT1" s="24" t="n"/>
      <c r="SWU1" s="24" t="n"/>
      <c r="SWV1" s="24" t="n"/>
      <c r="SWW1" s="24" t="n"/>
      <c r="SWX1" s="24" t="n"/>
      <c r="SWY1" s="24" t="n"/>
      <c r="SWZ1" s="24" t="n"/>
      <c r="SXA1" s="24" t="n"/>
      <c r="SXB1" s="24" t="n"/>
      <c r="SXC1" s="24" t="n"/>
      <c r="SXD1" s="24" t="n"/>
      <c r="SXE1" s="24" t="n"/>
      <c r="SXF1" s="24" t="n"/>
      <c r="SXG1" s="24" t="n"/>
      <c r="SXH1" s="24" t="n"/>
      <c r="SXI1" s="24" t="n"/>
      <c r="SXJ1" s="24" t="n"/>
      <c r="SXK1" s="24" t="n"/>
      <c r="SXL1" s="24" t="n"/>
      <c r="SXM1" s="24" t="n"/>
      <c r="SXN1" s="24" t="n"/>
      <c r="SXO1" s="24" t="n"/>
      <c r="SXP1" s="24" t="n"/>
      <c r="SXQ1" s="24" t="n"/>
      <c r="SXR1" s="24" t="n"/>
      <c r="SXS1" s="24" t="n"/>
      <c r="SXT1" s="24" t="n"/>
      <c r="SXU1" s="24" t="n"/>
      <c r="SXV1" s="24" t="n"/>
      <c r="SXW1" s="24" t="n"/>
      <c r="SXX1" s="24" t="n"/>
      <c r="SXY1" s="24" t="n"/>
      <c r="SXZ1" s="24" t="n"/>
      <c r="SYA1" s="24" t="n"/>
      <c r="SYB1" s="24" t="n"/>
      <c r="SYC1" s="24" t="n"/>
      <c r="SYD1" s="24" t="n"/>
      <c r="SYE1" s="24" t="n"/>
      <c r="SYF1" s="24" t="n"/>
      <c r="SYG1" s="24" t="n"/>
      <c r="SYH1" s="24" t="n"/>
      <c r="SYI1" s="24" t="n"/>
      <c r="SYJ1" s="24" t="n"/>
      <c r="SYK1" s="24" t="n"/>
      <c r="SYL1" s="24" t="n"/>
      <c r="SYM1" s="24" t="n"/>
      <c r="SYN1" s="24" t="n"/>
      <c r="SYO1" s="24" t="n"/>
      <c r="SYP1" s="24" t="n"/>
      <c r="SYQ1" s="24" t="n"/>
      <c r="SYR1" s="24" t="n"/>
      <c r="SYS1" s="24" t="n"/>
      <c r="SYT1" s="24" t="n"/>
      <c r="SYU1" s="24" t="n"/>
      <c r="SYV1" s="24" t="n"/>
      <c r="SYW1" s="24" t="n"/>
      <c r="SYX1" s="24" t="n"/>
      <c r="SYY1" s="24" t="n"/>
      <c r="SYZ1" s="24" t="n"/>
      <c r="SZA1" s="24" t="n"/>
      <c r="SZB1" s="24" t="n"/>
      <c r="SZC1" s="24" t="n"/>
      <c r="SZD1" s="24" t="n"/>
      <c r="SZE1" s="24" t="n"/>
      <c r="SZF1" s="24" t="n"/>
      <c r="SZG1" s="24" t="n"/>
      <c r="SZH1" s="24" t="n"/>
      <c r="SZI1" s="24" t="n"/>
      <c r="SZJ1" s="24" t="n"/>
      <c r="SZK1" s="24" t="n"/>
      <c r="SZL1" s="24" t="n"/>
      <c r="SZM1" s="24" t="n"/>
      <c r="SZN1" s="24" t="n"/>
      <c r="SZO1" s="24" t="n"/>
      <c r="SZP1" s="24" t="n"/>
      <c r="SZQ1" s="24" t="n"/>
      <c r="SZR1" s="24" t="n"/>
      <c r="SZS1" s="24" t="n"/>
      <c r="SZT1" s="24" t="n"/>
      <c r="SZU1" s="24" t="n"/>
      <c r="SZV1" s="24" t="n"/>
      <c r="SZW1" s="24" t="n"/>
      <c r="SZX1" s="24" t="n"/>
      <c r="SZY1" s="24" t="n"/>
      <c r="SZZ1" s="24" t="n"/>
      <c r="TAA1" s="24" t="n"/>
      <c r="TAB1" s="24" t="n"/>
      <c r="TAC1" s="24" t="n"/>
      <c r="TAD1" s="24" t="n"/>
      <c r="TAE1" s="24" t="n"/>
      <c r="TAF1" s="24" t="n"/>
      <c r="TAG1" s="24" t="n"/>
      <c r="TAH1" s="24" t="n"/>
      <c r="TAI1" s="24" t="n"/>
      <c r="TAJ1" s="24" t="n"/>
      <c r="TAK1" s="24" t="n"/>
      <c r="TAL1" s="24" t="n"/>
      <c r="TAM1" s="24" t="n"/>
      <c r="TAN1" s="24" t="n"/>
      <c r="TAO1" s="24" t="n"/>
      <c r="TAP1" s="24" t="n"/>
      <c r="TAQ1" s="24" t="n"/>
      <c r="TAR1" s="24" t="n"/>
      <c r="TAS1" s="24" t="n"/>
      <c r="TAT1" s="24" t="n"/>
      <c r="TAU1" s="24" t="n"/>
      <c r="TAV1" s="24" t="n"/>
      <c r="TAW1" s="24" t="n"/>
      <c r="TAX1" s="24" t="n"/>
      <c r="TAY1" s="24" t="n"/>
      <c r="TAZ1" s="24" t="n"/>
      <c r="TBA1" s="24" t="n"/>
      <c r="TBB1" s="24" t="n"/>
      <c r="TBC1" s="24" t="n"/>
      <c r="TBD1" s="24" t="n"/>
      <c r="TBE1" s="24" t="n"/>
      <c r="TBF1" s="24" t="n"/>
      <c r="TBG1" s="24" t="n"/>
      <c r="TBH1" s="24" t="n"/>
      <c r="TBI1" s="24" t="n"/>
      <c r="TBJ1" s="24" t="n"/>
      <c r="TBK1" s="24" t="n"/>
      <c r="TBL1" s="24" t="n"/>
      <c r="TBM1" s="24" t="n"/>
      <c r="TBN1" s="24" t="n"/>
      <c r="TBO1" s="24" t="n"/>
      <c r="TBP1" s="24" t="n"/>
      <c r="TBQ1" s="24" t="n"/>
      <c r="TBR1" s="24" t="n"/>
      <c r="TBS1" s="24" t="n"/>
      <c r="TBT1" s="24" t="n"/>
      <c r="TBU1" s="24" t="n"/>
      <c r="TBV1" s="24" t="n"/>
      <c r="TBW1" s="24" t="n"/>
      <c r="TBX1" s="24" t="n"/>
      <c r="TBY1" s="24" t="n"/>
      <c r="TBZ1" s="24" t="n"/>
      <c r="TCA1" s="24" t="n"/>
      <c r="TCB1" s="24" t="n"/>
      <c r="TCC1" s="24" t="n"/>
      <c r="TCD1" s="24" t="n"/>
      <c r="TCE1" s="24" t="n"/>
      <c r="TCF1" s="24" t="n"/>
      <c r="TCG1" s="24" t="n"/>
      <c r="TCH1" s="24" t="n"/>
      <c r="TCI1" s="24" t="n"/>
      <c r="TCJ1" s="24" t="n"/>
      <c r="TCK1" s="24" t="n"/>
      <c r="TCL1" s="24" t="n"/>
      <c r="TCM1" s="24" t="n"/>
      <c r="TCN1" s="24" t="n"/>
      <c r="TCO1" s="24" t="n"/>
      <c r="TCP1" s="24" t="n"/>
      <c r="TCQ1" s="24" t="n"/>
      <c r="TCR1" s="24" t="n"/>
      <c r="TCS1" s="24" t="n"/>
      <c r="TCT1" s="24" t="n"/>
      <c r="TCU1" s="24" t="n"/>
      <c r="TCV1" s="24" t="n"/>
      <c r="TCW1" s="24" t="n"/>
      <c r="TCX1" s="24" t="n"/>
      <c r="TCY1" s="24" t="n"/>
      <c r="TCZ1" s="24" t="n"/>
      <c r="TDA1" s="24" t="n"/>
      <c r="TDB1" s="24" t="n"/>
      <c r="TDC1" s="24" t="n"/>
      <c r="TDD1" s="24" t="n"/>
      <c r="TDE1" s="24" t="n"/>
      <c r="TDF1" s="24" t="n"/>
      <c r="TDG1" s="24" t="n"/>
      <c r="TDH1" s="24" t="n"/>
      <c r="TDI1" s="24" t="n"/>
      <c r="TDJ1" s="24" t="n"/>
      <c r="TDK1" s="24" t="n"/>
      <c r="TDL1" s="24" t="n"/>
      <c r="TDM1" s="24" t="n"/>
      <c r="TDN1" s="24" t="n"/>
      <c r="TDO1" s="24" t="n"/>
      <c r="TDP1" s="24" t="n"/>
      <c r="TDQ1" s="24" t="n"/>
      <c r="TDR1" s="24" t="n"/>
      <c r="TDS1" s="24" t="n"/>
      <c r="TDT1" s="24" t="n"/>
      <c r="TDU1" s="24" t="n"/>
      <c r="TDV1" s="24" t="n"/>
      <c r="TDW1" s="24" t="n"/>
      <c r="TDX1" s="24" t="n"/>
      <c r="TDY1" s="24" t="n"/>
      <c r="TDZ1" s="24" t="n"/>
      <c r="TEA1" s="24" t="n"/>
      <c r="TEB1" s="24" t="n"/>
      <c r="TEC1" s="24" t="n"/>
      <c r="TED1" s="24" t="n"/>
      <c r="TEE1" s="24" t="n"/>
      <c r="TEF1" s="24" t="n"/>
      <c r="TEG1" s="24" t="n"/>
      <c r="TEH1" s="24" t="n"/>
      <c r="TEI1" s="24" t="n"/>
      <c r="TEJ1" s="24" t="n"/>
      <c r="TEK1" s="24" t="n"/>
      <c r="TEL1" s="24" t="n"/>
      <c r="TEM1" s="24" t="n"/>
      <c r="TEN1" s="24" t="n"/>
      <c r="TEO1" s="24" t="n"/>
      <c r="TEP1" s="24" t="n"/>
      <c r="TEQ1" s="24" t="n"/>
      <c r="TER1" s="24" t="n"/>
      <c r="TES1" s="24" t="n"/>
      <c r="TET1" s="24" t="n"/>
      <c r="TEU1" s="24" t="n"/>
      <c r="TEV1" s="24" t="n"/>
      <c r="TEW1" s="24" t="n"/>
      <c r="TEX1" s="24" t="n"/>
      <c r="TEY1" s="24" t="n"/>
      <c r="TEZ1" s="24" t="n"/>
      <c r="TFA1" s="24" t="n"/>
      <c r="TFB1" s="24" t="n"/>
      <c r="TFC1" s="24" t="n"/>
      <c r="TFD1" s="24" t="n"/>
      <c r="TFE1" s="24" t="n"/>
      <c r="TFF1" s="24" t="n"/>
      <c r="TFG1" s="24" t="n"/>
      <c r="TFH1" s="24" t="n"/>
      <c r="TFI1" s="24" t="n"/>
      <c r="TFJ1" s="24" t="n"/>
      <c r="TFK1" s="24" t="n"/>
      <c r="TFL1" s="24" t="n"/>
      <c r="TFM1" s="24" t="n"/>
      <c r="TFN1" s="24" t="n"/>
      <c r="TFO1" s="24" t="n"/>
      <c r="TFP1" s="24" t="n"/>
      <c r="TFQ1" s="24" t="n"/>
      <c r="TFR1" s="24" t="n"/>
      <c r="TFS1" s="24" t="n"/>
      <c r="TFT1" s="24" t="n"/>
      <c r="TFU1" s="24" t="n"/>
      <c r="TFV1" s="24" t="n"/>
      <c r="TFW1" s="24" t="n"/>
      <c r="TFX1" s="24" t="n"/>
      <c r="TFY1" s="24" t="n"/>
      <c r="TFZ1" s="24" t="n"/>
      <c r="TGA1" s="24" t="n"/>
      <c r="TGB1" s="24" t="n"/>
      <c r="TGC1" s="24" t="n"/>
      <c r="TGD1" s="24" t="n"/>
      <c r="TGE1" s="24" t="n"/>
      <c r="TGF1" s="24" t="n"/>
      <c r="TGG1" s="24" t="n"/>
      <c r="TGH1" s="24" t="n"/>
      <c r="TGI1" s="24" t="n"/>
      <c r="TGJ1" s="24" t="n"/>
      <c r="TGK1" s="24" t="n"/>
      <c r="TGL1" s="24" t="n"/>
      <c r="TGM1" s="24" t="n"/>
      <c r="TGN1" s="24" t="n"/>
      <c r="TGO1" s="24" t="n"/>
      <c r="TGP1" s="24" t="n"/>
      <c r="TGQ1" s="24" t="n"/>
      <c r="TGR1" s="24" t="n"/>
      <c r="TGS1" s="24" t="n"/>
      <c r="TGT1" s="24" t="n"/>
      <c r="TGU1" s="24" t="n"/>
      <c r="TGV1" s="24" t="n"/>
      <c r="TGW1" s="24" t="n"/>
      <c r="TGX1" s="24" t="n"/>
      <c r="TGY1" s="24" t="n"/>
      <c r="TGZ1" s="24" t="n"/>
      <c r="THA1" s="24" t="n"/>
      <c r="THB1" s="24" t="n"/>
      <c r="THC1" s="24" t="n"/>
      <c r="THD1" s="24" t="n"/>
      <c r="THE1" s="24" t="n"/>
      <c r="THF1" s="24" t="n"/>
      <c r="THG1" s="24" t="n"/>
      <c r="THH1" s="24" t="n"/>
      <c r="THI1" s="24" t="n"/>
      <c r="THJ1" s="24" t="n"/>
      <c r="THK1" s="24" t="n"/>
      <c r="THL1" s="24" t="n"/>
      <c r="THM1" s="24" t="n"/>
      <c r="THN1" s="24" t="n"/>
      <c r="THO1" s="24" t="n"/>
      <c r="THP1" s="24" t="n"/>
      <c r="THQ1" s="24" t="n"/>
      <c r="THR1" s="24" t="n"/>
      <c r="THS1" s="24" t="n"/>
      <c r="THT1" s="24" t="n"/>
      <c r="THU1" s="24" t="n"/>
      <c r="THV1" s="24" t="n"/>
      <c r="THW1" s="24" t="n"/>
      <c r="THX1" s="24" t="n"/>
      <c r="THY1" s="24" t="n"/>
      <c r="THZ1" s="24" t="n"/>
      <c r="TIA1" s="24" t="n"/>
      <c r="TIB1" s="24" t="n"/>
      <c r="TIC1" s="24" t="n"/>
      <c r="TID1" s="24" t="n"/>
      <c r="TIE1" s="24" t="n"/>
      <c r="TIF1" s="24" t="n"/>
      <c r="TIG1" s="24" t="n"/>
      <c r="TIH1" s="24" t="n"/>
      <c r="TII1" s="24" t="n"/>
      <c r="TIJ1" s="24" t="n"/>
      <c r="TIK1" s="24" t="n"/>
      <c r="TIL1" s="24" t="n"/>
      <c r="TIM1" s="24" t="n"/>
      <c r="TIN1" s="24" t="n"/>
      <c r="TIO1" s="24" t="n"/>
      <c r="TIP1" s="24" t="n"/>
      <c r="TIQ1" s="24" t="n"/>
      <c r="TIR1" s="24" t="n"/>
      <c r="TIS1" s="24" t="n"/>
      <c r="TIT1" s="24" t="n"/>
      <c r="TIU1" s="24" t="n"/>
      <c r="TIV1" s="24" t="n"/>
      <c r="TIW1" s="24" t="n"/>
      <c r="TIX1" s="24" t="n"/>
      <c r="TIY1" s="24" t="n"/>
      <c r="TIZ1" s="24" t="n"/>
      <c r="TJA1" s="24" t="n"/>
      <c r="TJB1" s="24" t="n"/>
      <c r="TJC1" s="24" t="n"/>
      <c r="TJD1" s="24" t="n"/>
      <c r="TJE1" s="24" t="n"/>
      <c r="TJF1" s="24" t="n"/>
      <c r="TJG1" s="24" t="n"/>
      <c r="TJH1" s="24" t="n"/>
      <c r="TJI1" s="24" t="n"/>
      <c r="TJJ1" s="24" t="n"/>
      <c r="TJK1" s="24" t="n"/>
      <c r="TJL1" s="24" t="n"/>
      <c r="TJM1" s="24" t="n"/>
      <c r="TJN1" s="24" t="n"/>
      <c r="TJO1" s="24" t="n"/>
      <c r="TJP1" s="24" t="n"/>
      <c r="TJQ1" s="24" t="n"/>
      <c r="TJR1" s="24" t="n"/>
      <c r="TJS1" s="24" t="n"/>
      <c r="TJT1" s="24" t="n"/>
      <c r="TJU1" s="24" t="n"/>
      <c r="TJV1" s="24" t="n"/>
      <c r="TJW1" s="24" t="n"/>
      <c r="TJX1" s="24" t="n"/>
      <c r="TJY1" s="24" t="n"/>
      <c r="TJZ1" s="24" t="n"/>
      <c r="TKA1" s="24" t="n"/>
      <c r="TKB1" s="24" t="n"/>
      <c r="TKC1" s="24" t="n"/>
      <c r="TKD1" s="24" t="n"/>
      <c r="TKE1" s="24" t="n"/>
      <c r="TKF1" s="24" t="n"/>
      <c r="TKG1" s="24" t="n"/>
      <c r="TKH1" s="24" t="n"/>
      <c r="TKI1" s="24" t="n"/>
      <c r="TKJ1" s="24" t="n"/>
      <c r="TKK1" s="24" t="n"/>
      <c r="TKL1" s="24" t="n"/>
      <c r="TKM1" s="24" t="n"/>
      <c r="TKN1" s="24" t="n"/>
      <c r="TKO1" s="24" t="n"/>
      <c r="TKP1" s="24" t="n"/>
      <c r="TKQ1" s="24" t="n"/>
      <c r="TKR1" s="24" t="n"/>
      <c r="TKS1" s="24" t="n"/>
      <c r="TKT1" s="24" t="n"/>
      <c r="TKU1" s="24" t="n"/>
      <c r="TKV1" s="24" t="n"/>
      <c r="TKW1" s="24" t="n"/>
      <c r="TKX1" s="24" t="n"/>
      <c r="TKY1" s="24" t="n"/>
      <c r="TKZ1" s="24" t="n"/>
      <c r="TLA1" s="24" t="n"/>
      <c r="TLB1" s="24" t="n"/>
      <c r="TLC1" s="24" t="n"/>
      <c r="TLD1" s="24" t="n"/>
      <c r="TLE1" s="24" t="n"/>
      <c r="TLF1" s="24" t="n"/>
      <c r="TLG1" s="24" t="n"/>
      <c r="TLH1" s="24" t="n"/>
      <c r="TLI1" s="24" t="n"/>
      <c r="TLJ1" s="24" t="n"/>
      <c r="TLK1" s="24" t="n"/>
      <c r="TLL1" s="24" t="n"/>
      <c r="TLM1" s="24" t="n"/>
      <c r="TLN1" s="24" t="n"/>
      <c r="TLO1" s="24" t="n"/>
      <c r="TLP1" s="24" t="n"/>
      <c r="TLQ1" s="24" t="n"/>
      <c r="TLR1" s="24" t="n"/>
      <c r="TLS1" s="24" t="n"/>
      <c r="TLT1" s="24" t="n"/>
      <c r="TLU1" s="24" t="n"/>
      <c r="TLV1" s="24" t="n"/>
      <c r="TLW1" s="24" t="n"/>
      <c r="TLX1" s="24" t="n"/>
      <c r="TLY1" s="24" t="n"/>
      <c r="TLZ1" s="24" t="n"/>
      <c r="TMA1" s="24" t="n"/>
      <c r="TMB1" s="24" t="n"/>
      <c r="TMC1" s="24" t="n"/>
      <c r="TMD1" s="24" t="n"/>
      <c r="TME1" s="24" t="n"/>
      <c r="TMF1" s="24" t="n"/>
      <c r="TMG1" s="24" t="n"/>
      <c r="TMH1" s="24" t="n"/>
      <c r="TMI1" s="24" t="n"/>
      <c r="TMJ1" s="24" t="n"/>
      <c r="TMK1" s="24" t="n"/>
      <c r="TML1" s="24" t="n"/>
      <c r="TMM1" s="24" t="n"/>
      <c r="TMN1" s="24" t="n"/>
      <c r="TMO1" s="24" t="n"/>
      <c r="TMP1" s="24" t="n"/>
      <c r="TMQ1" s="24" t="n"/>
      <c r="TMR1" s="24" t="n"/>
      <c r="TMS1" s="24" t="n"/>
      <c r="TMT1" s="24" t="n"/>
      <c r="TMU1" s="24" t="n"/>
      <c r="TMV1" s="24" t="n"/>
      <c r="TMW1" s="24" t="n"/>
      <c r="TMX1" s="24" t="n"/>
      <c r="TMY1" s="24" t="n"/>
      <c r="TMZ1" s="24" t="n"/>
      <c r="TNA1" s="24" t="n"/>
      <c r="TNB1" s="24" t="n"/>
      <c r="TNC1" s="24" t="n"/>
      <c r="TND1" s="24" t="n"/>
      <c r="TNE1" s="24" t="n"/>
      <c r="TNF1" s="24" t="n"/>
      <c r="TNG1" s="24" t="n"/>
      <c r="TNH1" s="24" t="n"/>
      <c r="TNI1" s="24" t="n"/>
      <c r="TNJ1" s="24" t="n"/>
      <c r="TNK1" s="24" t="n"/>
      <c r="TNL1" s="24" t="n"/>
      <c r="TNM1" s="24" t="n"/>
      <c r="TNN1" s="24" t="n"/>
      <c r="TNO1" s="24" t="n"/>
      <c r="TNP1" s="24" t="n"/>
      <c r="TNQ1" s="24" t="n"/>
      <c r="TNR1" s="24" t="n"/>
      <c r="TNS1" s="24" t="n"/>
      <c r="TNT1" s="24" t="n"/>
      <c r="TNU1" s="24" t="n"/>
      <c r="TNV1" s="24" t="n"/>
      <c r="TNW1" s="24" t="n"/>
      <c r="TNX1" s="24" t="n"/>
      <c r="TNY1" s="24" t="n"/>
      <c r="TNZ1" s="24" t="n"/>
      <c r="TOA1" s="24" t="n"/>
      <c r="TOB1" s="24" t="n"/>
      <c r="TOC1" s="24" t="n"/>
      <c r="TOD1" s="24" t="n"/>
      <c r="TOE1" s="24" t="n"/>
      <c r="TOF1" s="24" t="n"/>
      <c r="TOG1" s="24" t="n"/>
      <c r="TOH1" s="24" t="n"/>
      <c r="TOI1" s="24" t="n"/>
      <c r="TOJ1" s="24" t="n"/>
      <c r="TOK1" s="24" t="n"/>
      <c r="TOL1" s="24" t="n"/>
      <c r="TOM1" s="24" t="n"/>
      <c r="TON1" s="24" t="n"/>
      <c r="TOO1" s="24" t="n"/>
      <c r="TOP1" s="24" t="n"/>
      <c r="TOQ1" s="24" t="n"/>
      <c r="TOR1" s="24" t="n"/>
      <c r="TOS1" s="24" t="n"/>
      <c r="TOT1" s="24" t="n"/>
      <c r="TOU1" s="24" t="n"/>
      <c r="TOV1" s="24" t="n"/>
      <c r="TOW1" s="24" t="n"/>
      <c r="TOX1" s="24" t="n"/>
      <c r="TOY1" s="24" t="n"/>
      <c r="TOZ1" s="24" t="n"/>
      <c r="TPA1" s="24" t="n"/>
      <c r="TPB1" s="24" t="n"/>
      <c r="TPC1" s="24" t="n"/>
      <c r="TPD1" s="24" t="n"/>
      <c r="TPE1" s="24" t="n"/>
      <c r="TPF1" s="24" t="n"/>
      <c r="TPG1" s="24" t="n"/>
      <c r="TPH1" s="24" t="n"/>
      <c r="TPI1" s="24" t="n"/>
      <c r="TPJ1" s="24" t="n"/>
      <c r="TPK1" s="24" t="n"/>
      <c r="TPL1" s="24" t="n"/>
      <c r="TPM1" s="24" t="n"/>
      <c r="TPN1" s="24" t="n"/>
      <c r="TPO1" s="24" t="n"/>
      <c r="TPP1" s="24" t="n"/>
      <c r="TPQ1" s="24" t="n"/>
      <c r="TPR1" s="24" t="n"/>
      <c r="TPS1" s="24" t="n"/>
      <c r="TPT1" s="24" t="n"/>
      <c r="TPU1" s="24" t="n"/>
      <c r="TPV1" s="24" t="n"/>
      <c r="TPW1" s="24" t="n"/>
      <c r="TPX1" s="24" t="n"/>
      <c r="TPY1" s="24" t="n"/>
      <c r="TPZ1" s="24" t="n"/>
      <c r="TQA1" s="24" t="n"/>
      <c r="TQB1" s="24" t="n"/>
      <c r="TQC1" s="24" t="n"/>
      <c r="TQD1" s="24" t="n"/>
      <c r="TQE1" s="24" t="n"/>
      <c r="TQF1" s="24" t="n"/>
      <c r="TQG1" s="24" t="n"/>
      <c r="TQH1" s="24" t="n"/>
      <c r="TQI1" s="24" t="n"/>
      <c r="TQJ1" s="24" t="n"/>
      <c r="TQK1" s="24" t="n"/>
      <c r="TQL1" s="24" t="n"/>
      <c r="TQM1" s="24" t="n"/>
      <c r="TQN1" s="24" t="n"/>
      <c r="TQO1" s="24" t="n"/>
      <c r="TQP1" s="24" t="n"/>
      <c r="TQQ1" s="24" t="n"/>
      <c r="TQR1" s="24" t="n"/>
      <c r="TQS1" s="24" t="n"/>
      <c r="TQT1" s="24" t="n"/>
      <c r="TQU1" s="24" t="n"/>
      <c r="TQV1" s="24" t="n"/>
      <c r="TQW1" s="24" t="n"/>
      <c r="TQX1" s="24" t="n"/>
      <c r="TQY1" s="24" t="n"/>
      <c r="TQZ1" s="24" t="n"/>
      <c r="TRA1" s="24" t="n"/>
      <c r="TRB1" s="24" t="n"/>
      <c r="TRC1" s="24" t="n"/>
      <c r="TRD1" s="24" t="n"/>
      <c r="TRE1" s="24" t="n"/>
      <c r="TRF1" s="24" t="n"/>
      <c r="TRG1" s="24" t="n"/>
      <c r="TRH1" s="24" t="n"/>
      <c r="TRI1" s="24" t="n"/>
      <c r="TRJ1" s="24" t="n"/>
      <c r="TRK1" s="24" t="n"/>
      <c r="TRL1" s="24" t="n"/>
      <c r="TRM1" s="24" t="n"/>
      <c r="TRN1" s="24" t="n"/>
      <c r="TRO1" s="24" t="n"/>
      <c r="TRP1" s="24" t="n"/>
      <c r="TRQ1" s="24" t="n"/>
      <c r="TRR1" s="24" t="n"/>
      <c r="TRS1" s="24" t="n"/>
      <c r="TRT1" s="24" t="n"/>
      <c r="TRU1" s="24" t="n"/>
      <c r="TRV1" s="24" t="n"/>
      <c r="TRW1" s="24" t="n"/>
      <c r="TRX1" s="24" t="n"/>
      <c r="TRY1" s="24" t="n"/>
      <c r="TRZ1" s="24" t="n"/>
      <c r="TSA1" s="24" t="n"/>
      <c r="TSB1" s="24" t="n"/>
      <c r="TSC1" s="24" t="n"/>
      <c r="TSD1" s="24" t="n"/>
      <c r="TSE1" s="24" t="n"/>
      <c r="TSF1" s="24" t="n"/>
      <c r="TSG1" s="24" t="n"/>
      <c r="TSH1" s="24" t="n"/>
      <c r="TSI1" s="24" t="n"/>
      <c r="TSJ1" s="24" t="n"/>
      <c r="TSK1" s="24" t="n"/>
      <c r="TSL1" s="24" t="n"/>
      <c r="TSM1" s="24" t="n"/>
      <c r="TSN1" s="24" t="n"/>
      <c r="TSO1" s="24" t="n"/>
      <c r="TSP1" s="24" t="n"/>
      <c r="TSQ1" s="24" t="n"/>
      <c r="TSR1" s="24" t="n"/>
      <c r="TSS1" s="24" t="n"/>
      <c r="TST1" s="24" t="n"/>
      <c r="TSU1" s="24" t="n"/>
      <c r="TSV1" s="24" t="n"/>
      <c r="TSW1" s="24" t="n"/>
      <c r="TSX1" s="24" t="n"/>
      <c r="TSY1" s="24" t="n"/>
      <c r="TSZ1" s="24" t="n"/>
      <c r="TTA1" s="24" t="n"/>
      <c r="TTB1" s="24" t="n"/>
      <c r="TTC1" s="24" t="n"/>
      <c r="TTD1" s="24" t="n"/>
      <c r="TTE1" s="24" t="n"/>
      <c r="TTF1" s="24" t="n"/>
      <c r="TTG1" s="24" t="n"/>
      <c r="TTH1" s="24" t="n"/>
      <c r="TTI1" s="24" t="n"/>
      <c r="TTJ1" s="24" t="n"/>
      <c r="TTK1" s="24" t="n"/>
      <c r="TTL1" s="24" t="n"/>
      <c r="TTM1" s="24" t="n"/>
      <c r="TTN1" s="24" t="n"/>
      <c r="TTO1" s="24" t="n"/>
      <c r="TTP1" s="24" t="n"/>
      <c r="TTQ1" s="24" t="n"/>
      <c r="TTR1" s="24" t="n"/>
      <c r="TTS1" s="24" t="n"/>
      <c r="TTT1" s="24" t="n"/>
      <c r="TTU1" s="24" t="n"/>
      <c r="TTV1" s="24" t="n"/>
      <c r="TTW1" s="24" t="n"/>
      <c r="TTX1" s="24" t="n"/>
      <c r="TTY1" s="24" t="n"/>
      <c r="TTZ1" s="24" t="n"/>
      <c r="TUA1" s="24" t="n"/>
      <c r="TUB1" s="24" t="n"/>
      <c r="TUC1" s="24" t="n"/>
      <c r="TUD1" s="24" t="n"/>
      <c r="TUE1" s="24" t="n"/>
      <c r="TUF1" s="24" t="n"/>
      <c r="TUG1" s="24" t="n"/>
      <c r="TUH1" s="24" t="n"/>
      <c r="TUI1" s="24" t="n"/>
      <c r="TUJ1" s="24" t="n"/>
      <c r="TUK1" s="24" t="n"/>
      <c r="TUL1" s="24" t="n"/>
      <c r="TUM1" s="24" t="n"/>
      <c r="TUN1" s="24" t="n"/>
      <c r="TUO1" s="24" t="n"/>
      <c r="TUP1" s="24" t="n"/>
      <c r="TUQ1" s="24" t="n"/>
      <c r="TUR1" s="24" t="n"/>
      <c r="TUS1" s="24" t="n"/>
      <c r="TUT1" s="24" t="n"/>
      <c r="TUU1" s="24" t="n"/>
      <c r="TUV1" s="24" t="n"/>
      <c r="TUW1" s="24" t="n"/>
      <c r="TUX1" s="24" t="n"/>
      <c r="TUY1" s="24" t="n"/>
      <c r="TUZ1" s="24" t="n"/>
      <c r="TVA1" s="24" t="n"/>
      <c r="TVB1" s="24" t="n"/>
      <c r="TVC1" s="24" t="n"/>
      <c r="TVD1" s="24" t="n"/>
      <c r="TVE1" s="24" t="n"/>
      <c r="TVF1" s="24" t="n"/>
      <c r="TVG1" s="24" t="n"/>
      <c r="TVH1" s="24" t="n"/>
      <c r="TVI1" s="24" t="n"/>
      <c r="TVJ1" s="24" t="n"/>
      <c r="TVK1" s="24" t="n"/>
      <c r="TVL1" s="24" t="n"/>
      <c r="TVM1" s="24" t="n"/>
      <c r="TVN1" s="24" t="n"/>
      <c r="TVO1" s="24" t="n"/>
      <c r="TVP1" s="24" t="n"/>
      <c r="TVQ1" s="24" t="n"/>
      <c r="TVR1" s="24" t="n"/>
      <c r="TVS1" s="24" t="n"/>
      <c r="TVT1" s="24" t="n"/>
      <c r="TVU1" s="24" t="n"/>
      <c r="TVV1" s="24" t="n"/>
      <c r="TVW1" s="24" t="n"/>
      <c r="TVX1" s="24" t="n"/>
      <c r="TVY1" s="24" t="n"/>
      <c r="TVZ1" s="24" t="n"/>
      <c r="TWA1" s="24" t="n"/>
      <c r="TWB1" s="24" t="n"/>
      <c r="TWC1" s="24" t="n"/>
      <c r="TWD1" s="24" t="n"/>
      <c r="TWE1" s="24" t="n"/>
      <c r="TWF1" s="24" t="n"/>
      <c r="TWG1" s="24" t="n"/>
      <c r="TWH1" s="24" t="n"/>
      <c r="TWI1" s="24" t="n"/>
      <c r="TWJ1" s="24" t="n"/>
      <c r="TWK1" s="24" t="n"/>
      <c r="TWL1" s="24" t="n"/>
      <c r="TWM1" s="24" t="n"/>
      <c r="TWN1" s="24" t="n"/>
      <c r="TWO1" s="24" t="n"/>
      <c r="TWP1" s="24" t="n"/>
      <c r="TWQ1" s="24" t="n"/>
      <c r="TWR1" s="24" t="n"/>
      <c r="TWS1" s="24" t="n"/>
      <c r="TWT1" s="24" t="n"/>
      <c r="TWU1" s="24" t="n"/>
      <c r="TWV1" s="24" t="n"/>
      <c r="TWW1" s="24" t="n"/>
      <c r="TWX1" s="24" t="n"/>
      <c r="TWY1" s="24" t="n"/>
      <c r="TWZ1" s="24" t="n"/>
      <c r="TXA1" s="24" t="n"/>
      <c r="TXB1" s="24" t="n"/>
      <c r="TXC1" s="24" t="n"/>
      <c r="TXD1" s="24" t="n"/>
      <c r="TXE1" s="24" t="n"/>
      <c r="TXF1" s="24" t="n"/>
      <c r="TXG1" s="24" t="n"/>
      <c r="TXH1" s="24" t="n"/>
      <c r="TXI1" s="24" t="n"/>
      <c r="TXJ1" s="24" t="n"/>
      <c r="TXK1" s="24" t="n"/>
      <c r="TXL1" s="24" t="n"/>
      <c r="TXM1" s="24" t="n"/>
      <c r="TXN1" s="24" t="n"/>
      <c r="TXO1" s="24" t="n"/>
      <c r="TXP1" s="24" t="n"/>
      <c r="TXQ1" s="24" t="n"/>
      <c r="TXR1" s="24" t="n"/>
      <c r="TXS1" s="24" t="n"/>
      <c r="TXT1" s="24" t="n"/>
      <c r="TXU1" s="24" t="n"/>
      <c r="TXV1" s="24" t="n"/>
      <c r="TXW1" s="24" t="n"/>
      <c r="TXX1" s="24" t="n"/>
      <c r="TXY1" s="24" t="n"/>
      <c r="TXZ1" s="24" t="n"/>
      <c r="TYA1" s="24" t="n"/>
      <c r="TYB1" s="24" t="n"/>
      <c r="TYC1" s="24" t="n"/>
      <c r="TYD1" s="24" t="n"/>
      <c r="TYE1" s="24" t="n"/>
      <c r="TYF1" s="24" t="n"/>
      <c r="TYG1" s="24" t="n"/>
      <c r="TYH1" s="24" t="n"/>
      <c r="TYI1" s="24" t="n"/>
      <c r="TYJ1" s="24" t="n"/>
      <c r="TYK1" s="24" t="n"/>
      <c r="TYL1" s="24" t="n"/>
      <c r="TYM1" s="24" t="n"/>
      <c r="TYN1" s="24" t="n"/>
      <c r="TYO1" s="24" t="n"/>
      <c r="TYP1" s="24" t="n"/>
      <c r="TYQ1" s="24" t="n"/>
      <c r="TYR1" s="24" t="n"/>
      <c r="TYS1" s="24" t="n"/>
      <c r="TYT1" s="24" t="n"/>
      <c r="TYU1" s="24" t="n"/>
      <c r="TYV1" s="24" t="n"/>
      <c r="TYW1" s="24" t="n"/>
      <c r="TYX1" s="24" t="n"/>
      <c r="TYY1" s="24" t="n"/>
      <c r="TYZ1" s="24" t="n"/>
      <c r="TZA1" s="24" t="n"/>
      <c r="TZB1" s="24" t="n"/>
      <c r="TZC1" s="24" t="n"/>
      <c r="TZD1" s="24" t="n"/>
      <c r="TZE1" s="24" t="n"/>
      <c r="TZF1" s="24" t="n"/>
      <c r="TZG1" s="24" t="n"/>
      <c r="TZH1" s="24" t="n"/>
      <c r="TZI1" s="24" t="n"/>
      <c r="TZJ1" s="24" t="n"/>
      <c r="TZK1" s="24" t="n"/>
      <c r="TZL1" s="24" t="n"/>
      <c r="TZM1" s="24" t="n"/>
      <c r="TZN1" s="24" t="n"/>
      <c r="TZO1" s="24" t="n"/>
      <c r="TZP1" s="24" t="n"/>
      <c r="TZQ1" s="24" t="n"/>
      <c r="TZR1" s="24" t="n"/>
      <c r="TZS1" s="24" t="n"/>
      <c r="TZT1" s="24" t="n"/>
      <c r="TZU1" s="24" t="n"/>
      <c r="TZV1" s="24" t="n"/>
      <c r="TZW1" s="24" t="n"/>
      <c r="TZX1" s="24" t="n"/>
      <c r="TZY1" s="24" t="n"/>
      <c r="TZZ1" s="24" t="n"/>
      <c r="UAA1" s="24" t="n"/>
      <c r="UAB1" s="24" t="n"/>
      <c r="UAC1" s="24" t="n"/>
      <c r="UAD1" s="24" t="n"/>
      <c r="UAE1" s="24" t="n"/>
      <c r="UAF1" s="24" t="n"/>
      <c r="UAG1" s="24" t="n"/>
      <c r="UAH1" s="24" t="n"/>
      <c r="UAI1" s="24" t="n"/>
      <c r="UAJ1" s="24" t="n"/>
      <c r="UAK1" s="24" t="n"/>
      <c r="UAL1" s="24" t="n"/>
      <c r="UAM1" s="24" t="n"/>
      <c r="UAN1" s="24" t="n"/>
      <c r="UAO1" s="24" t="n"/>
      <c r="UAP1" s="24" t="n"/>
      <c r="UAQ1" s="24" t="n"/>
      <c r="UAR1" s="24" t="n"/>
      <c r="UAS1" s="24" t="n"/>
      <c r="UAT1" s="24" t="n"/>
      <c r="UAU1" s="24" t="n"/>
      <c r="UAV1" s="24" t="n"/>
      <c r="UAW1" s="24" t="n"/>
      <c r="UAX1" s="24" t="n"/>
      <c r="UAY1" s="24" t="n"/>
      <c r="UAZ1" s="24" t="n"/>
      <c r="UBA1" s="24" t="n"/>
      <c r="UBB1" s="24" t="n"/>
      <c r="UBC1" s="24" t="n"/>
      <c r="UBD1" s="24" t="n"/>
      <c r="UBE1" s="24" t="n"/>
      <c r="UBF1" s="24" t="n"/>
      <c r="UBG1" s="24" t="n"/>
      <c r="UBH1" s="24" t="n"/>
      <c r="UBI1" s="24" t="n"/>
      <c r="UBJ1" s="24" t="n"/>
      <c r="UBK1" s="24" t="n"/>
      <c r="UBL1" s="24" t="n"/>
      <c r="UBM1" s="24" t="n"/>
      <c r="UBN1" s="24" t="n"/>
      <c r="UBO1" s="24" t="n"/>
      <c r="UBP1" s="24" t="n"/>
      <c r="UBQ1" s="24" t="n"/>
      <c r="UBR1" s="24" t="n"/>
      <c r="UBS1" s="24" t="n"/>
      <c r="UBT1" s="24" t="n"/>
      <c r="UBU1" s="24" t="n"/>
      <c r="UBV1" s="24" t="n"/>
      <c r="UBW1" s="24" t="n"/>
      <c r="UBX1" s="24" t="n"/>
      <c r="UBY1" s="24" t="n"/>
      <c r="UBZ1" s="24" t="n"/>
      <c r="UCA1" s="24" t="n"/>
      <c r="UCB1" s="24" t="n"/>
      <c r="UCC1" s="24" t="n"/>
      <c r="UCD1" s="24" t="n"/>
      <c r="UCE1" s="24" t="n"/>
      <c r="UCF1" s="24" t="n"/>
      <c r="UCG1" s="24" t="n"/>
      <c r="UCH1" s="24" t="n"/>
      <c r="UCI1" s="24" t="n"/>
      <c r="UCJ1" s="24" t="n"/>
      <c r="UCK1" s="24" t="n"/>
      <c r="UCL1" s="24" t="n"/>
      <c r="UCM1" s="24" t="n"/>
      <c r="UCN1" s="24" t="n"/>
      <c r="UCO1" s="24" t="n"/>
      <c r="UCP1" s="24" t="n"/>
      <c r="UCQ1" s="24" t="n"/>
      <c r="UCR1" s="24" t="n"/>
      <c r="UCS1" s="24" t="n"/>
      <c r="UCT1" s="24" t="n"/>
      <c r="UCU1" s="24" t="n"/>
      <c r="UCV1" s="24" t="n"/>
      <c r="UCW1" s="24" t="n"/>
      <c r="UCX1" s="24" t="n"/>
      <c r="UCY1" s="24" t="n"/>
      <c r="UCZ1" s="24" t="n"/>
      <c r="UDA1" s="24" t="n"/>
      <c r="UDB1" s="24" t="n"/>
      <c r="UDC1" s="24" t="n"/>
      <c r="UDD1" s="24" t="n"/>
      <c r="UDE1" s="24" t="n"/>
      <c r="UDF1" s="24" t="n"/>
      <c r="UDG1" s="24" t="n"/>
      <c r="UDH1" s="24" t="n"/>
      <c r="UDI1" s="24" t="n"/>
      <c r="UDJ1" s="24" t="n"/>
      <c r="UDK1" s="24" t="n"/>
      <c r="UDL1" s="24" t="n"/>
      <c r="UDM1" s="24" t="n"/>
      <c r="UDN1" s="24" t="n"/>
      <c r="UDO1" s="24" t="n"/>
      <c r="UDP1" s="24" t="n"/>
      <c r="UDQ1" s="24" t="n"/>
      <c r="UDR1" s="24" t="n"/>
      <c r="UDS1" s="24" t="n"/>
      <c r="UDT1" s="24" t="n"/>
      <c r="UDU1" s="24" t="n"/>
      <c r="UDV1" s="24" t="n"/>
      <c r="UDW1" s="24" t="n"/>
      <c r="UDX1" s="24" t="n"/>
      <c r="UDY1" s="24" t="n"/>
      <c r="UDZ1" s="24" t="n"/>
      <c r="UEA1" s="24" t="n"/>
      <c r="UEB1" s="24" t="n"/>
      <c r="UEC1" s="24" t="n"/>
      <c r="UED1" s="24" t="n"/>
      <c r="UEE1" s="24" t="n"/>
      <c r="UEF1" s="24" t="n"/>
      <c r="UEG1" s="24" t="n"/>
      <c r="UEH1" s="24" t="n"/>
      <c r="UEI1" s="24" t="n"/>
      <c r="UEJ1" s="24" t="n"/>
      <c r="UEK1" s="24" t="n"/>
      <c r="UEL1" s="24" t="n"/>
      <c r="UEM1" s="24" t="n"/>
      <c r="UEN1" s="24" t="n"/>
      <c r="UEO1" s="24" t="n"/>
      <c r="UEP1" s="24" t="n"/>
      <c r="UEQ1" s="24" t="n"/>
      <c r="UER1" s="24" t="n"/>
      <c r="UES1" s="24" t="n"/>
      <c r="UET1" s="24" t="n"/>
      <c r="UEU1" s="24" t="n"/>
      <c r="UEV1" s="24" t="n"/>
      <c r="UEW1" s="24" t="n"/>
      <c r="UEX1" s="24" t="n"/>
      <c r="UEY1" s="24" t="n"/>
      <c r="UEZ1" s="24" t="n"/>
      <c r="UFA1" s="24" t="n"/>
      <c r="UFB1" s="24" t="n"/>
      <c r="UFC1" s="24" t="n"/>
      <c r="UFD1" s="24" t="n"/>
      <c r="UFE1" s="24" t="n"/>
      <c r="UFF1" s="24" t="n"/>
      <c r="UFG1" s="24" t="n"/>
      <c r="UFH1" s="24" t="n"/>
      <c r="UFI1" s="24" t="n"/>
      <c r="UFJ1" s="24" t="n"/>
      <c r="UFK1" s="24" t="n"/>
      <c r="UFL1" s="24" t="n"/>
      <c r="UFM1" s="24" t="n"/>
      <c r="UFN1" s="24" t="n"/>
      <c r="UFO1" s="24" t="n"/>
      <c r="UFP1" s="24" t="n"/>
      <c r="UFQ1" s="24" t="n"/>
      <c r="UFR1" s="24" t="n"/>
      <c r="UFS1" s="24" t="n"/>
      <c r="UFT1" s="24" t="n"/>
      <c r="UFU1" s="24" t="n"/>
      <c r="UFV1" s="24" t="n"/>
      <c r="UFW1" s="24" t="n"/>
      <c r="UFX1" s="24" t="n"/>
      <c r="UFY1" s="24" t="n"/>
      <c r="UFZ1" s="24" t="n"/>
      <c r="UGA1" s="24" t="n"/>
      <c r="UGB1" s="24" t="n"/>
      <c r="UGC1" s="24" t="n"/>
      <c r="UGD1" s="24" t="n"/>
      <c r="UGE1" s="24" t="n"/>
      <c r="UGF1" s="24" t="n"/>
      <c r="UGG1" s="24" t="n"/>
      <c r="UGH1" s="24" t="n"/>
      <c r="UGI1" s="24" t="n"/>
      <c r="UGJ1" s="24" t="n"/>
      <c r="UGK1" s="24" t="n"/>
      <c r="UGL1" s="24" t="n"/>
      <c r="UGM1" s="24" t="n"/>
      <c r="UGN1" s="24" t="n"/>
      <c r="UGO1" s="24" t="n"/>
      <c r="UGP1" s="24" t="n"/>
      <c r="UGQ1" s="24" t="n"/>
      <c r="UGR1" s="24" t="n"/>
      <c r="UGS1" s="24" t="n"/>
      <c r="UGT1" s="24" t="n"/>
      <c r="UGU1" s="24" t="n"/>
      <c r="UGV1" s="24" t="n"/>
      <c r="UGW1" s="24" t="n"/>
      <c r="UGX1" s="24" t="n"/>
      <c r="UGY1" s="24" t="n"/>
      <c r="UGZ1" s="24" t="n"/>
      <c r="UHA1" s="24" t="n"/>
      <c r="UHB1" s="24" t="n"/>
      <c r="UHC1" s="24" t="n"/>
      <c r="UHD1" s="24" t="n"/>
      <c r="UHE1" s="24" t="n"/>
      <c r="UHF1" s="24" t="n"/>
      <c r="UHG1" s="24" t="n"/>
      <c r="UHH1" s="24" t="n"/>
      <c r="UHI1" s="24" t="n"/>
      <c r="UHJ1" s="24" t="n"/>
      <c r="UHK1" s="24" t="n"/>
      <c r="UHL1" s="24" t="n"/>
      <c r="UHM1" s="24" t="n"/>
      <c r="UHN1" s="24" t="n"/>
      <c r="UHO1" s="24" t="n"/>
      <c r="UHP1" s="24" t="n"/>
      <c r="UHQ1" s="24" t="n"/>
      <c r="UHR1" s="24" t="n"/>
      <c r="UHS1" s="24" t="n"/>
      <c r="UHT1" s="24" t="n"/>
      <c r="UHU1" s="24" t="n"/>
      <c r="UHV1" s="24" t="n"/>
      <c r="UHW1" s="24" t="n"/>
      <c r="UHX1" s="24" t="n"/>
      <c r="UHY1" s="24" t="n"/>
      <c r="UHZ1" s="24" t="n"/>
      <c r="UIA1" s="24" t="n"/>
      <c r="UIB1" s="24" t="n"/>
      <c r="UIC1" s="24" t="n"/>
      <c r="UID1" s="24" t="n"/>
      <c r="UIE1" s="24" t="n"/>
      <c r="UIF1" s="24" t="n"/>
      <c r="UIG1" s="24" t="n"/>
      <c r="UIH1" s="24" t="n"/>
      <c r="UII1" s="24" t="n"/>
      <c r="UIJ1" s="24" t="n"/>
      <c r="UIK1" s="24" t="n"/>
      <c r="UIL1" s="24" t="n"/>
      <c r="UIM1" s="24" t="n"/>
      <c r="UIN1" s="24" t="n"/>
      <c r="UIO1" s="24" t="n"/>
      <c r="UIP1" s="24" t="n"/>
      <c r="UIQ1" s="24" t="n"/>
      <c r="UIR1" s="24" t="n"/>
      <c r="UIS1" s="24" t="n"/>
      <c r="UIT1" s="24" t="n"/>
      <c r="UIU1" s="24" t="n"/>
      <c r="UIV1" s="24" t="n"/>
      <c r="UIW1" s="24" t="n"/>
      <c r="UIX1" s="24" t="n"/>
      <c r="UIY1" s="24" t="n"/>
      <c r="UIZ1" s="24" t="n"/>
      <c r="UJA1" s="24" t="n"/>
      <c r="UJB1" s="24" t="n"/>
      <c r="UJC1" s="24" t="n"/>
      <c r="UJD1" s="24" t="n"/>
      <c r="UJE1" s="24" t="n"/>
      <c r="UJF1" s="24" t="n"/>
      <c r="UJG1" s="24" t="n"/>
      <c r="UJH1" s="24" t="n"/>
      <c r="UJI1" s="24" t="n"/>
      <c r="UJJ1" s="24" t="n"/>
      <c r="UJK1" s="24" t="n"/>
      <c r="UJL1" s="24" t="n"/>
      <c r="UJM1" s="24" t="n"/>
      <c r="UJN1" s="24" t="n"/>
      <c r="UJO1" s="24" t="n"/>
      <c r="UJP1" s="24" t="n"/>
      <c r="UJQ1" s="24" t="n"/>
      <c r="UJR1" s="24" t="n"/>
      <c r="UJS1" s="24" t="n"/>
      <c r="UJT1" s="24" t="n"/>
      <c r="UJU1" s="24" t="n"/>
      <c r="UJV1" s="24" t="n"/>
      <c r="UJW1" s="24" t="n"/>
      <c r="UJX1" s="24" t="n"/>
      <c r="UJY1" s="24" t="n"/>
      <c r="UJZ1" s="24" t="n"/>
      <c r="UKA1" s="24" t="n"/>
      <c r="UKB1" s="24" t="n"/>
      <c r="UKC1" s="24" t="n"/>
      <c r="UKD1" s="24" t="n"/>
      <c r="UKE1" s="24" t="n"/>
      <c r="UKF1" s="24" t="n"/>
      <c r="UKG1" s="24" t="n"/>
      <c r="UKH1" s="24" t="n"/>
      <c r="UKI1" s="24" t="n"/>
      <c r="UKJ1" s="24" t="n"/>
      <c r="UKK1" s="24" t="n"/>
      <c r="UKL1" s="24" t="n"/>
      <c r="UKM1" s="24" t="n"/>
      <c r="UKN1" s="24" t="n"/>
      <c r="UKO1" s="24" t="n"/>
      <c r="UKP1" s="24" t="n"/>
      <c r="UKQ1" s="24" t="n"/>
      <c r="UKR1" s="24" t="n"/>
      <c r="UKS1" s="24" t="n"/>
      <c r="UKT1" s="24" t="n"/>
      <c r="UKU1" s="24" t="n"/>
      <c r="UKV1" s="24" t="n"/>
      <c r="UKW1" s="24" t="n"/>
      <c r="UKX1" s="24" t="n"/>
      <c r="UKY1" s="24" t="n"/>
      <c r="UKZ1" s="24" t="n"/>
      <c r="ULA1" s="24" t="n"/>
      <c r="ULB1" s="24" t="n"/>
      <c r="ULC1" s="24" t="n"/>
      <c r="ULD1" s="24" t="n"/>
      <c r="ULE1" s="24" t="n"/>
      <c r="ULF1" s="24" t="n"/>
      <c r="ULG1" s="24" t="n"/>
      <c r="ULH1" s="24" t="n"/>
      <c r="ULI1" s="24" t="n"/>
      <c r="ULJ1" s="24" t="n"/>
      <c r="ULK1" s="24" t="n"/>
      <c r="ULL1" s="24" t="n"/>
      <c r="ULM1" s="24" t="n"/>
      <c r="ULN1" s="24" t="n"/>
      <c r="ULO1" s="24" t="n"/>
      <c r="ULP1" s="24" t="n"/>
      <c r="ULQ1" s="24" t="n"/>
      <c r="ULR1" s="24" t="n"/>
      <c r="ULS1" s="24" t="n"/>
      <c r="ULT1" s="24" t="n"/>
      <c r="ULU1" s="24" t="n"/>
      <c r="ULV1" s="24" t="n"/>
      <c r="ULW1" s="24" t="n"/>
      <c r="ULX1" s="24" t="n"/>
      <c r="ULY1" s="24" t="n"/>
      <c r="ULZ1" s="24" t="n"/>
      <c r="UMA1" s="24" t="n"/>
      <c r="UMB1" s="24" t="n"/>
      <c r="UMC1" s="24" t="n"/>
      <c r="UMD1" s="24" t="n"/>
      <c r="UME1" s="24" t="n"/>
      <c r="UMF1" s="24" t="n"/>
      <c r="UMG1" s="24" t="n"/>
      <c r="UMH1" s="24" t="n"/>
      <c r="UMI1" s="24" t="n"/>
      <c r="UMJ1" s="24" t="n"/>
      <c r="UMK1" s="24" t="n"/>
      <c r="UML1" s="24" t="n"/>
      <c r="UMM1" s="24" t="n"/>
      <c r="UMN1" s="24" t="n"/>
      <c r="UMO1" s="24" t="n"/>
      <c r="UMP1" s="24" t="n"/>
      <c r="UMQ1" s="24" t="n"/>
      <c r="UMR1" s="24" t="n"/>
      <c r="UMS1" s="24" t="n"/>
      <c r="UMT1" s="24" t="n"/>
      <c r="UMU1" s="24" t="n"/>
      <c r="UMV1" s="24" t="n"/>
      <c r="UMW1" s="24" t="n"/>
      <c r="UMX1" s="24" t="n"/>
      <c r="UMY1" s="24" t="n"/>
      <c r="UMZ1" s="24" t="n"/>
      <c r="UNA1" s="24" t="n"/>
      <c r="UNB1" s="24" t="n"/>
      <c r="UNC1" s="24" t="n"/>
      <c r="UND1" s="24" t="n"/>
      <c r="UNE1" s="24" t="n"/>
      <c r="UNF1" s="24" t="n"/>
      <c r="UNG1" s="24" t="n"/>
      <c r="UNH1" s="24" t="n"/>
      <c r="UNI1" s="24" t="n"/>
      <c r="UNJ1" s="24" t="n"/>
      <c r="UNK1" s="24" t="n"/>
      <c r="UNL1" s="24" t="n"/>
      <c r="UNM1" s="24" t="n"/>
      <c r="UNN1" s="24" t="n"/>
      <c r="UNO1" s="24" t="n"/>
      <c r="UNP1" s="24" t="n"/>
      <c r="UNQ1" s="24" t="n"/>
      <c r="UNR1" s="24" t="n"/>
      <c r="UNS1" s="24" t="n"/>
      <c r="UNT1" s="24" t="n"/>
      <c r="UNU1" s="24" t="n"/>
      <c r="UNV1" s="24" t="n"/>
      <c r="UNW1" s="24" t="n"/>
      <c r="UNX1" s="24" t="n"/>
      <c r="UNY1" s="24" t="n"/>
      <c r="UNZ1" s="24" t="n"/>
      <c r="UOA1" s="24" t="n"/>
      <c r="UOB1" s="24" t="n"/>
      <c r="UOC1" s="24" t="n"/>
      <c r="UOD1" s="24" t="n"/>
      <c r="UOE1" s="24" t="n"/>
      <c r="UOF1" s="24" t="n"/>
      <c r="UOG1" s="24" t="n"/>
      <c r="UOH1" s="24" t="n"/>
      <c r="UOI1" s="24" t="n"/>
      <c r="UOJ1" s="24" t="n"/>
      <c r="UOK1" s="24" t="n"/>
      <c r="UOL1" s="24" t="n"/>
      <c r="UOM1" s="24" t="n"/>
      <c r="UON1" s="24" t="n"/>
      <c r="UOO1" s="24" t="n"/>
      <c r="UOP1" s="24" t="n"/>
      <c r="UOQ1" s="24" t="n"/>
      <c r="UOR1" s="24" t="n"/>
      <c r="UOS1" s="24" t="n"/>
      <c r="UOT1" s="24" t="n"/>
      <c r="UOU1" s="24" t="n"/>
      <c r="UOV1" s="24" t="n"/>
      <c r="UOW1" s="24" t="n"/>
      <c r="UOX1" s="24" t="n"/>
      <c r="UOY1" s="24" t="n"/>
      <c r="UOZ1" s="24" t="n"/>
      <c r="UPA1" s="24" t="n"/>
      <c r="UPB1" s="24" t="n"/>
      <c r="UPC1" s="24" t="n"/>
      <c r="UPD1" s="24" t="n"/>
      <c r="UPE1" s="24" t="n"/>
      <c r="UPF1" s="24" t="n"/>
      <c r="UPG1" s="24" t="n"/>
      <c r="UPH1" s="24" t="n"/>
      <c r="UPI1" s="24" t="n"/>
      <c r="UPJ1" s="24" t="n"/>
      <c r="UPK1" s="24" t="n"/>
      <c r="UPL1" s="24" t="n"/>
      <c r="UPM1" s="24" t="n"/>
      <c r="UPN1" s="24" t="n"/>
      <c r="UPO1" s="24" t="n"/>
      <c r="UPP1" s="24" t="n"/>
      <c r="UPQ1" s="24" t="n"/>
      <c r="UPR1" s="24" t="n"/>
      <c r="UPS1" s="24" t="n"/>
      <c r="UPT1" s="24" t="n"/>
      <c r="UPU1" s="24" t="n"/>
      <c r="UPV1" s="24" t="n"/>
      <c r="UPW1" s="24" t="n"/>
      <c r="UPX1" s="24" t="n"/>
      <c r="UPY1" s="24" t="n"/>
      <c r="UPZ1" s="24" t="n"/>
      <c r="UQA1" s="24" t="n"/>
      <c r="UQB1" s="24" t="n"/>
      <c r="UQC1" s="24" t="n"/>
      <c r="UQD1" s="24" t="n"/>
      <c r="UQE1" s="24" t="n"/>
      <c r="UQF1" s="24" t="n"/>
      <c r="UQG1" s="24" t="n"/>
      <c r="UQH1" s="24" t="n"/>
      <c r="UQI1" s="24" t="n"/>
      <c r="UQJ1" s="24" t="n"/>
      <c r="UQK1" s="24" t="n"/>
      <c r="UQL1" s="24" t="n"/>
      <c r="UQM1" s="24" t="n"/>
      <c r="UQN1" s="24" t="n"/>
      <c r="UQO1" s="24" t="n"/>
      <c r="UQP1" s="24" t="n"/>
      <c r="UQQ1" s="24" t="n"/>
      <c r="UQR1" s="24" t="n"/>
      <c r="UQS1" s="24" t="n"/>
      <c r="UQT1" s="24" t="n"/>
      <c r="UQU1" s="24" t="n"/>
      <c r="UQV1" s="24" t="n"/>
      <c r="UQW1" s="24" t="n"/>
      <c r="UQX1" s="24" t="n"/>
      <c r="UQY1" s="24" t="n"/>
      <c r="UQZ1" s="24" t="n"/>
      <c r="URA1" s="24" t="n"/>
      <c r="URB1" s="24" t="n"/>
      <c r="URC1" s="24" t="n"/>
      <c r="URD1" s="24" t="n"/>
      <c r="URE1" s="24" t="n"/>
      <c r="URF1" s="24" t="n"/>
      <c r="URG1" s="24" t="n"/>
      <c r="URH1" s="24" t="n"/>
      <c r="URI1" s="24" t="n"/>
      <c r="URJ1" s="24" t="n"/>
      <c r="URK1" s="24" t="n"/>
      <c r="URL1" s="24" t="n"/>
      <c r="URM1" s="24" t="n"/>
      <c r="URN1" s="24" t="n"/>
      <c r="URO1" s="24" t="n"/>
      <c r="URP1" s="24" t="n"/>
      <c r="URQ1" s="24" t="n"/>
      <c r="URR1" s="24" t="n"/>
      <c r="URS1" s="24" t="n"/>
      <c r="URT1" s="24" t="n"/>
      <c r="URU1" s="24" t="n"/>
      <c r="URV1" s="24" t="n"/>
      <c r="URW1" s="24" t="n"/>
      <c r="URX1" s="24" t="n"/>
      <c r="URY1" s="24" t="n"/>
      <c r="URZ1" s="24" t="n"/>
      <c r="USA1" s="24" t="n"/>
      <c r="USB1" s="24" t="n"/>
      <c r="USC1" s="24" t="n"/>
      <c r="USD1" s="24" t="n"/>
      <c r="USE1" s="24" t="n"/>
      <c r="USF1" s="24" t="n"/>
      <c r="USG1" s="24" t="n"/>
      <c r="USH1" s="24" t="n"/>
      <c r="USI1" s="24" t="n"/>
      <c r="USJ1" s="24" t="n"/>
      <c r="USK1" s="24" t="n"/>
      <c r="USL1" s="24" t="n"/>
      <c r="USM1" s="24" t="n"/>
      <c r="USN1" s="24" t="n"/>
      <c r="USO1" s="24" t="n"/>
      <c r="USP1" s="24" t="n"/>
      <c r="USQ1" s="24" t="n"/>
      <c r="USR1" s="24" t="n"/>
      <c r="USS1" s="24" t="n"/>
      <c r="UST1" s="24" t="n"/>
      <c r="USU1" s="24" t="n"/>
      <c r="USV1" s="24" t="n"/>
      <c r="USW1" s="24" t="n"/>
      <c r="USX1" s="24" t="n"/>
      <c r="USY1" s="24" t="n"/>
      <c r="USZ1" s="24" t="n"/>
      <c r="UTA1" s="24" t="n"/>
      <c r="UTB1" s="24" t="n"/>
      <c r="UTC1" s="24" t="n"/>
      <c r="UTD1" s="24" t="n"/>
      <c r="UTE1" s="24" t="n"/>
      <c r="UTF1" s="24" t="n"/>
      <c r="UTG1" s="24" t="n"/>
      <c r="UTH1" s="24" t="n"/>
      <c r="UTI1" s="24" t="n"/>
      <c r="UTJ1" s="24" t="n"/>
      <c r="UTK1" s="24" t="n"/>
      <c r="UTL1" s="24" t="n"/>
      <c r="UTM1" s="24" t="n"/>
      <c r="UTN1" s="24" t="n"/>
      <c r="UTO1" s="24" t="n"/>
      <c r="UTP1" s="24" t="n"/>
      <c r="UTQ1" s="24" t="n"/>
      <c r="UTR1" s="24" t="n"/>
      <c r="UTS1" s="24" t="n"/>
      <c r="UTT1" s="24" t="n"/>
      <c r="UTU1" s="24" t="n"/>
      <c r="UTV1" s="24" t="n"/>
      <c r="UTW1" s="24" t="n"/>
      <c r="UTX1" s="24" t="n"/>
      <c r="UTY1" s="24" t="n"/>
      <c r="UTZ1" s="24" t="n"/>
      <c r="UUA1" s="24" t="n"/>
      <c r="UUB1" s="24" t="n"/>
      <c r="UUC1" s="24" t="n"/>
      <c r="UUD1" s="24" t="n"/>
      <c r="UUE1" s="24" t="n"/>
      <c r="UUF1" s="24" t="n"/>
      <c r="UUG1" s="24" t="n"/>
      <c r="UUH1" s="24" t="n"/>
      <c r="UUI1" s="24" t="n"/>
      <c r="UUJ1" s="24" t="n"/>
      <c r="UUK1" s="24" t="n"/>
      <c r="UUL1" s="24" t="n"/>
      <c r="UUM1" s="24" t="n"/>
      <c r="UUN1" s="24" t="n"/>
      <c r="UUO1" s="24" t="n"/>
      <c r="UUP1" s="24" t="n"/>
      <c r="UUQ1" s="24" t="n"/>
      <c r="UUR1" s="24" t="n"/>
      <c r="UUS1" s="24" t="n"/>
      <c r="UUT1" s="24" t="n"/>
      <c r="UUU1" s="24" t="n"/>
      <c r="UUV1" s="24" t="n"/>
      <c r="UUW1" s="24" t="n"/>
      <c r="UUX1" s="24" t="n"/>
      <c r="UUY1" s="24" t="n"/>
      <c r="UUZ1" s="24" t="n"/>
      <c r="UVA1" s="24" t="n"/>
      <c r="UVB1" s="24" t="n"/>
      <c r="UVC1" s="24" t="n"/>
      <c r="UVD1" s="24" t="n"/>
      <c r="UVE1" s="24" t="n"/>
      <c r="UVF1" s="24" t="n"/>
      <c r="UVG1" s="24" t="n"/>
      <c r="UVH1" s="24" t="n"/>
      <c r="UVI1" s="24" t="n"/>
      <c r="UVJ1" s="24" t="n"/>
      <c r="UVK1" s="24" t="n"/>
      <c r="UVL1" s="24" t="n"/>
      <c r="UVM1" s="24" t="n"/>
      <c r="UVN1" s="24" t="n"/>
      <c r="UVO1" s="24" t="n"/>
      <c r="UVP1" s="24" t="n"/>
      <c r="UVQ1" s="24" t="n"/>
      <c r="UVR1" s="24" t="n"/>
      <c r="UVS1" s="24" t="n"/>
      <c r="UVT1" s="24" t="n"/>
      <c r="UVU1" s="24" t="n"/>
      <c r="UVV1" s="24" t="n"/>
      <c r="UVW1" s="24" t="n"/>
      <c r="UVX1" s="24" t="n"/>
      <c r="UVY1" s="24" t="n"/>
      <c r="UVZ1" s="24" t="n"/>
      <c r="UWA1" s="24" t="n"/>
      <c r="UWB1" s="24" t="n"/>
      <c r="UWC1" s="24" t="n"/>
      <c r="UWD1" s="24" t="n"/>
      <c r="UWE1" s="24" t="n"/>
      <c r="UWF1" s="24" t="n"/>
      <c r="UWG1" s="24" t="n"/>
      <c r="UWH1" s="24" t="n"/>
      <c r="UWI1" s="24" t="n"/>
      <c r="UWJ1" s="24" t="n"/>
      <c r="UWK1" s="24" t="n"/>
      <c r="UWL1" s="24" t="n"/>
      <c r="UWM1" s="24" t="n"/>
      <c r="UWN1" s="24" t="n"/>
      <c r="UWO1" s="24" t="n"/>
      <c r="UWP1" s="24" t="n"/>
      <c r="UWQ1" s="24" t="n"/>
      <c r="UWR1" s="24" t="n"/>
      <c r="UWS1" s="24" t="n"/>
      <c r="UWT1" s="24" t="n"/>
      <c r="UWU1" s="24" t="n"/>
      <c r="UWV1" s="24" t="n"/>
      <c r="UWW1" s="24" t="n"/>
      <c r="UWX1" s="24" t="n"/>
      <c r="UWY1" s="24" t="n"/>
      <c r="UWZ1" s="24" t="n"/>
      <c r="UXA1" s="24" t="n"/>
      <c r="UXB1" s="24" t="n"/>
      <c r="UXC1" s="24" t="n"/>
      <c r="UXD1" s="24" t="n"/>
      <c r="UXE1" s="24" t="n"/>
      <c r="UXF1" s="24" t="n"/>
      <c r="UXG1" s="24" t="n"/>
      <c r="UXH1" s="24" t="n"/>
      <c r="UXI1" s="24" t="n"/>
      <c r="UXJ1" s="24" t="n"/>
      <c r="UXK1" s="24" t="n"/>
      <c r="UXL1" s="24" t="n"/>
      <c r="UXM1" s="24" t="n"/>
      <c r="UXN1" s="24" t="n"/>
      <c r="UXO1" s="24" t="n"/>
      <c r="UXP1" s="24" t="n"/>
      <c r="UXQ1" s="24" t="n"/>
      <c r="UXR1" s="24" t="n"/>
      <c r="UXS1" s="24" t="n"/>
      <c r="UXT1" s="24" t="n"/>
      <c r="UXU1" s="24" t="n"/>
      <c r="UXV1" s="24" t="n"/>
      <c r="UXW1" s="24" t="n"/>
      <c r="UXX1" s="24" t="n"/>
      <c r="UXY1" s="24" t="n"/>
      <c r="UXZ1" s="24" t="n"/>
      <c r="UYA1" s="24" t="n"/>
      <c r="UYB1" s="24" t="n"/>
      <c r="UYC1" s="24" t="n"/>
      <c r="UYD1" s="24" t="n"/>
      <c r="UYE1" s="24" t="n"/>
      <c r="UYF1" s="24" t="n"/>
      <c r="UYG1" s="24" t="n"/>
      <c r="UYH1" s="24" t="n"/>
      <c r="UYI1" s="24" t="n"/>
      <c r="UYJ1" s="24" t="n"/>
      <c r="UYK1" s="24" t="n"/>
      <c r="UYL1" s="24" t="n"/>
      <c r="UYM1" s="24" t="n"/>
      <c r="UYN1" s="24" t="n"/>
      <c r="UYO1" s="24" t="n"/>
      <c r="UYP1" s="24" t="n"/>
      <c r="UYQ1" s="24" t="n"/>
      <c r="UYR1" s="24" t="n"/>
      <c r="UYS1" s="24" t="n"/>
      <c r="UYT1" s="24" t="n"/>
      <c r="UYU1" s="24" t="n"/>
      <c r="UYV1" s="24" t="n"/>
      <c r="UYW1" s="24" t="n"/>
      <c r="UYX1" s="24" t="n"/>
      <c r="UYY1" s="24" t="n"/>
      <c r="UYZ1" s="24" t="n"/>
      <c r="UZA1" s="24" t="n"/>
      <c r="UZB1" s="24" t="n"/>
      <c r="UZC1" s="24" t="n"/>
      <c r="UZD1" s="24" t="n"/>
      <c r="UZE1" s="24" t="n"/>
      <c r="UZF1" s="24" t="n"/>
      <c r="UZG1" s="24" t="n"/>
      <c r="UZH1" s="24" t="n"/>
      <c r="UZI1" s="24" t="n"/>
      <c r="UZJ1" s="24" t="n"/>
      <c r="UZK1" s="24" t="n"/>
      <c r="UZL1" s="24" t="n"/>
      <c r="UZM1" s="24" t="n"/>
      <c r="UZN1" s="24" t="n"/>
      <c r="UZO1" s="24" t="n"/>
      <c r="UZP1" s="24" t="n"/>
      <c r="UZQ1" s="24" t="n"/>
      <c r="UZR1" s="24" t="n"/>
      <c r="UZS1" s="24" t="n"/>
      <c r="UZT1" s="24" t="n"/>
      <c r="UZU1" s="24" t="n"/>
      <c r="UZV1" s="24" t="n"/>
      <c r="UZW1" s="24" t="n"/>
      <c r="UZX1" s="24" t="n"/>
      <c r="UZY1" s="24" t="n"/>
      <c r="UZZ1" s="24" t="n"/>
      <c r="VAA1" s="24" t="n"/>
      <c r="VAB1" s="24" t="n"/>
      <c r="VAC1" s="24" t="n"/>
      <c r="VAD1" s="24" t="n"/>
      <c r="VAE1" s="24" t="n"/>
      <c r="VAF1" s="24" t="n"/>
      <c r="VAG1" s="24" t="n"/>
      <c r="VAH1" s="24" t="n"/>
      <c r="VAI1" s="24" t="n"/>
      <c r="VAJ1" s="24" t="n"/>
      <c r="VAK1" s="24" t="n"/>
      <c r="VAL1" s="24" t="n"/>
      <c r="VAM1" s="24" t="n"/>
      <c r="VAN1" s="24" t="n"/>
      <c r="VAO1" s="24" t="n"/>
      <c r="VAP1" s="24" t="n"/>
      <c r="VAQ1" s="24" t="n"/>
      <c r="VAR1" s="24" t="n"/>
      <c r="VAS1" s="24" t="n"/>
      <c r="VAT1" s="24" t="n"/>
      <c r="VAU1" s="24" t="n"/>
      <c r="VAV1" s="24" t="n"/>
      <c r="VAW1" s="24" t="n"/>
      <c r="VAX1" s="24" t="n"/>
      <c r="VAY1" s="24" t="n"/>
      <c r="VAZ1" s="24" t="n"/>
      <c r="VBA1" s="24" t="n"/>
      <c r="VBB1" s="24" t="n"/>
      <c r="VBC1" s="24" t="n"/>
      <c r="VBD1" s="24" t="n"/>
      <c r="VBE1" s="24" t="n"/>
      <c r="VBF1" s="24" t="n"/>
      <c r="VBG1" s="24" t="n"/>
      <c r="VBH1" s="24" t="n"/>
      <c r="VBI1" s="24" t="n"/>
      <c r="VBJ1" s="24" t="n"/>
      <c r="VBK1" s="24" t="n"/>
      <c r="VBL1" s="24" t="n"/>
      <c r="VBM1" s="24" t="n"/>
      <c r="VBN1" s="24" t="n"/>
      <c r="VBO1" s="24" t="n"/>
      <c r="VBP1" s="24" t="n"/>
      <c r="VBQ1" s="24" t="n"/>
      <c r="VBR1" s="24" t="n"/>
      <c r="VBS1" s="24" t="n"/>
      <c r="VBT1" s="24" t="n"/>
      <c r="VBU1" s="24" t="n"/>
      <c r="VBV1" s="24" t="n"/>
      <c r="VBW1" s="24" t="n"/>
      <c r="VBX1" s="24" t="n"/>
      <c r="VBY1" s="24" t="n"/>
      <c r="VBZ1" s="24" t="n"/>
      <c r="VCA1" s="24" t="n"/>
      <c r="VCB1" s="24" t="n"/>
      <c r="VCC1" s="24" t="n"/>
      <c r="VCD1" s="24" t="n"/>
      <c r="VCE1" s="24" t="n"/>
      <c r="VCF1" s="24" t="n"/>
      <c r="VCG1" s="24" t="n"/>
      <c r="VCH1" s="24" t="n"/>
      <c r="VCI1" s="24" t="n"/>
      <c r="VCJ1" s="24" t="n"/>
      <c r="VCK1" s="24" t="n"/>
      <c r="VCL1" s="24" t="n"/>
      <c r="VCM1" s="24" t="n"/>
      <c r="VCN1" s="24" t="n"/>
      <c r="VCO1" s="24" t="n"/>
      <c r="VCP1" s="24" t="n"/>
      <c r="VCQ1" s="24" t="n"/>
      <c r="VCR1" s="24" t="n"/>
      <c r="VCS1" s="24" t="n"/>
      <c r="VCT1" s="24" t="n"/>
      <c r="VCU1" s="24" t="n"/>
      <c r="VCV1" s="24" t="n"/>
      <c r="VCW1" s="24" t="n"/>
      <c r="VCX1" s="24" t="n"/>
      <c r="VCY1" s="24" t="n"/>
      <c r="VCZ1" s="24" t="n"/>
      <c r="VDA1" s="24" t="n"/>
      <c r="VDB1" s="24" t="n"/>
      <c r="VDC1" s="24" t="n"/>
      <c r="VDD1" s="24" t="n"/>
      <c r="VDE1" s="24" t="n"/>
      <c r="VDF1" s="24" t="n"/>
      <c r="VDG1" s="24" t="n"/>
      <c r="VDH1" s="24" t="n"/>
      <c r="VDI1" s="24" t="n"/>
      <c r="VDJ1" s="24" t="n"/>
      <c r="VDK1" s="24" t="n"/>
      <c r="VDL1" s="24" t="n"/>
      <c r="VDM1" s="24" t="n"/>
      <c r="VDN1" s="24" t="n"/>
      <c r="VDO1" s="24" t="n"/>
      <c r="VDP1" s="24" t="n"/>
      <c r="VDQ1" s="24" t="n"/>
      <c r="VDR1" s="24" t="n"/>
      <c r="VDS1" s="24" t="n"/>
      <c r="VDT1" s="24" t="n"/>
      <c r="VDU1" s="24" t="n"/>
      <c r="VDV1" s="24" t="n"/>
      <c r="VDW1" s="24" t="n"/>
      <c r="VDX1" s="24" t="n"/>
      <c r="VDY1" s="24" t="n"/>
      <c r="VDZ1" s="24" t="n"/>
      <c r="VEA1" s="24" t="n"/>
      <c r="VEB1" s="24" t="n"/>
      <c r="VEC1" s="24" t="n"/>
      <c r="VED1" s="24" t="n"/>
      <c r="VEE1" s="24" t="n"/>
      <c r="VEF1" s="24" t="n"/>
      <c r="VEG1" s="24" t="n"/>
      <c r="VEH1" s="24" t="n"/>
      <c r="VEI1" s="24" t="n"/>
      <c r="VEJ1" s="24" t="n"/>
      <c r="VEK1" s="24" t="n"/>
      <c r="VEL1" s="24" t="n"/>
      <c r="VEM1" s="24" t="n"/>
      <c r="VEN1" s="24" t="n"/>
      <c r="VEO1" s="24" t="n"/>
      <c r="VEP1" s="24" t="n"/>
      <c r="VEQ1" s="24" t="n"/>
      <c r="VER1" s="24" t="n"/>
      <c r="VES1" s="24" t="n"/>
      <c r="VET1" s="24" t="n"/>
      <c r="VEU1" s="24" t="n"/>
      <c r="VEV1" s="24" t="n"/>
      <c r="VEW1" s="24" t="n"/>
      <c r="VEX1" s="24" t="n"/>
      <c r="VEY1" s="24" t="n"/>
      <c r="VEZ1" s="24" t="n"/>
      <c r="VFA1" s="24" t="n"/>
      <c r="VFB1" s="24" t="n"/>
      <c r="VFC1" s="24" t="n"/>
      <c r="VFD1" s="24" t="n"/>
      <c r="VFE1" s="24" t="n"/>
      <c r="VFF1" s="24" t="n"/>
      <c r="VFG1" s="24" t="n"/>
      <c r="VFH1" s="24" t="n"/>
      <c r="VFI1" s="24" t="n"/>
      <c r="VFJ1" s="24" t="n"/>
      <c r="VFK1" s="24" t="n"/>
      <c r="VFL1" s="24" t="n"/>
      <c r="VFM1" s="24" t="n"/>
      <c r="VFN1" s="24" t="n"/>
      <c r="VFO1" s="24" t="n"/>
      <c r="VFP1" s="24" t="n"/>
      <c r="VFQ1" s="24" t="n"/>
      <c r="VFR1" s="24" t="n"/>
      <c r="VFS1" s="24" t="n"/>
      <c r="VFT1" s="24" t="n"/>
      <c r="VFU1" s="24" t="n"/>
      <c r="VFV1" s="24" t="n"/>
      <c r="VFW1" s="24" t="n"/>
      <c r="VFX1" s="24" t="n"/>
      <c r="VFY1" s="24" t="n"/>
      <c r="VFZ1" s="24" t="n"/>
      <c r="VGA1" s="24" t="n"/>
      <c r="VGB1" s="24" t="n"/>
      <c r="VGC1" s="24" t="n"/>
      <c r="VGD1" s="24" t="n"/>
      <c r="VGE1" s="24" t="n"/>
      <c r="VGF1" s="24" t="n"/>
      <c r="VGG1" s="24" t="n"/>
      <c r="VGH1" s="24" t="n"/>
      <c r="VGI1" s="24" t="n"/>
      <c r="VGJ1" s="24" t="n"/>
      <c r="VGK1" s="24" t="n"/>
      <c r="VGL1" s="24" t="n"/>
      <c r="VGM1" s="24" t="n"/>
      <c r="VGN1" s="24" t="n"/>
      <c r="VGO1" s="24" t="n"/>
      <c r="VGP1" s="24" t="n"/>
      <c r="VGQ1" s="24" t="n"/>
      <c r="VGR1" s="24" t="n"/>
      <c r="VGS1" s="24" t="n"/>
      <c r="VGT1" s="24" t="n"/>
      <c r="VGU1" s="24" t="n"/>
      <c r="VGV1" s="24" t="n"/>
      <c r="VGW1" s="24" t="n"/>
      <c r="VGX1" s="24" t="n"/>
      <c r="VGY1" s="24" t="n"/>
      <c r="VGZ1" s="24" t="n"/>
      <c r="VHA1" s="24" t="n"/>
      <c r="VHB1" s="24" t="n"/>
      <c r="VHC1" s="24" t="n"/>
      <c r="VHD1" s="24" t="n"/>
      <c r="VHE1" s="24" t="n"/>
      <c r="VHF1" s="24" t="n"/>
      <c r="VHG1" s="24" t="n"/>
      <c r="VHH1" s="24" t="n"/>
      <c r="VHI1" s="24" t="n"/>
      <c r="VHJ1" s="24" t="n"/>
      <c r="VHK1" s="24" t="n"/>
      <c r="VHL1" s="24" t="n"/>
      <c r="VHM1" s="24" t="n"/>
      <c r="VHN1" s="24" t="n"/>
      <c r="VHO1" s="24" t="n"/>
      <c r="VHP1" s="24" t="n"/>
      <c r="VHQ1" s="24" t="n"/>
      <c r="VHR1" s="24" t="n"/>
      <c r="VHS1" s="24" t="n"/>
      <c r="VHT1" s="24" t="n"/>
      <c r="VHU1" s="24" t="n"/>
      <c r="VHV1" s="24" t="n"/>
      <c r="VHW1" s="24" t="n"/>
      <c r="VHX1" s="24" t="n"/>
      <c r="VHY1" s="24" t="n"/>
      <c r="VHZ1" s="24" t="n"/>
      <c r="VIA1" s="24" t="n"/>
      <c r="VIB1" s="24" t="n"/>
      <c r="VIC1" s="24" t="n"/>
      <c r="VID1" s="24" t="n"/>
      <c r="VIE1" s="24" t="n"/>
      <c r="VIF1" s="24" t="n"/>
      <c r="VIG1" s="24" t="n"/>
      <c r="VIH1" s="24" t="n"/>
      <c r="VII1" s="24" t="n"/>
      <c r="VIJ1" s="24" t="n"/>
      <c r="VIK1" s="24" t="n"/>
      <c r="VIL1" s="24" t="n"/>
      <c r="VIM1" s="24" t="n"/>
      <c r="VIN1" s="24" t="n"/>
      <c r="VIO1" s="24" t="n"/>
      <c r="VIP1" s="24" t="n"/>
      <c r="VIQ1" s="24" t="n"/>
      <c r="VIR1" s="24" t="n"/>
      <c r="VIS1" s="24" t="n"/>
      <c r="VIT1" s="24" t="n"/>
      <c r="VIU1" s="24" t="n"/>
      <c r="VIV1" s="24" t="n"/>
      <c r="VIW1" s="24" t="n"/>
      <c r="VIX1" s="24" t="n"/>
      <c r="VIY1" s="24" t="n"/>
      <c r="VIZ1" s="24" t="n"/>
      <c r="VJA1" s="24" t="n"/>
      <c r="VJB1" s="24" t="n"/>
      <c r="VJC1" s="24" t="n"/>
      <c r="VJD1" s="24" t="n"/>
      <c r="VJE1" s="24" t="n"/>
      <c r="VJF1" s="24" t="n"/>
      <c r="VJG1" s="24" t="n"/>
      <c r="VJH1" s="24" t="n"/>
      <c r="VJI1" s="24" t="n"/>
      <c r="VJJ1" s="24" t="n"/>
      <c r="VJK1" s="24" t="n"/>
      <c r="VJL1" s="24" t="n"/>
      <c r="VJM1" s="24" t="n"/>
      <c r="VJN1" s="24" t="n"/>
      <c r="VJO1" s="24" t="n"/>
      <c r="VJP1" s="24" t="n"/>
      <c r="VJQ1" s="24" t="n"/>
      <c r="VJR1" s="24" t="n"/>
      <c r="VJS1" s="24" t="n"/>
      <c r="VJT1" s="24" t="n"/>
      <c r="VJU1" s="24" t="n"/>
      <c r="VJV1" s="24" t="n"/>
      <c r="VJW1" s="24" t="n"/>
      <c r="VJX1" s="24" t="n"/>
      <c r="VJY1" s="24" t="n"/>
      <c r="VJZ1" s="24" t="n"/>
      <c r="VKA1" s="24" t="n"/>
      <c r="VKB1" s="24" t="n"/>
      <c r="VKC1" s="24" t="n"/>
      <c r="VKD1" s="24" t="n"/>
      <c r="VKE1" s="24" t="n"/>
      <c r="VKF1" s="24" t="n"/>
      <c r="VKG1" s="24" t="n"/>
      <c r="VKH1" s="24" t="n"/>
      <c r="VKI1" s="24" t="n"/>
      <c r="VKJ1" s="24" t="n"/>
      <c r="VKK1" s="24" t="n"/>
      <c r="VKL1" s="24" t="n"/>
      <c r="VKM1" s="24" t="n"/>
      <c r="VKN1" s="24" t="n"/>
      <c r="VKO1" s="24" t="n"/>
      <c r="VKP1" s="24" t="n"/>
      <c r="VKQ1" s="24" t="n"/>
      <c r="VKR1" s="24" t="n"/>
      <c r="VKS1" s="24" t="n"/>
      <c r="VKT1" s="24" t="n"/>
      <c r="VKU1" s="24" t="n"/>
      <c r="VKV1" s="24" t="n"/>
      <c r="VKW1" s="24" t="n"/>
      <c r="VKX1" s="24" t="n"/>
      <c r="VKY1" s="24" t="n"/>
      <c r="VKZ1" s="24" t="n"/>
      <c r="VLA1" s="24" t="n"/>
      <c r="VLB1" s="24" t="n"/>
      <c r="VLC1" s="24" t="n"/>
      <c r="VLD1" s="24" t="n"/>
      <c r="VLE1" s="24" t="n"/>
      <c r="VLF1" s="24" t="n"/>
      <c r="VLG1" s="24" t="n"/>
      <c r="VLH1" s="24" t="n"/>
      <c r="VLI1" s="24" t="n"/>
      <c r="VLJ1" s="24" t="n"/>
      <c r="VLK1" s="24" t="n"/>
      <c r="VLL1" s="24" t="n"/>
      <c r="VLM1" s="24" t="n"/>
      <c r="VLN1" s="24" t="n"/>
      <c r="VLO1" s="24" t="n"/>
      <c r="VLP1" s="24" t="n"/>
      <c r="VLQ1" s="24" t="n"/>
      <c r="VLR1" s="24" t="n"/>
      <c r="VLS1" s="24" t="n"/>
      <c r="VLT1" s="24" t="n"/>
      <c r="VLU1" s="24" t="n"/>
      <c r="VLV1" s="24" t="n"/>
      <c r="VLW1" s="24" t="n"/>
      <c r="VLX1" s="24" t="n"/>
      <c r="VLY1" s="24" t="n"/>
      <c r="VLZ1" s="24" t="n"/>
      <c r="VMA1" s="24" t="n"/>
      <c r="VMB1" s="24" t="n"/>
      <c r="VMC1" s="24" t="n"/>
      <c r="VMD1" s="24" t="n"/>
      <c r="VME1" s="24" t="n"/>
      <c r="VMF1" s="24" t="n"/>
      <c r="VMG1" s="24" t="n"/>
      <c r="VMH1" s="24" t="n"/>
      <c r="VMI1" s="24" t="n"/>
      <c r="VMJ1" s="24" t="n"/>
      <c r="VMK1" s="24" t="n"/>
      <c r="VML1" s="24" t="n"/>
      <c r="VMM1" s="24" t="n"/>
      <c r="VMN1" s="24" t="n"/>
      <c r="VMO1" s="24" t="n"/>
      <c r="VMP1" s="24" t="n"/>
      <c r="VMQ1" s="24" t="n"/>
      <c r="VMR1" s="24" t="n"/>
      <c r="VMS1" s="24" t="n"/>
      <c r="VMT1" s="24" t="n"/>
      <c r="VMU1" s="24" t="n"/>
      <c r="VMV1" s="24" t="n"/>
      <c r="VMW1" s="24" t="n"/>
      <c r="VMX1" s="24" t="n"/>
      <c r="VMY1" s="24" t="n"/>
      <c r="VMZ1" s="24" t="n"/>
      <c r="VNA1" s="24" t="n"/>
      <c r="VNB1" s="24" t="n"/>
      <c r="VNC1" s="24" t="n"/>
      <c r="VND1" s="24" t="n"/>
      <c r="VNE1" s="24" t="n"/>
      <c r="VNF1" s="24" t="n"/>
      <c r="VNG1" s="24" t="n"/>
      <c r="VNH1" s="24" t="n"/>
      <c r="VNI1" s="24" t="n"/>
      <c r="VNJ1" s="24" t="n"/>
      <c r="VNK1" s="24" t="n"/>
      <c r="VNL1" s="24" t="n"/>
      <c r="VNM1" s="24" t="n"/>
      <c r="VNN1" s="24" t="n"/>
      <c r="VNO1" s="24" t="n"/>
      <c r="VNP1" s="24" t="n"/>
      <c r="VNQ1" s="24" t="n"/>
      <c r="VNR1" s="24" t="n"/>
      <c r="VNS1" s="24" t="n"/>
      <c r="VNT1" s="24" t="n"/>
      <c r="VNU1" s="24" t="n"/>
      <c r="VNV1" s="24" t="n"/>
      <c r="VNW1" s="24" t="n"/>
      <c r="VNX1" s="24" t="n"/>
      <c r="VNY1" s="24" t="n"/>
      <c r="VNZ1" s="24" t="n"/>
      <c r="VOA1" s="24" t="n"/>
      <c r="VOB1" s="24" t="n"/>
      <c r="VOC1" s="24" t="n"/>
      <c r="VOD1" s="24" t="n"/>
      <c r="VOE1" s="24" t="n"/>
      <c r="VOF1" s="24" t="n"/>
      <c r="VOG1" s="24" t="n"/>
      <c r="VOH1" s="24" t="n"/>
      <c r="VOI1" s="24" t="n"/>
      <c r="VOJ1" s="24" t="n"/>
      <c r="VOK1" s="24" t="n"/>
      <c r="VOL1" s="24" t="n"/>
      <c r="VOM1" s="24" t="n"/>
      <c r="VON1" s="24" t="n"/>
      <c r="VOO1" s="24" t="n"/>
      <c r="VOP1" s="24" t="n"/>
      <c r="VOQ1" s="24" t="n"/>
      <c r="VOR1" s="24" t="n"/>
      <c r="VOS1" s="24" t="n"/>
      <c r="VOT1" s="24" t="n"/>
      <c r="VOU1" s="24" t="n"/>
      <c r="VOV1" s="24" t="n"/>
      <c r="VOW1" s="24" t="n"/>
      <c r="VOX1" s="24" t="n"/>
      <c r="VOY1" s="24" t="n"/>
      <c r="VOZ1" s="24" t="n"/>
      <c r="VPA1" s="24" t="n"/>
      <c r="VPB1" s="24" t="n"/>
      <c r="VPC1" s="24" t="n"/>
      <c r="VPD1" s="24" t="n"/>
      <c r="VPE1" s="24" t="n"/>
      <c r="VPF1" s="24" t="n"/>
      <c r="VPG1" s="24" t="n"/>
      <c r="VPH1" s="24" t="n"/>
      <c r="VPI1" s="24" t="n"/>
      <c r="VPJ1" s="24" t="n"/>
      <c r="VPK1" s="24" t="n"/>
      <c r="VPL1" s="24" t="n"/>
      <c r="VPM1" s="24" t="n"/>
      <c r="VPN1" s="24" t="n"/>
      <c r="VPO1" s="24" t="n"/>
      <c r="VPP1" s="24" t="n"/>
      <c r="VPQ1" s="24" t="n"/>
      <c r="VPR1" s="24" t="n"/>
      <c r="VPS1" s="24" t="n"/>
      <c r="VPT1" s="24" t="n"/>
      <c r="VPU1" s="24" t="n"/>
      <c r="VPV1" s="24" t="n"/>
      <c r="VPW1" s="24" t="n"/>
      <c r="VPX1" s="24" t="n"/>
      <c r="VPY1" s="24" t="n"/>
      <c r="VPZ1" s="24" t="n"/>
      <c r="VQA1" s="24" t="n"/>
      <c r="VQB1" s="24" t="n"/>
      <c r="VQC1" s="24" t="n"/>
      <c r="VQD1" s="24" t="n"/>
      <c r="VQE1" s="24" t="n"/>
      <c r="VQF1" s="24" t="n"/>
      <c r="VQG1" s="24" t="n"/>
      <c r="VQH1" s="24" t="n"/>
      <c r="VQI1" s="24" t="n"/>
      <c r="VQJ1" s="24" t="n"/>
      <c r="VQK1" s="24" t="n"/>
      <c r="VQL1" s="24" t="n"/>
      <c r="VQM1" s="24" t="n"/>
      <c r="VQN1" s="24" t="n"/>
      <c r="VQO1" s="24" t="n"/>
      <c r="VQP1" s="24" t="n"/>
      <c r="VQQ1" s="24" t="n"/>
      <c r="VQR1" s="24" t="n"/>
      <c r="VQS1" s="24" t="n"/>
      <c r="VQT1" s="24" t="n"/>
      <c r="VQU1" s="24" t="n"/>
      <c r="VQV1" s="24" t="n"/>
      <c r="VQW1" s="24" t="n"/>
      <c r="VQX1" s="24" t="n"/>
      <c r="VQY1" s="24" t="n"/>
      <c r="VQZ1" s="24" t="n"/>
      <c r="VRA1" s="24" t="n"/>
      <c r="VRB1" s="24" t="n"/>
      <c r="VRC1" s="24" t="n"/>
      <c r="VRD1" s="24" t="n"/>
      <c r="VRE1" s="24" t="n"/>
      <c r="VRF1" s="24" t="n"/>
      <c r="VRG1" s="24" t="n"/>
      <c r="VRH1" s="24" t="n"/>
      <c r="VRI1" s="24" t="n"/>
      <c r="VRJ1" s="24" t="n"/>
      <c r="VRK1" s="24" t="n"/>
      <c r="VRL1" s="24" t="n"/>
      <c r="VRM1" s="24" t="n"/>
      <c r="VRN1" s="24" t="n"/>
      <c r="VRO1" s="24" t="n"/>
      <c r="VRP1" s="24" t="n"/>
      <c r="VRQ1" s="24" t="n"/>
      <c r="VRR1" s="24" t="n"/>
      <c r="VRS1" s="24" t="n"/>
      <c r="VRT1" s="24" t="n"/>
      <c r="VRU1" s="24" t="n"/>
      <c r="VRV1" s="24" t="n"/>
      <c r="VRW1" s="24" t="n"/>
      <c r="VRX1" s="24" t="n"/>
      <c r="VRY1" s="24" t="n"/>
      <c r="VRZ1" s="24" t="n"/>
      <c r="VSA1" s="24" t="n"/>
      <c r="VSB1" s="24" t="n"/>
      <c r="VSC1" s="24" t="n"/>
      <c r="VSD1" s="24" t="n"/>
      <c r="VSE1" s="24" t="n"/>
      <c r="VSF1" s="24" t="n"/>
      <c r="VSG1" s="24" t="n"/>
      <c r="VSH1" s="24" t="n"/>
      <c r="VSI1" s="24" t="n"/>
      <c r="VSJ1" s="24" t="n"/>
      <c r="VSK1" s="24" t="n"/>
      <c r="VSL1" s="24" t="n"/>
      <c r="VSM1" s="24" t="n"/>
      <c r="VSN1" s="24" t="n"/>
      <c r="VSO1" s="24" t="n"/>
      <c r="VSP1" s="24" t="n"/>
      <c r="VSQ1" s="24" t="n"/>
      <c r="VSR1" s="24" t="n"/>
      <c r="VSS1" s="24" t="n"/>
      <c r="VST1" s="24" t="n"/>
      <c r="VSU1" s="24" t="n"/>
      <c r="VSV1" s="24" t="n"/>
      <c r="VSW1" s="24" t="n"/>
      <c r="VSX1" s="24" t="n"/>
      <c r="VSY1" s="24" t="n"/>
      <c r="VSZ1" s="24" t="n"/>
      <c r="VTA1" s="24" t="n"/>
      <c r="VTB1" s="24" t="n"/>
      <c r="VTC1" s="24" t="n"/>
      <c r="VTD1" s="24" t="n"/>
      <c r="VTE1" s="24" t="n"/>
      <c r="VTF1" s="24" t="n"/>
      <c r="VTG1" s="24" t="n"/>
      <c r="VTH1" s="24" t="n"/>
      <c r="VTI1" s="24" t="n"/>
      <c r="VTJ1" s="24" t="n"/>
      <c r="VTK1" s="24" t="n"/>
      <c r="VTL1" s="24" t="n"/>
      <c r="VTM1" s="24" t="n"/>
      <c r="VTN1" s="24" t="n"/>
      <c r="VTO1" s="24" t="n"/>
      <c r="VTP1" s="24" t="n"/>
      <c r="VTQ1" s="24" t="n"/>
      <c r="VTR1" s="24" t="n"/>
      <c r="VTS1" s="24" t="n"/>
      <c r="VTT1" s="24" t="n"/>
      <c r="VTU1" s="24" t="n"/>
      <c r="VTV1" s="24" t="n"/>
      <c r="VTW1" s="24" t="n"/>
      <c r="VTX1" s="24" t="n"/>
      <c r="VTY1" s="24" t="n"/>
      <c r="VTZ1" s="24" t="n"/>
      <c r="VUA1" s="24" t="n"/>
      <c r="VUB1" s="24" t="n"/>
      <c r="VUC1" s="24" t="n"/>
      <c r="VUD1" s="24" t="n"/>
      <c r="VUE1" s="24" t="n"/>
      <c r="VUF1" s="24" t="n"/>
      <c r="VUG1" s="24" t="n"/>
      <c r="VUH1" s="24" t="n"/>
      <c r="VUI1" s="24" t="n"/>
      <c r="VUJ1" s="24" t="n"/>
      <c r="VUK1" s="24" t="n"/>
      <c r="VUL1" s="24" t="n"/>
      <c r="VUM1" s="24" t="n"/>
      <c r="VUN1" s="24" t="n"/>
      <c r="VUO1" s="24" t="n"/>
      <c r="VUP1" s="24" t="n"/>
      <c r="VUQ1" s="24" t="n"/>
      <c r="VUR1" s="24" t="n"/>
      <c r="VUS1" s="24" t="n"/>
      <c r="VUT1" s="24" t="n"/>
      <c r="VUU1" s="24" t="n"/>
      <c r="VUV1" s="24" t="n"/>
      <c r="VUW1" s="24" t="n"/>
      <c r="VUX1" s="24" t="n"/>
      <c r="VUY1" s="24" t="n"/>
      <c r="VUZ1" s="24" t="n"/>
      <c r="VVA1" s="24" t="n"/>
      <c r="VVB1" s="24" t="n"/>
      <c r="VVC1" s="24" t="n"/>
      <c r="VVD1" s="24" t="n"/>
      <c r="VVE1" s="24" t="n"/>
      <c r="VVF1" s="24" t="n"/>
      <c r="VVG1" s="24" t="n"/>
      <c r="VVH1" s="24" t="n"/>
      <c r="VVI1" s="24" t="n"/>
      <c r="VVJ1" s="24" t="n"/>
      <c r="VVK1" s="24" t="n"/>
      <c r="VVL1" s="24" t="n"/>
      <c r="VVM1" s="24" t="n"/>
      <c r="VVN1" s="24" t="n"/>
      <c r="VVO1" s="24" t="n"/>
      <c r="VVP1" s="24" t="n"/>
      <c r="VVQ1" s="24" t="n"/>
      <c r="VVR1" s="24" t="n"/>
      <c r="VVS1" s="24" t="n"/>
      <c r="VVT1" s="24" t="n"/>
      <c r="VVU1" s="24" t="n"/>
      <c r="VVV1" s="24" t="n"/>
      <c r="VVW1" s="24" t="n"/>
      <c r="VVX1" s="24" t="n"/>
      <c r="VVY1" s="24" t="n"/>
      <c r="VVZ1" s="24" t="n"/>
      <c r="VWA1" s="24" t="n"/>
      <c r="VWB1" s="24" t="n"/>
      <c r="VWC1" s="24" t="n"/>
      <c r="VWD1" s="24" t="n"/>
      <c r="VWE1" s="24" t="n"/>
      <c r="VWF1" s="24" t="n"/>
      <c r="VWG1" s="24" t="n"/>
      <c r="VWH1" s="24" t="n"/>
      <c r="VWI1" s="24" t="n"/>
      <c r="VWJ1" s="24" t="n"/>
      <c r="VWK1" s="24" t="n"/>
      <c r="VWL1" s="24" t="n"/>
      <c r="VWM1" s="24" t="n"/>
      <c r="VWN1" s="24" t="n"/>
      <c r="VWO1" s="24" t="n"/>
      <c r="VWP1" s="24" t="n"/>
      <c r="VWQ1" s="24" t="n"/>
      <c r="VWR1" s="24" t="n"/>
      <c r="VWS1" s="24" t="n"/>
      <c r="VWT1" s="24" t="n"/>
      <c r="VWU1" s="24" t="n"/>
      <c r="VWV1" s="24" t="n"/>
      <c r="VWW1" s="24" t="n"/>
      <c r="VWX1" s="24" t="n"/>
      <c r="VWY1" s="24" t="n"/>
      <c r="VWZ1" s="24" t="n"/>
      <c r="VXA1" s="24" t="n"/>
      <c r="VXB1" s="24" t="n"/>
      <c r="VXC1" s="24" t="n"/>
      <c r="VXD1" s="24" t="n"/>
      <c r="VXE1" s="24" t="n"/>
      <c r="VXF1" s="24" t="n"/>
      <c r="VXG1" s="24" t="n"/>
      <c r="VXH1" s="24" t="n"/>
      <c r="VXI1" s="24" t="n"/>
      <c r="VXJ1" s="24" t="n"/>
      <c r="VXK1" s="24" t="n"/>
      <c r="VXL1" s="24" t="n"/>
      <c r="VXM1" s="24" t="n"/>
      <c r="VXN1" s="24" t="n"/>
      <c r="VXO1" s="24" t="n"/>
      <c r="VXP1" s="24" t="n"/>
      <c r="VXQ1" s="24" t="n"/>
      <c r="VXR1" s="24" t="n"/>
      <c r="VXS1" s="24" t="n"/>
      <c r="VXT1" s="24" t="n"/>
      <c r="VXU1" s="24" t="n"/>
      <c r="VXV1" s="24" t="n"/>
      <c r="VXW1" s="24" t="n"/>
      <c r="VXX1" s="24" t="n"/>
      <c r="VXY1" s="24" t="n"/>
      <c r="VXZ1" s="24" t="n"/>
      <c r="VYA1" s="24" t="n"/>
      <c r="VYB1" s="24" t="n"/>
      <c r="VYC1" s="24" t="n"/>
      <c r="VYD1" s="24" t="n"/>
      <c r="VYE1" s="24" t="n"/>
      <c r="VYF1" s="24" t="n"/>
      <c r="VYG1" s="24" t="n"/>
      <c r="VYH1" s="24" t="n"/>
      <c r="VYI1" s="24" t="n"/>
      <c r="VYJ1" s="24" t="n"/>
      <c r="VYK1" s="24" t="n"/>
      <c r="VYL1" s="24" t="n"/>
      <c r="VYM1" s="24" t="n"/>
      <c r="VYN1" s="24" t="n"/>
      <c r="VYO1" s="24" t="n"/>
      <c r="VYP1" s="24" t="n"/>
      <c r="VYQ1" s="24" t="n"/>
      <c r="VYR1" s="24" t="n"/>
      <c r="VYS1" s="24" t="n"/>
      <c r="VYT1" s="24" t="n"/>
      <c r="VYU1" s="24" t="n"/>
      <c r="VYV1" s="24" t="n"/>
      <c r="VYW1" s="24" t="n"/>
      <c r="VYX1" s="24" t="n"/>
      <c r="VYY1" s="24" t="n"/>
      <c r="VYZ1" s="24" t="n"/>
      <c r="VZA1" s="24" t="n"/>
      <c r="VZB1" s="24" t="n"/>
      <c r="VZC1" s="24" t="n"/>
      <c r="VZD1" s="24" t="n"/>
      <c r="VZE1" s="24" t="n"/>
      <c r="VZF1" s="24" t="n"/>
      <c r="VZG1" s="24" t="n"/>
      <c r="VZH1" s="24" t="n"/>
      <c r="VZI1" s="24" t="n"/>
      <c r="VZJ1" s="24" t="n"/>
      <c r="VZK1" s="24" t="n"/>
      <c r="VZL1" s="24" t="n"/>
      <c r="VZM1" s="24" t="n"/>
      <c r="VZN1" s="24" t="n"/>
      <c r="VZO1" s="24" t="n"/>
      <c r="VZP1" s="24" t="n"/>
      <c r="VZQ1" s="24" t="n"/>
      <c r="VZR1" s="24" t="n"/>
      <c r="VZS1" s="24" t="n"/>
      <c r="VZT1" s="24" t="n"/>
      <c r="VZU1" s="24" t="n"/>
      <c r="VZV1" s="24" t="n"/>
      <c r="VZW1" s="24" t="n"/>
      <c r="VZX1" s="24" t="n"/>
      <c r="VZY1" s="24" t="n"/>
      <c r="VZZ1" s="24" t="n"/>
      <c r="WAA1" s="24" t="n"/>
      <c r="WAB1" s="24" t="n"/>
      <c r="WAC1" s="24" t="n"/>
      <c r="WAD1" s="24" t="n"/>
      <c r="WAE1" s="24" t="n"/>
      <c r="WAF1" s="24" t="n"/>
      <c r="WAG1" s="24" t="n"/>
      <c r="WAH1" s="24" t="n"/>
      <c r="WAI1" s="24" t="n"/>
      <c r="WAJ1" s="24" t="n"/>
      <c r="WAK1" s="24" t="n"/>
      <c r="WAL1" s="24" t="n"/>
      <c r="WAM1" s="24" t="n"/>
      <c r="WAN1" s="24" t="n"/>
      <c r="WAO1" s="24" t="n"/>
      <c r="WAP1" s="24" t="n"/>
      <c r="WAQ1" s="24" t="n"/>
      <c r="WAR1" s="24" t="n"/>
      <c r="WAS1" s="24" t="n"/>
      <c r="WAT1" s="24" t="n"/>
      <c r="WAU1" s="24" t="n"/>
      <c r="WAV1" s="24" t="n"/>
      <c r="WAW1" s="24" t="n"/>
      <c r="WAX1" s="24" t="n"/>
      <c r="WAY1" s="24" t="n"/>
      <c r="WAZ1" s="24" t="n"/>
      <c r="WBA1" s="24" t="n"/>
      <c r="WBB1" s="24" t="n"/>
      <c r="WBC1" s="24" t="n"/>
      <c r="WBD1" s="24" t="n"/>
      <c r="WBE1" s="24" t="n"/>
      <c r="WBF1" s="24" t="n"/>
      <c r="WBG1" s="24" t="n"/>
      <c r="WBH1" s="24" t="n"/>
      <c r="WBI1" s="24" t="n"/>
      <c r="WBJ1" s="24" t="n"/>
      <c r="WBK1" s="24" t="n"/>
      <c r="WBL1" s="24" t="n"/>
      <c r="WBM1" s="24" t="n"/>
      <c r="WBN1" s="24" t="n"/>
      <c r="WBO1" s="24" t="n"/>
      <c r="WBP1" s="24" t="n"/>
      <c r="WBQ1" s="24" t="n"/>
      <c r="WBR1" s="24" t="n"/>
      <c r="WBS1" s="24" t="n"/>
      <c r="WBT1" s="24" t="n"/>
      <c r="WBU1" s="24" t="n"/>
      <c r="WBV1" s="24" t="n"/>
      <c r="WBW1" s="24" t="n"/>
      <c r="WBX1" s="24" t="n"/>
      <c r="WBY1" s="24" t="n"/>
      <c r="WBZ1" s="24" t="n"/>
      <c r="WCA1" s="24" t="n"/>
      <c r="WCB1" s="24" t="n"/>
      <c r="WCC1" s="24" t="n"/>
      <c r="WCD1" s="24" t="n"/>
      <c r="WCE1" s="24" t="n"/>
      <c r="WCF1" s="24" t="n"/>
      <c r="WCG1" s="24" t="n"/>
      <c r="WCH1" s="24" t="n"/>
      <c r="WCI1" s="24" t="n"/>
      <c r="WCJ1" s="24" t="n"/>
      <c r="WCK1" s="24" t="n"/>
      <c r="WCL1" s="24" t="n"/>
      <c r="WCM1" s="24" t="n"/>
      <c r="WCN1" s="24" t="n"/>
      <c r="WCO1" s="24" t="n"/>
      <c r="WCP1" s="24" t="n"/>
      <c r="WCQ1" s="24" t="n"/>
      <c r="WCR1" s="24" t="n"/>
      <c r="WCS1" s="24" t="n"/>
      <c r="WCT1" s="24" t="n"/>
      <c r="WCU1" s="24" t="n"/>
      <c r="WCV1" s="24" t="n"/>
      <c r="WCW1" s="24" t="n"/>
      <c r="WCX1" s="24" t="n"/>
      <c r="WCY1" s="24" t="n"/>
      <c r="WCZ1" s="24" t="n"/>
      <c r="WDA1" s="24" t="n"/>
      <c r="WDB1" s="24" t="n"/>
      <c r="WDC1" s="24" t="n"/>
      <c r="WDD1" s="24" t="n"/>
      <c r="WDE1" s="24" t="n"/>
      <c r="WDF1" s="24" t="n"/>
      <c r="WDG1" s="24" t="n"/>
      <c r="WDH1" s="24" t="n"/>
      <c r="WDI1" s="24" t="n"/>
      <c r="WDJ1" s="24" t="n"/>
      <c r="WDK1" s="24" t="n"/>
      <c r="WDL1" s="24" t="n"/>
      <c r="WDM1" s="24" t="n"/>
      <c r="WDN1" s="24" t="n"/>
      <c r="WDO1" s="24" t="n"/>
      <c r="WDP1" s="24" t="n"/>
      <c r="WDQ1" s="24" t="n"/>
      <c r="WDR1" s="24" t="n"/>
      <c r="WDS1" s="24" t="n"/>
      <c r="WDT1" s="24" t="n"/>
      <c r="WDU1" s="24" t="n"/>
      <c r="WDV1" s="24" t="n"/>
      <c r="WDW1" s="24" t="n"/>
      <c r="WDX1" s="24" t="n"/>
      <c r="WDY1" s="24" t="n"/>
      <c r="WDZ1" s="24" t="n"/>
      <c r="WEA1" s="24" t="n"/>
      <c r="WEB1" s="24" t="n"/>
      <c r="WEC1" s="24" t="n"/>
      <c r="WED1" s="24" t="n"/>
      <c r="WEE1" s="24" t="n"/>
      <c r="WEF1" s="24" t="n"/>
      <c r="WEG1" s="24" t="n"/>
      <c r="WEH1" s="24" t="n"/>
      <c r="WEI1" s="24" t="n"/>
      <c r="WEJ1" s="24" t="n"/>
      <c r="WEK1" s="24" t="n"/>
      <c r="WEL1" s="24" t="n"/>
      <c r="WEM1" s="24" t="n"/>
      <c r="WEN1" s="24" t="n"/>
      <c r="WEO1" s="24" t="n"/>
      <c r="WEP1" s="24" t="n"/>
      <c r="WEQ1" s="24" t="n"/>
      <c r="WER1" s="24" t="n"/>
      <c r="WES1" s="24" t="n"/>
      <c r="WET1" s="24" t="n"/>
      <c r="WEU1" s="24" t="n"/>
      <c r="WEV1" s="24" t="n"/>
      <c r="WEW1" s="24" t="n"/>
      <c r="WEX1" s="24" t="n"/>
      <c r="WEY1" s="24" t="n"/>
      <c r="WEZ1" s="24" t="n"/>
      <c r="WFA1" s="24" t="n"/>
      <c r="WFB1" s="24" t="n"/>
      <c r="WFC1" s="24" t="n"/>
      <c r="WFD1" s="24" t="n"/>
      <c r="WFE1" s="24" t="n"/>
      <c r="WFF1" s="24" t="n"/>
      <c r="WFG1" s="24" t="n"/>
      <c r="WFH1" s="24" t="n"/>
      <c r="WFI1" s="24" t="n"/>
      <c r="WFJ1" s="24" t="n"/>
      <c r="WFK1" s="24" t="n"/>
      <c r="WFL1" s="24" t="n"/>
      <c r="WFM1" s="24" t="n"/>
      <c r="WFN1" s="24" t="n"/>
      <c r="WFO1" s="24" t="n"/>
      <c r="WFP1" s="24" t="n"/>
      <c r="WFQ1" s="24" t="n"/>
      <c r="WFR1" s="24" t="n"/>
      <c r="WFS1" s="24" t="n"/>
      <c r="WFT1" s="24" t="n"/>
      <c r="WFU1" s="24" t="n"/>
      <c r="WFV1" s="24" t="n"/>
      <c r="WFW1" s="24" t="n"/>
      <c r="WFX1" s="24" t="n"/>
      <c r="WFY1" s="24" t="n"/>
      <c r="WFZ1" s="24" t="n"/>
      <c r="WGA1" s="24" t="n"/>
      <c r="WGB1" s="24" t="n"/>
      <c r="WGC1" s="24" t="n"/>
      <c r="WGD1" s="24" t="n"/>
      <c r="WGE1" s="24" t="n"/>
      <c r="WGF1" s="24" t="n"/>
      <c r="WGG1" s="24" t="n"/>
      <c r="WGH1" s="24" t="n"/>
      <c r="WGI1" s="24" t="n"/>
      <c r="WGJ1" s="24" t="n"/>
      <c r="WGK1" s="24" t="n"/>
      <c r="WGL1" s="24" t="n"/>
      <c r="WGM1" s="24" t="n"/>
      <c r="WGN1" s="24" t="n"/>
      <c r="WGO1" s="24" t="n"/>
      <c r="WGP1" s="24" t="n"/>
      <c r="WGQ1" s="24" t="n"/>
      <c r="WGR1" s="24" t="n"/>
      <c r="WGS1" s="24" t="n"/>
      <c r="WGT1" s="24" t="n"/>
      <c r="WGU1" s="24" t="n"/>
      <c r="WGV1" s="24" t="n"/>
      <c r="WGW1" s="24" t="n"/>
      <c r="WGX1" s="24" t="n"/>
      <c r="WGY1" s="24" t="n"/>
      <c r="WGZ1" s="24" t="n"/>
      <c r="WHA1" s="24" t="n"/>
      <c r="WHB1" s="24" t="n"/>
      <c r="WHC1" s="24" t="n"/>
      <c r="WHD1" s="24" t="n"/>
      <c r="WHE1" s="24" t="n"/>
      <c r="WHF1" s="24" t="n"/>
      <c r="WHG1" s="24" t="n"/>
      <c r="WHH1" s="24" t="n"/>
      <c r="WHI1" s="24" t="n"/>
      <c r="WHJ1" s="24" t="n"/>
      <c r="WHK1" s="24" t="n"/>
      <c r="WHL1" s="24" t="n"/>
      <c r="WHM1" s="24" t="n"/>
      <c r="WHN1" s="24" t="n"/>
      <c r="WHO1" s="24" t="n"/>
      <c r="WHP1" s="24" t="n"/>
      <c r="WHQ1" s="24" t="n"/>
      <c r="WHR1" s="24" t="n"/>
      <c r="WHS1" s="24" t="n"/>
      <c r="WHT1" s="24" t="n"/>
      <c r="WHU1" s="24" t="n"/>
      <c r="WHV1" s="24" t="n"/>
      <c r="WHW1" s="24" t="n"/>
      <c r="WHX1" s="24" t="n"/>
      <c r="WHY1" s="24" t="n"/>
      <c r="WHZ1" s="24" t="n"/>
      <c r="WIA1" s="24" t="n"/>
      <c r="WIB1" s="24" t="n"/>
      <c r="WIC1" s="24" t="n"/>
      <c r="WID1" s="24" t="n"/>
      <c r="WIE1" s="24" t="n"/>
      <c r="WIF1" s="24" t="n"/>
      <c r="WIG1" s="24" t="n"/>
      <c r="WIH1" s="24" t="n"/>
      <c r="WII1" s="24" t="n"/>
      <c r="WIJ1" s="24" t="n"/>
      <c r="WIK1" s="24" t="n"/>
      <c r="WIL1" s="24" t="n"/>
      <c r="WIM1" s="24" t="n"/>
      <c r="WIN1" s="24" t="n"/>
      <c r="WIO1" s="24" t="n"/>
      <c r="WIP1" s="24" t="n"/>
      <c r="WIQ1" s="24" t="n"/>
      <c r="WIR1" s="24" t="n"/>
      <c r="WIS1" s="24" t="n"/>
      <c r="WIT1" s="24" t="n"/>
      <c r="WIU1" s="24" t="n"/>
      <c r="WIV1" s="24" t="n"/>
      <c r="WIW1" s="24" t="n"/>
      <c r="WIX1" s="24" t="n"/>
      <c r="WIY1" s="24" t="n"/>
      <c r="WIZ1" s="24" t="n"/>
      <c r="WJA1" s="24" t="n"/>
      <c r="WJB1" s="24" t="n"/>
      <c r="WJC1" s="24" t="n"/>
      <c r="WJD1" s="24" t="n"/>
      <c r="WJE1" s="24" t="n"/>
      <c r="WJF1" s="24" t="n"/>
      <c r="WJG1" s="24" t="n"/>
      <c r="WJH1" s="24" t="n"/>
      <c r="WJI1" s="24" t="n"/>
      <c r="WJJ1" s="24" t="n"/>
      <c r="WJK1" s="24" t="n"/>
      <c r="WJL1" s="24" t="n"/>
      <c r="WJM1" s="24" t="n"/>
      <c r="WJN1" s="24" t="n"/>
      <c r="WJO1" s="24" t="n"/>
      <c r="WJP1" s="24" t="n"/>
      <c r="WJQ1" s="24" t="n"/>
      <c r="WJR1" s="24" t="n"/>
      <c r="WJS1" s="24" t="n"/>
      <c r="WJT1" s="24" t="n"/>
      <c r="WJU1" s="24" t="n"/>
      <c r="WJV1" s="24" t="n"/>
      <c r="WJW1" s="24" t="n"/>
      <c r="WJX1" s="24" t="n"/>
      <c r="WJY1" s="24" t="n"/>
      <c r="WJZ1" s="24" t="n"/>
      <c r="WKA1" s="24" t="n"/>
      <c r="WKB1" s="24" t="n"/>
      <c r="WKC1" s="24" t="n"/>
      <c r="WKD1" s="24" t="n"/>
      <c r="WKE1" s="24" t="n"/>
      <c r="WKF1" s="24" t="n"/>
      <c r="WKG1" s="24" t="n"/>
      <c r="WKH1" s="24" t="n"/>
      <c r="WKI1" s="24" t="n"/>
      <c r="WKJ1" s="24" t="n"/>
      <c r="WKK1" s="24" t="n"/>
      <c r="WKL1" s="24" t="n"/>
      <c r="WKM1" s="24" t="n"/>
      <c r="WKN1" s="24" t="n"/>
      <c r="WKO1" s="24" t="n"/>
      <c r="WKP1" s="24" t="n"/>
      <c r="WKQ1" s="24" t="n"/>
      <c r="WKR1" s="24" t="n"/>
      <c r="WKS1" s="24" t="n"/>
      <c r="WKT1" s="24" t="n"/>
      <c r="WKU1" s="24" t="n"/>
      <c r="WKV1" s="24" t="n"/>
      <c r="WKW1" s="24" t="n"/>
      <c r="WKX1" s="24" t="n"/>
      <c r="WKY1" s="24" t="n"/>
      <c r="WKZ1" s="24" t="n"/>
      <c r="WLA1" s="24" t="n"/>
      <c r="WLB1" s="24" t="n"/>
      <c r="WLC1" s="24" t="n"/>
      <c r="WLD1" s="24" t="n"/>
      <c r="WLE1" s="24" t="n"/>
      <c r="WLF1" s="24" t="n"/>
      <c r="WLG1" s="24" t="n"/>
      <c r="WLH1" s="24" t="n"/>
      <c r="WLI1" s="24" t="n"/>
      <c r="WLJ1" s="24" t="n"/>
      <c r="WLK1" s="24" t="n"/>
      <c r="WLL1" s="24" t="n"/>
      <c r="WLM1" s="24" t="n"/>
      <c r="WLN1" s="24" t="n"/>
      <c r="WLO1" s="24" t="n"/>
      <c r="WLP1" s="24" t="n"/>
      <c r="WLQ1" s="24" t="n"/>
      <c r="WLR1" s="24" t="n"/>
      <c r="WLS1" s="24" t="n"/>
      <c r="WLT1" s="24" t="n"/>
      <c r="WLU1" s="24" t="n"/>
      <c r="WLV1" s="24" t="n"/>
      <c r="WLW1" s="24" t="n"/>
      <c r="WLX1" s="24" t="n"/>
      <c r="WLY1" s="24" t="n"/>
      <c r="WLZ1" s="24" t="n"/>
      <c r="WMA1" s="24" t="n"/>
      <c r="WMB1" s="24" t="n"/>
      <c r="WMC1" s="24" t="n"/>
      <c r="WMD1" s="24" t="n"/>
      <c r="WME1" s="24" t="n"/>
      <c r="WMF1" s="24" t="n"/>
      <c r="WMG1" s="24" t="n"/>
      <c r="WMH1" s="24" t="n"/>
      <c r="WMI1" s="24" t="n"/>
      <c r="WMJ1" s="24" t="n"/>
      <c r="WMK1" s="24" t="n"/>
      <c r="WML1" s="24" t="n"/>
      <c r="WMM1" s="24" t="n"/>
      <c r="WMN1" s="24" t="n"/>
      <c r="WMO1" s="24" t="n"/>
      <c r="WMP1" s="24" t="n"/>
      <c r="WMQ1" s="24" t="n"/>
      <c r="WMR1" s="24" t="n"/>
      <c r="WMS1" s="24" t="n"/>
      <c r="WMT1" s="24" t="n"/>
      <c r="WMU1" s="24" t="n"/>
      <c r="WMV1" s="24" t="n"/>
      <c r="WMW1" s="24" t="n"/>
      <c r="WMX1" s="24" t="n"/>
      <c r="WMY1" s="24" t="n"/>
      <c r="WMZ1" s="24" t="n"/>
      <c r="WNA1" s="24" t="n"/>
      <c r="WNB1" s="24" t="n"/>
      <c r="WNC1" s="24" t="n"/>
      <c r="WND1" s="24" t="n"/>
      <c r="WNE1" s="24" t="n"/>
      <c r="WNF1" s="24" t="n"/>
      <c r="WNG1" s="24" t="n"/>
      <c r="WNH1" s="24" t="n"/>
      <c r="WNI1" s="24" t="n"/>
      <c r="WNJ1" s="24" t="n"/>
      <c r="WNK1" s="24" t="n"/>
      <c r="WNL1" s="24" t="n"/>
      <c r="WNM1" s="24" t="n"/>
      <c r="WNN1" s="24" t="n"/>
      <c r="WNO1" s="24" t="n"/>
      <c r="WNP1" s="24" t="n"/>
      <c r="WNQ1" s="24" t="n"/>
      <c r="WNR1" s="24" t="n"/>
      <c r="WNS1" s="24" t="n"/>
      <c r="WNT1" s="24" t="n"/>
      <c r="WNU1" s="24" t="n"/>
      <c r="WNV1" s="24" t="n"/>
      <c r="WNW1" s="24" t="n"/>
      <c r="WNX1" s="24" t="n"/>
      <c r="WNY1" s="24" t="n"/>
      <c r="WNZ1" s="24" t="n"/>
      <c r="WOA1" s="24" t="n"/>
      <c r="WOB1" s="24" t="n"/>
      <c r="WOC1" s="24" t="n"/>
      <c r="WOD1" s="24" t="n"/>
      <c r="WOE1" s="24" t="n"/>
      <c r="WOF1" s="24" t="n"/>
      <c r="WOG1" s="24" t="n"/>
      <c r="WOH1" s="24" t="n"/>
      <c r="WOI1" s="24" t="n"/>
      <c r="WOJ1" s="24" t="n"/>
      <c r="WOK1" s="24" t="n"/>
      <c r="WOL1" s="24" t="n"/>
      <c r="WOM1" s="24" t="n"/>
      <c r="WON1" s="24" t="n"/>
      <c r="WOO1" s="24" t="n"/>
      <c r="WOP1" s="24" t="n"/>
      <c r="WOQ1" s="24" t="n"/>
      <c r="WOR1" s="24" t="n"/>
      <c r="WOS1" s="24" t="n"/>
      <c r="WOT1" s="24" t="n"/>
      <c r="WOU1" s="24" t="n"/>
      <c r="WOV1" s="24" t="n"/>
      <c r="WOW1" s="24" t="n"/>
      <c r="WOX1" s="24" t="n"/>
      <c r="WOY1" s="24" t="n"/>
      <c r="WOZ1" s="24" t="n"/>
      <c r="WPA1" s="24" t="n"/>
      <c r="WPB1" s="24" t="n"/>
      <c r="WPC1" s="24" t="n"/>
      <c r="WPD1" s="24" t="n"/>
      <c r="WPE1" s="24" t="n"/>
      <c r="WPF1" s="24" t="n"/>
      <c r="WPG1" s="24" t="n"/>
      <c r="WPH1" s="24" t="n"/>
      <c r="WPI1" s="24" t="n"/>
      <c r="WPJ1" s="24" t="n"/>
      <c r="WPK1" s="24" t="n"/>
      <c r="WPL1" s="24" t="n"/>
      <c r="WPM1" s="24" t="n"/>
      <c r="WPN1" s="24" t="n"/>
      <c r="WPO1" s="24" t="n"/>
      <c r="WPP1" s="24" t="n"/>
      <c r="WPQ1" s="24" t="n"/>
      <c r="WPR1" s="24" t="n"/>
      <c r="WPS1" s="24" t="n"/>
      <c r="WPT1" s="24" t="n"/>
      <c r="WPU1" s="24" t="n"/>
      <c r="WPV1" s="24" t="n"/>
      <c r="WPW1" s="24" t="n"/>
      <c r="WPX1" s="24" t="n"/>
      <c r="WPY1" s="24" t="n"/>
      <c r="WPZ1" s="24" t="n"/>
      <c r="WQA1" s="24" t="n"/>
      <c r="WQB1" s="24" t="n"/>
      <c r="WQC1" s="24" t="n"/>
      <c r="WQD1" s="24" t="n"/>
      <c r="WQE1" s="24" t="n"/>
      <c r="WQF1" s="24" t="n"/>
      <c r="WQG1" s="24" t="n"/>
      <c r="WQH1" s="24" t="n"/>
      <c r="WQI1" s="24" t="n"/>
      <c r="WQJ1" s="24" t="n"/>
      <c r="WQK1" s="24" t="n"/>
      <c r="WQL1" s="24" t="n"/>
      <c r="WQM1" s="24" t="n"/>
      <c r="WQN1" s="24" t="n"/>
      <c r="WQO1" s="24" t="n"/>
      <c r="WQP1" s="24" t="n"/>
      <c r="WQQ1" s="24" t="n"/>
      <c r="WQR1" s="24" t="n"/>
      <c r="WQS1" s="24" t="n"/>
      <c r="WQT1" s="24" t="n"/>
      <c r="WQU1" s="24" t="n"/>
      <c r="WQV1" s="24" t="n"/>
      <c r="WQW1" s="24" t="n"/>
      <c r="WQX1" s="24" t="n"/>
      <c r="WQY1" s="24" t="n"/>
      <c r="WQZ1" s="24" t="n"/>
      <c r="WRA1" s="24" t="n"/>
      <c r="WRB1" s="24" t="n"/>
      <c r="WRC1" s="24" t="n"/>
      <c r="WRD1" s="24" t="n"/>
      <c r="WRE1" s="24" t="n"/>
      <c r="WRF1" s="24" t="n"/>
      <c r="WRG1" s="24" t="n"/>
      <c r="WRH1" s="24" t="n"/>
      <c r="WRI1" s="24" t="n"/>
      <c r="WRJ1" s="24" t="n"/>
      <c r="WRK1" s="24" t="n"/>
      <c r="WRL1" s="24" t="n"/>
      <c r="WRM1" s="24" t="n"/>
      <c r="WRN1" s="24" t="n"/>
      <c r="WRO1" s="24" t="n"/>
      <c r="WRP1" s="24" t="n"/>
      <c r="WRQ1" s="24" t="n"/>
      <c r="WRR1" s="24" t="n"/>
      <c r="WRS1" s="24" t="n"/>
      <c r="WRT1" s="24" t="n"/>
      <c r="WRU1" s="24" t="n"/>
      <c r="WRV1" s="24" t="n"/>
      <c r="WRW1" s="24" t="n"/>
      <c r="WRX1" s="24" t="n"/>
      <c r="WRY1" s="24" t="n"/>
      <c r="WRZ1" s="24" t="n"/>
      <c r="WSA1" s="24" t="n"/>
      <c r="WSB1" s="24" t="n"/>
      <c r="WSC1" s="24" t="n"/>
      <c r="WSD1" s="24" t="n"/>
      <c r="WSE1" s="24" t="n"/>
      <c r="WSF1" s="24" t="n"/>
      <c r="WSG1" s="24" t="n"/>
      <c r="WSH1" s="24" t="n"/>
      <c r="WSI1" s="24" t="n"/>
      <c r="WSJ1" s="24" t="n"/>
      <c r="WSK1" s="24" t="n"/>
      <c r="WSL1" s="24" t="n"/>
      <c r="WSM1" s="24" t="n"/>
      <c r="WSN1" s="24" t="n"/>
      <c r="WSO1" s="24" t="n"/>
      <c r="WSP1" s="24" t="n"/>
      <c r="WSQ1" s="24" t="n"/>
      <c r="WSR1" s="24" t="n"/>
      <c r="WSS1" s="24" t="n"/>
      <c r="WST1" s="24" t="n"/>
      <c r="WSU1" s="24" t="n"/>
      <c r="WSV1" s="24" t="n"/>
      <c r="WSW1" s="24" t="n"/>
      <c r="WSX1" s="24" t="n"/>
      <c r="WSY1" s="24" t="n"/>
      <c r="WSZ1" s="24" t="n"/>
      <c r="WTA1" s="24" t="n"/>
      <c r="WTB1" s="24" t="n"/>
      <c r="WTC1" s="24" t="n"/>
      <c r="WTD1" s="24" t="n"/>
      <c r="WTE1" s="24" t="n"/>
      <c r="WTF1" s="24" t="n"/>
      <c r="WTG1" s="24" t="n"/>
      <c r="WTH1" s="24" t="n"/>
      <c r="WTI1" s="24" t="n"/>
      <c r="WTJ1" s="24" t="n"/>
      <c r="WTK1" s="24" t="n"/>
      <c r="WTL1" s="24" t="n"/>
      <c r="WTM1" s="24" t="n"/>
      <c r="WTN1" s="24" t="n"/>
      <c r="WTO1" s="24" t="n"/>
      <c r="WTP1" s="24" t="n"/>
      <c r="WTQ1" s="24" t="n"/>
      <c r="WTR1" s="24" t="n"/>
      <c r="WTS1" s="24" t="n"/>
      <c r="WTT1" s="24" t="n"/>
      <c r="WTU1" s="24" t="n"/>
      <c r="WTV1" s="24" t="n"/>
      <c r="WTW1" s="24" t="n"/>
      <c r="WTX1" s="24" t="n"/>
      <c r="WTY1" s="24" t="n"/>
      <c r="WTZ1" s="24" t="n"/>
      <c r="WUA1" s="24" t="n"/>
      <c r="WUB1" s="24" t="n"/>
      <c r="WUC1" s="24" t="n"/>
      <c r="WUD1" s="24" t="n"/>
      <c r="WUE1" s="24" t="n"/>
      <c r="WUF1" s="24" t="n"/>
      <c r="WUG1" s="24" t="n"/>
      <c r="WUH1" s="24" t="n"/>
      <c r="WUI1" s="24" t="n"/>
      <c r="WUJ1" s="24" t="n"/>
      <c r="WUK1" s="24" t="n"/>
      <c r="WUL1" s="24" t="n"/>
      <c r="WUM1" s="24" t="n"/>
      <c r="WUN1" s="24" t="n"/>
      <c r="WUO1" s="24" t="n"/>
      <c r="WUP1" s="24" t="n"/>
      <c r="WUQ1" s="24" t="n"/>
      <c r="WUR1" s="24" t="n"/>
      <c r="WUS1" s="24" t="n"/>
      <c r="WUT1" s="24" t="n"/>
      <c r="WUU1" s="24" t="n"/>
      <c r="WUV1" s="24" t="n"/>
      <c r="WUW1" s="24" t="n"/>
      <c r="WUX1" s="24" t="n"/>
      <c r="WUY1" s="24" t="n"/>
      <c r="WUZ1" s="24" t="n"/>
      <c r="WVA1" s="24" t="n"/>
      <c r="WVB1" s="24" t="n"/>
      <c r="WVC1" s="24" t="n"/>
      <c r="WVD1" s="24" t="n"/>
      <c r="WVE1" s="24" t="n"/>
      <c r="WVF1" s="24" t="n"/>
      <c r="WVG1" s="24" t="n"/>
      <c r="WVH1" s="24" t="n"/>
      <c r="WVI1" s="24" t="n"/>
      <c r="WVJ1" s="24" t="n"/>
      <c r="WVK1" s="24" t="n"/>
      <c r="WVL1" s="24" t="n"/>
      <c r="WVM1" s="24" t="n"/>
      <c r="WVN1" s="24" t="n"/>
      <c r="WVO1" s="24" t="n"/>
      <c r="WVP1" s="24" t="n"/>
      <c r="WVQ1" s="24" t="n"/>
      <c r="WVR1" s="24" t="n"/>
      <c r="WVS1" s="24" t="n"/>
      <c r="WVT1" s="24" t="n"/>
      <c r="WVU1" s="24" t="n"/>
      <c r="WVV1" s="24" t="n"/>
      <c r="WVW1" s="24" t="n"/>
      <c r="WVX1" s="24" t="n"/>
      <c r="WVY1" s="24" t="n"/>
      <c r="WVZ1" s="24" t="n"/>
      <c r="WWA1" s="24" t="n"/>
      <c r="WWB1" s="24" t="n"/>
      <c r="WWC1" s="24" t="n"/>
      <c r="WWD1" s="24" t="n"/>
      <c r="WWE1" s="24" t="n"/>
      <c r="WWF1" s="24" t="n"/>
      <c r="WWG1" s="24" t="n"/>
      <c r="WWH1" s="24" t="n"/>
      <c r="WWI1" s="24" t="n"/>
      <c r="WWJ1" s="24" t="n"/>
      <c r="WWK1" s="24" t="n"/>
      <c r="WWL1" s="24" t="n"/>
      <c r="WWM1" s="24" t="n"/>
      <c r="WWN1" s="24" t="n"/>
      <c r="WWO1" s="24" t="n"/>
      <c r="WWP1" s="24" t="n"/>
      <c r="WWQ1" s="24" t="n"/>
      <c r="WWR1" s="24" t="n"/>
      <c r="WWS1" s="24" t="n"/>
      <c r="WWT1" s="24" t="n"/>
      <c r="WWU1" s="24" t="n"/>
      <c r="WWV1" s="24" t="n"/>
      <c r="WWW1" s="24" t="n"/>
      <c r="WWX1" s="24" t="n"/>
      <c r="WWY1" s="24" t="n"/>
      <c r="WWZ1" s="24" t="n"/>
      <c r="WXA1" s="24" t="n"/>
      <c r="WXB1" s="24" t="n"/>
      <c r="WXC1" s="24" t="n"/>
      <c r="WXD1" s="24" t="n"/>
      <c r="WXE1" s="24" t="n"/>
      <c r="WXF1" s="24" t="n"/>
      <c r="WXG1" s="24" t="n"/>
      <c r="WXH1" s="24" t="n"/>
      <c r="WXI1" s="24" t="n"/>
      <c r="WXJ1" s="24" t="n"/>
      <c r="WXK1" s="24" t="n"/>
      <c r="WXL1" s="24" t="n"/>
      <c r="WXM1" s="24" t="n"/>
      <c r="WXN1" s="24" t="n"/>
      <c r="WXO1" s="24" t="n"/>
      <c r="WXP1" s="24" t="n"/>
      <c r="WXQ1" s="24" t="n"/>
      <c r="WXR1" s="24" t="n"/>
      <c r="WXS1" s="24" t="n"/>
      <c r="WXT1" s="24" t="n"/>
      <c r="WXU1" s="24" t="n"/>
      <c r="WXV1" s="24" t="n"/>
      <c r="WXW1" s="24" t="n"/>
      <c r="WXX1" s="24" t="n"/>
      <c r="WXY1" s="24" t="n"/>
      <c r="WXZ1" s="24" t="n"/>
      <c r="WYA1" s="24" t="n"/>
      <c r="WYB1" s="24" t="n"/>
      <c r="WYC1" s="24" t="n"/>
      <c r="WYD1" s="24" t="n"/>
      <c r="WYE1" s="24" t="n"/>
      <c r="WYF1" s="24" t="n"/>
      <c r="WYG1" s="24" t="n"/>
      <c r="WYH1" s="24" t="n"/>
      <c r="WYI1" s="24" t="n"/>
      <c r="WYJ1" s="24" t="n"/>
      <c r="WYK1" s="24" t="n"/>
      <c r="WYL1" s="24" t="n"/>
      <c r="WYM1" s="24" t="n"/>
      <c r="WYN1" s="24" t="n"/>
      <c r="WYO1" s="24" t="n"/>
      <c r="WYP1" s="24" t="n"/>
      <c r="WYQ1" s="24" t="n"/>
      <c r="WYR1" s="24" t="n"/>
      <c r="WYS1" s="24" t="n"/>
      <c r="WYT1" s="24" t="n"/>
      <c r="WYU1" s="24" t="n"/>
      <c r="WYV1" s="24" t="n"/>
      <c r="WYW1" s="24" t="n"/>
      <c r="WYX1" s="24" t="n"/>
      <c r="WYY1" s="24" t="n"/>
      <c r="WYZ1" s="24" t="n"/>
      <c r="WZA1" s="24" t="n"/>
      <c r="WZB1" s="24" t="n"/>
      <c r="WZC1" s="24" t="n"/>
      <c r="WZD1" s="24" t="n"/>
      <c r="WZE1" s="24" t="n"/>
      <c r="WZF1" s="24" t="n"/>
      <c r="WZG1" s="24" t="n"/>
      <c r="WZH1" s="24" t="n"/>
      <c r="WZI1" s="24" t="n"/>
      <c r="WZJ1" s="24" t="n"/>
      <c r="WZK1" s="24" t="n"/>
      <c r="WZL1" s="24" t="n"/>
      <c r="WZM1" s="24" t="n"/>
      <c r="WZN1" s="24" t="n"/>
      <c r="WZO1" s="24" t="n"/>
      <c r="WZP1" s="24" t="n"/>
      <c r="WZQ1" s="24" t="n"/>
      <c r="WZR1" s="24" t="n"/>
      <c r="WZS1" s="24" t="n"/>
      <c r="WZT1" s="24" t="n"/>
      <c r="WZU1" s="24" t="n"/>
      <c r="WZV1" s="24" t="n"/>
      <c r="WZW1" s="24" t="n"/>
      <c r="WZX1" s="24" t="n"/>
      <c r="WZY1" s="24" t="n"/>
      <c r="WZZ1" s="24" t="n"/>
      <c r="XAA1" s="24" t="n"/>
      <c r="XAB1" s="24" t="n"/>
      <c r="XAC1" s="24" t="n"/>
      <c r="XAD1" s="24" t="n"/>
      <c r="XAE1" s="24" t="n"/>
      <c r="XAF1" s="24" t="n"/>
      <c r="XAG1" s="24" t="n"/>
      <c r="XAH1" s="24" t="n"/>
      <c r="XAI1" s="24" t="n"/>
      <c r="XAJ1" s="24" t="n"/>
      <c r="XAK1" s="24" t="n"/>
      <c r="XAL1" s="24" t="n"/>
      <c r="XAM1" s="24" t="n"/>
      <c r="XAN1" s="24" t="n"/>
      <c r="XAO1" s="24" t="n"/>
      <c r="XAP1" s="24" t="n"/>
      <c r="XAQ1" s="24" t="n"/>
      <c r="XAR1" s="24" t="n"/>
      <c r="XAS1" s="24" t="n"/>
      <c r="XAT1" s="24" t="n"/>
      <c r="XAU1" s="24" t="n"/>
      <c r="XAV1" s="24" t="n"/>
      <c r="XAW1" s="24" t="n"/>
      <c r="XAX1" s="24" t="n"/>
      <c r="XAY1" s="24" t="n"/>
      <c r="XAZ1" s="24" t="n"/>
      <c r="XBA1" s="24" t="n"/>
      <c r="XBB1" s="24" t="n"/>
      <c r="XBC1" s="24" t="n"/>
      <c r="XBD1" s="24" t="n"/>
      <c r="XBE1" s="24" t="n"/>
      <c r="XBF1" s="24" t="n"/>
      <c r="XBG1" s="24" t="n"/>
      <c r="XBH1" s="24" t="n"/>
      <c r="XBI1" s="24" t="n"/>
      <c r="XBJ1" s="24" t="n"/>
      <c r="XBK1" s="24" t="n"/>
      <c r="XBL1" s="24" t="n"/>
      <c r="XBM1" s="24" t="n"/>
      <c r="XBN1" s="24" t="n"/>
      <c r="XBO1" s="24" t="n"/>
      <c r="XBP1" s="24" t="n"/>
      <c r="XBQ1" s="24" t="n"/>
      <c r="XBR1" s="24" t="n"/>
      <c r="XBS1" s="24" t="n"/>
      <c r="XBT1" s="24" t="n"/>
      <c r="XBU1" s="24" t="n"/>
      <c r="XBV1" s="24" t="n"/>
      <c r="XBW1" s="24" t="n"/>
      <c r="XBX1" s="24" t="n"/>
      <c r="XBY1" s="24" t="n"/>
      <c r="XBZ1" s="24" t="n"/>
      <c r="XCA1" s="24" t="n"/>
      <c r="XCB1" s="24" t="n"/>
      <c r="XCC1" s="24" t="n"/>
      <c r="XCD1" s="24" t="n"/>
      <c r="XCE1" s="24" t="n"/>
      <c r="XCF1" s="24" t="n"/>
      <c r="XCG1" s="24" t="n"/>
      <c r="XCH1" s="24" t="n"/>
      <c r="XCI1" s="24" t="n"/>
      <c r="XCJ1" s="24" t="n"/>
      <c r="XCK1" s="24" t="n"/>
      <c r="XCL1" s="24" t="n"/>
      <c r="XCM1" s="24" t="n"/>
      <c r="XCN1" s="24" t="n"/>
      <c r="XCO1" s="24" t="n"/>
      <c r="XCP1" s="24" t="n"/>
      <c r="XCQ1" s="24" t="n"/>
      <c r="XCR1" s="24" t="n"/>
      <c r="XCS1" s="24" t="n"/>
      <c r="XCT1" s="24" t="n"/>
      <c r="XCU1" s="24" t="n"/>
      <c r="XCV1" s="24" t="n"/>
      <c r="XCW1" s="24" t="n"/>
      <c r="XCX1" s="24" t="n"/>
      <c r="XCY1" s="24" t="n"/>
      <c r="XCZ1" s="24" t="n"/>
      <c r="XDA1" s="24" t="n"/>
      <c r="XDB1" s="24" t="n"/>
      <c r="XDC1" s="24" t="n"/>
      <c r="XDD1" s="24" t="n"/>
      <c r="XDE1" s="24" t="n"/>
      <c r="XDF1" s="24" t="n"/>
      <c r="XDG1" s="24" t="n"/>
      <c r="XDH1" s="24" t="n"/>
      <c r="XDI1" s="24" t="n"/>
      <c r="XDJ1" s="24" t="n"/>
      <c r="XDK1" s="24" t="n"/>
      <c r="XDL1" s="24" t="n"/>
      <c r="XDM1" s="24" t="n"/>
      <c r="XDN1" s="24" t="n"/>
      <c r="XDO1" s="24" t="n"/>
      <c r="XDP1" s="24" t="n"/>
      <c r="XDQ1" s="24" t="n"/>
      <c r="XDR1" s="24" t="n"/>
      <c r="XDS1" s="24" t="n"/>
      <c r="XDT1" s="24" t="n"/>
      <c r="XDU1" s="24" t="n"/>
      <c r="XDV1" s="24" t="n"/>
      <c r="XDW1" s="24" t="n"/>
      <c r="XDX1" s="24" t="n"/>
      <c r="XDY1" s="24" t="n"/>
      <c r="XDZ1" s="24" t="n"/>
      <c r="XEA1" s="24" t="n"/>
      <c r="XEB1" s="24" t="n"/>
      <c r="XEC1" s="24" t="n"/>
      <c r="XED1" s="24" t="n"/>
      <c r="XEE1" s="24" t="n"/>
      <c r="XEF1" s="24" t="n"/>
      <c r="XEG1" s="24" t="n"/>
      <c r="XEH1" s="24" t="n"/>
      <c r="XEI1" s="24" t="n"/>
      <c r="XEJ1" s="24" t="n"/>
      <c r="XEK1" s="24" t="n"/>
      <c r="XEL1" s="24" t="n"/>
      <c r="XEM1" s="24" t="n"/>
      <c r="XEN1" s="24" t="n"/>
      <c r="XEO1" s="24" t="n"/>
      <c r="XEP1" s="24" t="n"/>
      <c r="XEQ1" s="24" t="n"/>
      <c r="XER1" s="24" t="n"/>
      <c r="XES1" s="24" t="n"/>
      <c r="XET1" s="24" t="n"/>
      <c r="XEU1" s="24" t="n"/>
      <c r="XEV1" s="24" t="n"/>
    </row>
    <row r="2" ht="21.5" customHeight="1" s="516">
      <c r="A2" s="180" t="inlineStr">
        <is>
          <t>Project name</t>
        </is>
      </c>
      <c r="B2" s="414">
        <f>'Medius Input Output'!B2</f>
        <v/>
      </c>
      <c r="I2" s="153" t="n"/>
      <c r="J2" s="214" t="n"/>
      <c r="K2" s="214" t="n"/>
      <c r="L2" s="214" t="n"/>
      <c r="M2" s="214" t="n"/>
      <c r="N2" s="214" t="n"/>
      <c r="O2" s="214" t="n"/>
      <c r="P2" s="214" t="n"/>
      <c r="Q2" s="214" t="n"/>
      <c r="R2" s="214" t="n"/>
      <c r="S2" s="214" t="n"/>
      <c r="T2" s="214" t="n"/>
      <c r="U2" s="214" t="n"/>
      <c r="V2" s="214" t="n"/>
      <c r="W2" s="153" t="n"/>
      <c r="Y2" s="214" t="n"/>
      <c r="Z2" s="214" t="n"/>
      <c r="AA2" s="214" t="n"/>
      <c r="AB2" s="214" t="n"/>
      <c r="AC2" s="214" t="n"/>
      <c r="AD2" s="214" t="n"/>
      <c r="AE2" s="214" t="n"/>
      <c r="AF2" s="214" t="n"/>
      <c r="AG2" s="214" t="n"/>
      <c r="AH2" s="214" t="n"/>
      <c r="AI2" s="214" t="n"/>
      <c r="AJ2" s="214" t="n"/>
      <c r="AK2" s="214" t="n"/>
      <c r="AL2" s="214" t="n"/>
      <c r="AM2" s="214" t="n"/>
      <c r="AN2" s="214" t="n"/>
      <c r="AO2" s="214" t="n"/>
      <c r="AP2" s="214" t="n"/>
      <c r="AQ2" s="214" t="n"/>
      <c r="AR2" s="214" t="n"/>
      <c r="AS2" s="214" t="n"/>
      <c r="AT2" s="214" t="n"/>
      <c r="AU2" s="214" t="n"/>
      <c r="AV2" s="214" t="n"/>
      <c r="AW2" s="214" t="n"/>
      <c r="AX2" s="214" t="n"/>
      <c r="AY2" s="214" t="n"/>
      <c r="AZ2" s="214" t="n"/>
      <c r="BA2" s="214" t="n"/>
      <c r="BB2" s="214" t="n"/>
      <c r="BC2" s="214" t="n"/>
      <c r="BD2" s="214" t="n"/>
      <c r="BE2" s="214" t="n"/>
      <c r="BF2" s="214" t="n"/>
      <c r="BG2" s="214" t="n"/>
      <c r="BH2" s="214" t="n"/>
      <c r="BI2" s="214" t="n"/>
      <c r="BJ2" s="214" t="n"/>
      <c r="BK2" s="214" t="n"/>
      <c r="BL2" s="214" t="n"/>
      <c r="BM2" s="214" t="n"/>
      <c r="BN2" s="214" t="n"/>
      <c r="BO2" s="214" t="n"/>
      <c r="BP2" s="214" t="n"/>
      <c r="BQ2" s="214" t="n"/>
      <c r="BR2" s="214" t="n"/>
      <c r="BS2" s="214" t="n"/>
      <c r="BT2" s="214" t="n"/>
      <c r="BU2" s="214" t="n"/>
      <c r="BV2" s="214" t="n"/>
      <c r="BW2" s="214" t="n"/>
      <c r="BX2" s="214" t="n"/>
      <c r="BY2" s="214" t="n"/>
      <c r="BZ2" s="214" t="n"/>
      <c r="CA2" s="149" t="n"/>
      <c r="CB2" s="149" t="n"/>
      <c r="CC2" s="149" t="n"/>
      <c r="CD2" s="149" t="n"/>
      <c r="CE2" s="150" t="n"/>
      <c r="CF2" s="24" t="n"/>
      <c r="CG2" s="24" t="n"/>
      <c r="CH2" s="24" t="n"/>
      <c r="CI2" s="24" t="n"/>
      <c r="CJ2" s="24" t="n"/>
      <c r="CK2" s="24" t="n"/>
      <c r="CL2" s="24" t="n"/>
      <c r="CM2" s="24" t="n"/>
      <c r="CN2" s="24" t="n"/>
      <c r="CO2" s="24" t="n"/>
      <c r="CP2" s="24" t="n"/>
      <c r="CQ2" s="24" t="n"/>
      <c r="CR2" s="24" t="n"/>
      <c r="CS2" s="24" t="n"/>
      <c r="CT2" s="24" t="n"/>
      <c r="CU2" s="24" t="n"/>
      <c r="CV2" s="24" t="n"/>
      <c r="CW2" s="24" t="n"/>
      <c r="CX2" s="24" t="n"/>
      <c r="CY2" s="24" t="n"/>
      <c r="CZ2" s="24" t="n"/>
      <c r="DA2" s="24" t="n"/>
      <c r="DB2" s="24" t="n"/>
      <c r="DC2" s="24" t="n"/>
      <c r="DD2" s="24" t="n"/>
      <c r="DE2" s="24" t="n"/>
      <c r="DF2" s="24" t="n"/>
      <c r="DG2" s="24" t="n"/>
      <c r="DH2" s="24" t="n"/>
      <c r="DI2" s="24" t="n"/>
      <c r="DJ2" s="24" t="n"/>
      <c r="DK2" s="24" t="n"/>
      <c r="DL2" s="24" t="n"/>
      <c r="DM2" s="24" t="n"/>
      <c r="DN2" s="24" t="n"/>
      <c r="DO2" s="24" t="n"/>
      <c r="DP2" s="24" t="n"/>
      <c r="DQ2" s="24" t="n"/>
      <c r="DR2" s="24" t="n"/>
      <c r="DS2" s="24" t="n"/>
      <c r="DT2" s="24" t="n"/>
      <c r="DU2" s="24" t="n"/>
      <c r="DV2" s="24" t="n"/>
      <c r="DW2" s="24" t="n"/>
      <c r="DX2" s="24" t="n"/>
      <c r="DY2" s="24" t="n"/>
      <c r="DZ2" s="24" t="n"/>
      <c r="EA2" s="24" t="n"/>
      <c r="EB2" s="24" t="n"/>
      <c r="EC2" s="24" t="n"/>
      <c r="ED2" s="24" t="n"/>
      <c r="EE2" s="24" t="n"/>
      <c r="EF2" s="24" t="n"/>
      <c r="EG2" s="24" t="n"/>
      <c r="EH2" s="24" t="n"/>
      <c r="EI2" s="24" t="n"/>
      <c r="EJ2" s="24" t="n"/>
      <c r="EK2" s="24" t="n"/>
      <c r="EL2" s="24" t="n"/>
      <c r="EM2" s="24" t="n"/>
      <c r="EN2" s="24" t="n"/>
      <c r="EO2" s="24" t="n"/>
      <c r="EP2" s="24" t="n"/>
      <c r="EQ2" s="24" t="n"/>
      <c r="ER2" s="24" t="n"/>
      <c r="ES2" s="24" t="n"/>
      <c r="ET2" s="24" t="n"/>
      <c r="EU2" s="24" t="n"/>
      <c r="EV2" s="24" t="n"/>
      <c r="EW2" s="24" t="n"/>
      <c r="EX2" s="24" t="n"/>
      <c r="EY2" s="24" t="n"/>
      <c r="EZ2" s="24" t="n"/>
      <c r="FA2" s="24" t="n"/>
      <c r="FB2" s="24" t="n"/>
      <c r="FC2" s="24" t="n"/>
      <c r="FD2" s="24" t="n"/>
      <c r="FE2" s="24" t="n"/>
      <c r="FF2" s="24" t="n"/>
      <c r="FG2" s="24" t="n"/>
      <c r="FH2" s="24" t="n"/>
      <c r="FI2" s="24" t="n"/>
      <c r="FJ2" s="24" t="n"/>
      <c r="FK2" s="24" t="n"/>
      <c r="FL2" s="24" t="n"/>
      <c r="FM2" s="24" t="n"/>
      <c r="FN2" s="24" t="n"/>
      <c r="FO2" s="24" t="n"/>
      <c r="FP2" s="24" t="n"/>
      <c r="FQ2" s="24" t="n"/>
      <c r="FR2" s="24" t="n"/>
      <c r="FS2" s="24" t="n"/>
      <c r="FT2" s="24" t="n"/>
      <c r="FU2" s="24" t="n"/>
      <c r="FV2" s="24" t="n"/>
      <c r="FW2" s="24" t="n"/>
      <c r="FX2" s="24" t="n"/>
      <c r="FY2" s="24" t="n"/>
      <c r="FZ2" s="24" t="n"/>
      <c r="GA2" s="24" t="n"/>
      <c r="GB2" s="24" t="n"/>
      <c r="GC2" s="24" t="n"/>
      <c r="GD2" s="24" t="n"/>
      <c r="GE2" s="24" t="n"/>
      <c r="GF2" s="24" t="n"/>
      <c r="GG2" s="24" t="n"/>
      <c r="GH2" s="24" t="n"/>
      <c r="GI2" s="24" t="n"/>
      <c r="GJ2" s="24" t="n"/>
      <c r="GK2" s="24" t="n"/>
      <c r="GL2" s="24" t="n"/>
      <c r="GM2" s="24" t="n"/>
      <c r="GN2" s="24" t="n"/>
      <c r="GO2" s="24" t="n"/>
      <c r="GP2" s="24" t="n"/>
      <c r="GQ2" s="24" t="n"/>
      <c r="GR2" s="24" t="n"/>
      <c r="GS2" s="24" t="n"/>
      <c r="GT2" s="24" t="n"/>
      <c r="GU2" s="24" t="n"/>
      <c r="GV2" s="24" t="n"/>
      <c r="GW2" s="24" t="n"/>
      <c r="GX2" s="24" t="n"/>
      <c r="GY2" s="24" t="n"/>
      <c r="GZ2" s="24" t="n"/>
      <c r="HA2" s="24" t="n"/>
      <c r="HB2" s="24" t="n"/>
      <c r="HC2" s="24" t="n"/>
      <c r="HD2" s="24" t="n"/>
      <c r="HE2" s="24" t="n"/>
      <c r="HF2" s="24" t="n"/>
      <c r="HG2" s="24" t="n"/>
      <c r="HH2" s="24" t="n"/>
      <c r="HI2" s="24" t="n"/>
      <c r="HJ2" s="24" t="n"/>
      <c r="HK2" s="24" t="n"/>
      <c r="HL2" s="24" t="n"/>
      <c r="HM2" s="24" t="n"/>
      <c r="HN2" s="24" t="n"/>
      <c r="HO2" s="24" t="n"/>
      <c r="HP2" s="24" t="n"/>
      <c r="HQ2" s="24" t="n"/>
      <c r="HR2" s="24" t="n"/>
      <c r="HS2" s="24" t="n"/>
      <c r="HT2" s="24" t="n"/>
      <c r="HU2" s="24" t="n"/>
      <c r="HV2" s="24" t="n"/>
      <c r="HW2" s="24" t="n"/>
      <c r="HX2" s="24" t="n"/>
      <c r="HY2" s="24" t="n"/>
      <c r="HZ2" s="24" t="n"/>
      <c r="IA2" s="24" t="n"/>
      <c r="IB2" s="24" t="n"/>
      <c r="IC2" s="24" t="n"/>
      <c r="ID2" s="24" t="n"/>
      <c r="IE2" s="24" t="n"/>
      <c r="IF2" s="24" t="n"/>
      <c r="IG2" s="24" t="n"/>
      <c r="IH2" s="24" t="n"/>
      <c r="II2" s="24" t="n"/>
      <c r="IJ2" s="24" t="n"/>
      <c r="IK2" s="24" t="n"/>
      <c r="IL2" s="24" t="n"/>
      <c r="IM2" s="24" t="n"/>
      <c r="IN2" s="24" t="n"/>
      <c r="IO2" s="24" t="n"/>
      <c r="IP2" s="24" t="n"/>
      <c r="IQ2" s="24" t="n"/>
      <c r="IR2" s="24" t="n"/>
      <c r="IS2" s="24" t="n"/>
      <c r="IT2" s="24" t="n"/>
      <c r="IU2" s="24" t="n"/>
      <c r="IV2" s="24" t="n"/>
      <c r="IW2" s="24" t="n"/>
      <c r="IX2" s="24" t="n"/>
      <c r="IY2" s="24" t="n"/>
      <c r="IZ2" s="24" t="n"/>
      <c r="JA2" s="24" t="n"/>
      <c r="JB2" s="24" t="n"/>
      <c r="JC2" s="24" t="n"/>
      <c r="JD2" s="24" t="n"/>
      <c r="JE2" s="24" t="n"/>
      <c r="JF2" s="24" t="n"/>
      <c r="JG2" s="24" t="n"/>
      <c r="JH2" s="24" t="n"/>
      <c r="JI2" s="24" t="n"/>
      <c r="JJ2" s="24" t="n"/>
      <c r="JK2" s="24" t="n"/>
      <c r="JL2" s="24" t="n"/>
      <c r="JM2" s="24" t="n"/>
      <c r="JN2" s="24" t="n"/>
      <c r="JO2" s="24" t="n"/>
      <c r="JP2" s="24" t="n"/>
      <c r="JQ2" s="24" t="n"/>
      <c r="JR2" s="24" t="n"/>
      <c r="JS2" s="24" t="n"/>
      <c r="JT2" s="24" t="n"/>
      <c r="JU2" s="24" t="n"/>
      <c r="JV2" s="24" t="n"/>
      <c r="JW2" s="24" t="n"/>
      <c r="JX2" s="24" t="n"/>
      <c r="JY2" s="24" t="n"/>
      <c r="JZ2" s="24" t="n"/>
      <c r="KA2" s="24" t="n"/>
      <c r="KB2" s="24" t="n"/>
      <c r="KC2" s="24" t="n"/>
      <c r="KD2" s="24" t="n"/>
      <c r="KE2" s="24" t="n"/>
      <c r="KF2" s="24" t="n"/>
      <c r="KG2" s="24" t="n"/>
      <c r="KH2" s="24" t="n"/>
      <c r="KI2" s="24" t="n"/>
      <c r="KJ2" s="24" t="n"/>
      <c r="KK2" s="24" t="n"/>
      <c r="KL2" s="24" t="n"/>
      <c r="KM2" s="24" t="n"/>
      <c r="KN2" s="24" t="n"/>
      <c r="KO2" s="24" t="n"/>
      <c r="KP2" s="24" t="n"/>
      <c r="KQ2" s="24" t="n"/>
      <c r="KR2" s="24" t="n"/>
      <c r="KS2" s="24" t="n"/>
      <c r="KT2" s="24" t="n"/>
      <c r="KU2" s="24" t="n"/>
      <c r="KV2" s="24" t="n"/>
      <c r="KW2" s="24" t="n"/>
      <c r="KX2" s="24" t="n"/>
      <c r="KY2" s="24" t="n"/>
      <c r="KZ2" s="24" t="n"/>
      <c r="LA2" s="24" t="n"/>
      <c r="LB2" s="24" t="n"/>
      <c r="LC2" s="24" t="n"/>
      <c r="LD2" s="24" t="n"/>
      <c r="LE2" s="24" t="n"/>
      <c r="LF2" s="24" t="n"/>
      <c r="LG2" s="24" t="n"/>
      <c r="LH2" s="24" t="n"/>
      <c r="LI2" s="24" t="n"/>
      <c r="LJ2" s="24" t="n"/>
      <c r="LK2" s="24" t="n"/>
      <c r="LL2" s="24" t="n"/>
      <c r="LM2" s="24" t="n"/>
      <c r="LN2" s="24" t="n"/>
      <c r="LO2" s="24" t="n"/>
      <c r="LP2" s="24" t="n"/>
      <c r="LQ2" s="24" t="n"/>
      <c r="LR2" s="24" t="n"/>
      <c r="LS2" s="24" t="n"/>
      <c r="LT2" s="24" t="n"/>
      <c r="LU2" s="24" t="n"/>
      <c r="LV2" s="24" t="n"/>
      <c r="LW2" s="24" t="n"/>
      <c r="LX2" s="24" t="n"/>
      <c r="LY2" s="24" t="n"/>
      <c r="LZ2" s="24" t="n"/>
      <c r="MA2" s="24" t="n"/>
      <c r="MB2" s="24" t="n"/>
      <c r="MC2" s="24" t="n"/>
      <c r="MD2" s="24" t="n"/>
      <c r="ME2" s="24" t="n"/>
      <c r="MF2" s="24" t="n"/>
      <c r="MG2" s="24" t="n"/>
      <c r="MH2" s="24" t="n"/>
      <c r="MI2" s="24" t="n"/>
      <c r="MJ2" s="24" t="n"/>
      <c r="MK2" s="24" t="n"/>
      <c r="ML2" s="24" t="n"/>
      <c r="MM2" s="24" t="n"/>
      <c r="MN2" s="24" t="n"/>
      <c r="MO2" s="24" t="n"/>
      <c r="MP2" s="24" t="n"/>
      <c r="MQ2" s="24" t="n"/>
      <c r="MR2" s="24" t="n"/>
      <c r="MS2" s="24" t="n"/>
      <c r="MT2" s="24" t="n"/>
      <c r="MU2" s="24" t="n"/>
      <c r="MV2" s="24" t="n"/>
      <c r="MW2" s="24" t="n"/>
      <c r="MX2" s="24" t="n"/>
      <c r="MY2" s="24" t="n"/>
      <c r="MZ2" s="24" t="n"/>
      <c r="NA2" s="24" t="n"/>
      <c r="NB2" s="24" t="n"/>
      <c r="NC2" s="24" t="n"/>
      <c r="ND2" s="24" t="n"/>
      <c r="NE2" s="24" t="n"/>
      <c r="NF2" s="24" t="n"/>
      <c r="NG2" s="24" t="n"/>
      <c r="NH2" s="24" t="n"/>
      <c r="NI2" s="24" t="n"/>
      <c r="NJ2" s="24" t="n"/>
      <c r="NK2" s="24" t="n"/>
      <c r="NL2" s="24" t="n"/>
      <c r="NM2" s="24" t="n"/>
      <c r="NN2" s="24" t="n"/>
      <c r="NO2" s="24" t="n"/>
      <c r="NP2" s="24" t="n"/>
      <c r="NQ2" s="24" t="n"/>
      <c r="NR2" s="24" t="n"/>
      <c r="NS2" s="24" t="n"/>
      <c r="NT2" s="24" t="n"/>
      <c r="NU2" s="24" t="n"/>
      <c r="NV2" s="24" t="n"/>
      <c r="NW2" s="24" t="n"/>
      <c r="NX2" s="24" t="n"/>
      <c r="NY2" s="24" t="n"/>
      <c r="NZ2" s="24" t="n"/>
      <c r="OA2" s="24" t="n"/>
      <c r="OB2" s="24" t="n"/>
      <c r="OC2" s="24" t="n"/>
      <c r="OD2" s="24" t="n"/>
      <c r="OE2" s="24" t="n"/>
      <c r="OF2" s="24" t="n"/>
      <c r="OG2" s="24" t="n"/>
      <c r="OH2" s="24" t="n"/>
      <c r="OI2" s="24" t="n"/>
      <c r="OJ2" s="24" t="n"/>
      <c r="OK2" s="24" t="n"/>
      <c r="OL2" s="24" t="n"/>
      <c r="OM2" s="24" t="n"/>
      <c r="ON2" s="24" t="n"/>
      <c r="OO2" s="24" t="n"/>
      <c r="OP2" s="24" t="n"/>
      <c r="OQ2" s="24" t="n"/>
      <c r="OR2" s="24" t="n"/>
      <c r="OS2" s="24" t="n"/>
      <c r="OT2" s="24" t="n"/>
      <c r="OU2" s="24" t="n"/>
      <c r="OV2" s="24" t="n"/>
      <c r="OW2" s="24" t="n"/>
      <c r="OX2" s="24" t="n"/>
      <c r="OY2" s="24" t="n"/>
      <c r="OZ2" s="24" t="n"/>
      <c r="PA2" s="24" t="n"/>
      <c r="PB2" s="24" t="n"/>
      <c r="PC2" s="24" t="n"/>
      <c r="PD2" s="24" t="n"/>
      <c r="PE2" s="24" t="n"/>
      <c r="PF2" s="24" t="n"/>
      <c r="PG2" s="24" t="n"/>
      <c r="PH2" s="24" t="n"/>
      <c r="PI2" s="24" t="n"/>
      <c r="PJ2" s="24" t="n"/>
      <c r="PK2" s="24" t="n"/>
      <c r="PL2" s="24" t="n"/>
      <c r="PM2" s="24" t="n"/>
      <c r="PN2" s="24" t="n"/>
      <c r="PO2" s="24" t="n"/>
      <c r="PP2" s="24" t="n"/>
      <c r="PQ2" s="24" t="n"/>
      <c r="PR2" s="24" t="n"/>
      <c r="PS2" s="24" t="n"/>
      <c r="PT2" s="24" t="n"/>
      <c r="PU2" s="24" t="n"/>
      <c r="PV2" s="24" t="n"/>
      <c r="PW2" s="24" t="n"/>
      <c r="PX2" s="24" t="n"/>
      <c r="PY2" s="24" t="n"/>
      <c r="PZ2" s="24" t="n"/>
      <c r="QA2" s="24" t="n"/>
      <c r="QB2" s="24" t="n"/>
      <c r="QC2" s="24" t="n"/>
      <c r="QD2" s="24" t="n"/>
      <c r="QE2" s="24" t="n"/>
      <c r="QF2" s="24" t="n"/>
      <c r="QG2" s="24" t="n"/>
      <c r="QH2" s="24" t="n"/>
      <c r="QI2" s="24" t="n"/>
      <c r="QJ2" s="24" t="n"/>
      <c r="QK2" s="24" t="n"/>
      <c r="QL2" s="24" t="n"/>
      <c r="QM2" s="24" t="n"/>
      <c r="QN2" s="24" t="n"/>
      <c r="QO2" s="24" t="n"/>
      <c r="QP2" s="24" t="n"/>
      <c r="QQ2" s="24" t="n"/>
      <c r="QR2" s="24" t="n"/>
      <c r="QS2" s="24" t="n"/>
      <c r="QT2" s="24" t="n"/>
      <c r="QU2" s="24" t="n"/>
      <c r="QV2" s="24" t="n"/>
      <c r="QW2" s="24" t="n"/>
      <c r="QX2" s="24" t="n"/>
      <c r="QY2" s="24" t="n"/>
      <c r="QZ2" s="24" t="n"/>
      <c r="RA2" s="24" t="n"/>
      <c r="RB2" s="24" t="n"/>
      <c r="RC2" s="24" t="n"/>
      <c r="RD2" s="24" t="n"/>
      <c r="RE2" s="24" t="n"/>
      <c r="RF2" s="24" t="n"/>
      <c r="RG2" s="24" t="n"/>
      <c r="RH2" s="24" t="n"/>
      <c r="RI2" s="24" t="n"/>
      <c r="RJ2" s="24" t="n"/>
      <c r="RK2" s="24" t="n"/>
      <c r="RL2" s="24" t="n"/>
      <c r="RM2" s="24" t="n"/>
      <c r="RN2" s="24" t="n"/>
      <c r="RO2" s="24" t="n"/>
      <c r="RP2" s="24" t="n"/>
      <c r="RQ2" s="24" t="n"/>
      <c r="RR2" s="24" t="n"/>
      <c r="RS2" s="24" t="n"/>
      <c r="RT2" s="24" t="n"/>
      <c r="RU2" s="24" t="n"/>
      <c r="RV2" s="24" t="n"/>
      <c r="RW2" s="24" t="n"/>
      <c r="RX2" s="24" t="n"/>
      <c r="RY2" s="24" t="n"/>
      <c r="RZ2" s="24" t="n"/>
      <c r="SA2" s="24" t="n"/>
      <c r="SB2" s="24" t="n"/>
      <c r="SC2" s="24" t="n"/>
      <c r="SD2" s="24" t="n"/>
      <c r="SE2" s="24" t="n"/>
      <c r="SF2" s="24" t="n"/>
      <c r="SG2" s="24" t="n"/>
      <c r="SH2" s="24" t="n"/>
      <c r="SI2" s="24" t="n"/>
      <c r="SJ2" s="24" t="n"/>
      <c r="SK2" s="24" t="n"/>
      <c r="SL2" s="24" t="n"/>
      <c r="SM2" s="24" t="n"/>
      <c r="SN2" s="24" t="n"/>
      <c r="SO2" s="24" t="n"/>
      <c r="SP2" s="24" t="n"/>
      <c r="SQ2" s="24" t="n"/>
      <c r="SR2" s="24" t="n"/>
      <c r="SS2" s="24" t="n"/>
      <c r="ST2" s="24" t="n"/>
      <c r="SU2" s="24" t="n"/>
      <c r="SV2" s="24" t="n"/>
      <c r="SW2" s="24" t="n"/>
      <c r="SX2" s="24" t="n"/>
      <c r="SY2" s="24" t="n"/>
      <c r="SZ2" s="24" t="n"/>
      <c r="TA2" s="24" t="n"/>
      <c r="TB2" s="24" t="n"/>
      <c r="TC2" s="24" t="n"/>
      <c r="TD2" s="24" t="n"/>
      <c r="TE2" s="24" t="n"/>
      <c r="TF2" s="24" t="n"/>
      <c r="TG2" s="24" t="n"/>
      <c r="TH2" s="24" t="n"/>
      <c r="TI2" s="24" t="n"/>
      <c r="TJ2" s="24" t="n"/>
      <c r="TK2" s="24" t="n"/>
      <c r="TL2" s="24" t="n"/>
      <c r="TM2" s="24" t="n"/>
      <c r="TN2" s="24" t="n"/>
      <c r="TO2" s="24" t="n"/>
      <c r="TP2" s="24" t="n"/>
      <c r="TQ2" s="24" t="n"/>
      <c r="TR2" s="24" t="n"/>
      <c r="TS2" s="24" t="n"/>
      <c r="TT2" s="24" t="n"/>
      <c r="TU2" s="24" t="n"/>
      <c r="TV2" s="24" t="n"/>
      <c r="TW2" s="24" t="n"/>
      <c r="TX2" s="24" t="n"/>
      <c r="TY2" s="24" t="n"/>
      <c r="TZ2" s="24" t="n"/>
      <c r="UA2" s="24" t="n"/>
      <c r="UB2" s="24" t="n"/>
      <c r="UC2" s="24" t="n"/>
      <c r="UD2" s="24" t="n"/>
      <c r="UE2" s="24" t="n"/>
      <c r="UF2" s="24" t="n"/>
      <c r="UG2" s="24" t="n"/>
      <c r="UH2" s="24" t="n"/>
      <c r="UI2" s="24" t="n"/>
      <c r="UJ2" s="24" t="n"/>
      <c r="UK2" s="24" t="n"/>
      <c r="UL2" s="24" t="n"/>
      <c r="UM2" s="24" t="n"/>
      <c r="UN2" s="24" t="n"/>
      <c r="UO2" s="24" t="n"/>
      <c r="UP2" s="24" t="n"/>
      <c r="UQ2" s="24" t="n"/>
      <c r="UR2" s="24" t="n"/>
      <c r="US2" s="24" t="n"/>
      <c r="UT2" s="24" t="n"/>
      <c r="UU2" s="24" t="n"/>
      <c r="UV2" s="24" t="n"/>
      <c r="UW2" s="24" t="n"/>
      <c r="UX2" s="24" t="n"/>
      <c r="UY2" s="24" t="n"/>
      <c r="UZ2" s="24" t="n"/>
      <c r="VA2" s="24" t="n"/>
      <c r="VB2" s="24" t="n"/>
      <c r="VC2" s="24" t="n"/>
      <c r="VD2" s="24" t="n"/>
      <c r="VE2" s="24" t="n"/>
      <c r="VF2" s="24" t="n"/>
      <c r="VG2" s="24" t="n"/>
      <c r="VH2" s="24" t="n"/>
      <c r="VI2" s="24" t="n"/>
      <c r="VJ2" s="24" t="n"/>
      <c r="VK2" s="24" t="n"/>
      <c r="VL2" s="24" t="n"/>
      <c r="VM2" s="24" t="n"/>
      <c r="VN2" s="24" t="n"/>
      <c r="VO2" s="24" t="n"/>
      <c r="VP2" s="24" t="n"/>
      <c r="VQ2" s="24" t="n"/>
      <c r="VR2" s="24" t="n"/>
      <c r="VS2" s="24" t="n"/>
      <c r="VT2" s="24" t="n"/>
      <c r="VU2" s="24" t="n"/>
      <c r="VV2" s="24" t="n"/>
      <c r="VW2" s="24" t="n"/>
      <c r="VX2" s="24" t="n"/>
      <c r="VY2" s="24" t="n"/>
      <c r="VZ2" s="24" t="n"/>
      <c r="WA2" s="24" t="n"/>
      <c r="WB2" s="24" t="n"/>
      <c r="WC2" s="24" t="n"/>
      <c r="WD2" s="24" t="n"/>
      <c r="WE2" s="24" t="n"/>
      <c r="WF2" s="24" t="n"/>
      <c r="WG2" s="24" t="n"/>
      <c r="WH2" s="24" t="n"/>
      <c r="WI2" s="24" t="n"/>
      <c r="WJ2" s="24" t="n"/>
      <c r="WK2" s="24" t="n"/>
      <c r="WL2" s="24" t="n"/>
      <c r="WM2" s="24" t="n"/>
      <c r="WN2" s="24" t="n"/>
      <c r="WO2" s="24" t="n"/>
      <c r="WP2" s="24" t="n"/>
      <c r="WQ2" s="24" t="n"/>
      <c r="WR2" s="24" t="n"/>
      <c r="WS2" s="24" t="n"/>
      <c r="WT2" s="24" t="n"/>
      <c r="WU2" s="24" t="n"/>
      <c r="WV2" s="24" t="n"/>
      <c r="WW2" s="24" t="n"/>
      <c r="WX2" s="24" t="n"/>
      <c r="WY2" s="24" t="n"/>
      <c r="WZ2" s="24" t="n"/>
      <c r="XA2" s="24" t="n"/>
      <c r="XB2" s="24" t="n"/>
      <c r="XC2" s="24" t="n"/>
      <c r="XD2" s="24" t="n"/>
      <c r="XE2" s="24" t="n"/>
      <c r="XF2" s="24" t="n"/>
      <c r="XG2" s="24" t="n"/>
      <c r="XH2" s="24" t="n"/>
      <c r="XI2" s="24" t="n"/>
      <c r="XJ2" s="24" t="n"/>
      <c r="XK2" s="24" t="n"/>
      <c r="XL2" s="24" t="n"/>
      <c r="XM2" s="24" t="n"/>
      <c r="XN2" s="24" t="n"/>
      <c r="XO2" s="24" t="n"/>
      <c r="XP2" s="24" t="n"/>
      <c r="XQ2" s="24" t="n"/>
      <c r="XR2" s="24" t="n"/>
      <c r="XS2" s="24" t="n"/>
      <c r="XT2" s="24" t="n"/>
      <c r="XU2" s="24" t="n"/>
      <c r="XV2" s="24" t="n"/>
      <c r="XW2" s="24" t="n"/>
      <c r="XX2" s="24" t="n"/>
      <c r="XY2" s="24" t="n"/>
      <c r="XZ2" s="24" t="n"/>
      <c r="YA2" s="24" t="n"/>
      <c r="YB2" s="24" t="n"/>
      <c r="YC2" s="24" t="n"/>
      <c r="YD2" s="24" t="n"/>
      <c r="YE2" s="24" t="n"/>
      <c r="YF2" s="24" t="n"/>
      <c r="YG2" s="24" t="n"/>
      <c r="YH2" s="24" t="n"/>
      <c r="YI2" s="24" t="n"/>
      <c r="YJ2" s="24" t="n"/>
      <c r="YK2" s="24" t="n"/>
      <c r="YL2" s="24" t="n"/>
      <c r="YM2" s="24" t="n"/>
      <c r="YN2" s="24" t="n"/>
      <c r="YO2" s="24" t="n"/>
      <c r="YP2" s="24" t="n"/>
      <c r="YQ2" s="24" t="n"/>
      <c r="YR2" s="24" t="n"/>
      <c r="YS2" s="24" t="n"/>
      <c r="YT2" s="24" t="n"/>
      <c r="YU2" s="24" t="n"/>
      <c r="YV2" s="24" t="n"/>
      <c r="YW2" s="24" t="n"/>
      <c r="YX2" s="24" t="n"/>
      <c r="YY2" s="24" t="n"/>
      <c r="YZ2" s="24" t="n"/>
      <c r="ZA2" s="24" t="n"/>
      <c r="ZB2" s="24" t="n"/>
      <c r="ZC2" s="24" t="n"/>
      <c r="ZD2" s="24" t="n"/>
      <c r="ZE2" s="24" t="n"/>
      <c r="ZF2" s="24" t="n"/>
      <c r="ZG2" s="24" t="n"/>
      <c r="ZH2" s="24" t="n"/>
      <c r="ZI2" s="24" t="n"/>
      <c r="ZJ2" s="24" t="n"/>
      <c r="ZK2" s="24" t="n"/>
      <c r="ZL2" s="24" t="n"/>
      <c r="ZM2" s="24" t="n"/>
      <c r="ZN2" s="24" t="n"/>
      <c r="ZO2" s="24" t="n"/>
      <c r="ZP2" s="24" t="n"/>
      <c r="ZQ2" s="24" t="n"/>
      <c r="ZR2" s="24" t="n"/>
      <c r="ZS2" s="24" t="n"/>
      <c r="ZT2" s="24" t="n"/>
      <c r="ZU2" s="24" t="n"/>
      <c r="ZV2" s="24" t="n"/>
      <c r="ZW2" s="24" t="n"/>
      <c r="ZX2" s="24" t="n"/>
      <c r="ZY2" s="24" t="n"/>
      <c r="ZZ2" s="24" t="n"/>
      <c r="AAA2" s="24" t="n"/>
      <c r="AAB2" s="24" t="n"/>
      <c r="AAC2" s="24" t="n"/>
      <c r="AAD2" s="24" t="n"/>
      <c r="AAE2" s="24" t="n"/>
      <c r="AAF2" s="24" t="n"/>
      <c r="AAG2" s="24" t="n"/>
      <c r="AAH2" s="24" t="n"/>
      <c r="AAI2" s="24" t="n"/>
      <c r="AAJ2" s="24" t="n"/>
      <c r="AAK2" s="24" t="n"/>
      <c r="AAL2" s="24" t="n"/>
      <c r="AAM2" s="24" t="n"/>
      <c r="AAN2" s="24" t="n"/>
      <c r="AAO2" s="24" t="n"/>
      <c r="AAP2" s="24" t="n"/>
      <c r="AAQ2" s="24" t="n"/>
      <c r="AAR2" s="24" t="n"/>
      <c r="AAS2" s="24" t="n"/>
      <c r="AAT2" s="24" t="n"/>
      <c r="AAU2" s="24" t="n"/>
      <c r="AAV2" s="24" t="n"/>
      <c r="AAW2" s="24" t="n"/>
      <c r="AAX2" s="24" t="n"/>
      <c r="AAY2" s="24" t="n"/>
      <c r="AAZ2" s="24" t="n"/>
      <c r="ABA2" s="24" t="n"/>
      <c r="ABB2" s="24" t="n"/>
      <c r="ABC2" s="24" t="n"/>
      <c r="ABD2" s="24" t="n"/>
      <c r="ABE2" s="24" t="n"/>
      <c r="ABF2" s="24" t="n"/>
      <c r="ABG2" s="24" t="n"/>
      <c r="ABH2" s="24" t="n"/>
      <c r="ABI2" s="24" t="n"/>
      <c r="ABJ2" s="24" t="n"/>
      <c r="ABK2" s="24" t="n"/>
      <c r="ABL2" s="24" t="n"/>
      <c r="ABM2" s="24" t="n"/>
      <c r="ABN2" s="24" t="n"/>
      <c r="ABO2" s="24" t="n"/>
      <c r="ABP2" s="24" t="n"/>
      <c r="ABQ2" s="24" t="n"/>
      <c r="ABR2" s="24" t="n"/>
      <c r="ABS2" s="24" t="n"/>
      <c r="ABT2" s="24" t="n"/>
      <c r="ABU2" s="24" t="n"/>
      <c r="ABV2" s="24" t="n"/>
      <c r="ABW2" s="24" t="n"/>
      <c r="ABX2" s="24" t="n"/>
      <c r="ABY2" s="24" t="n"/>
      <c r="ABZ2" s="24" t="n"/>
      <c r="ACA2" s="24" t="n"/>
      <c r="ACB2" s="24" t="n"/>
      <c r="ACC2" s="24" t="n"/>
      <c r="ACD2" s="24" t="n"/>
      <c r="ACE2" s="24" t="n"/>
      <c r="ACF2" s="24" t="n"/>
      <c r="ACG2" s="24" t="n"/>
      <c r="ACH2" s="24" t="n"/>
      <c r="ACI2" s="24" t="n"/>
      <c r="ACJ2" s="24" t="n"/>
      <c r="ACK2" s="24" t="n"/>
      <c r="ACL2" s="24" t="n"/>
      <c r="ACM2" s="24" t="n"/>
      <c r="ACN2" s="24" t="n"/>
      <c r="ACO2" s="24" t="n"/>
      <c r="ACP2" s="24" t="n"/>
      <c r="ACQ2" s="24" t="n"/>
      <c r="ACR2" s="24" t="n"/>
      <c r="ACS2" s="24" t="n"/>
      <c r="ACT2" s="24" t="n"/>
      <c r="ACU2" s="24" t="n"/>
      <c r="ACV2" s="24" t="n"/>
      <c r="ACW2" s="24" t="n"/>
      <c r="ACX2" s="24" t="n"/>
      <c r="ACY2" s="24" t="n"/>
      <c r="ACZ2" s="24" t="n"/>
      <c r="ADA2" s="24" t="n"/>
      <c r="ADB2" s="24" t="n"/>
      <c r="ADC2" s="24" t="n"/>
      <c r="ADD2" s="24" t="n"/>
      <c r="ADE2" s="24" t="n"/>
      <c r="ADF2" s="24" t="n"/>
      <c r="ADG2" s="24" t="n"/>
      <c r="ADH2" s="24" t="n"/>
      <c r="ADI2" s="24" t="n"/>
      <c r="ADJ2" s="24" t="n"/>
      <c r="ADK2" s="24" t="n"/>
      <c r="ADL2" s="24" t="n"/>
      <c r="ADM2" s="24" t="n"/>
      <c r="ADN2" s="24" t="n"/>
      <c r="ADO2" s="24" t="n"/>
      <c r="ADP2" s="24" t="n"/>
      <c r="ADQ2" s="24" t="n"/>
      <c r="ADR2" s="24" t="n"/>
      <c r="ADS2" s="24" t="n"/>
      <c r="ADT2" s="24" t="n"/>
      <c r="ADU2" s="24" t="n"/>
      <c r="ADV2" s="24" t="n"/>
      <c r="ADW2" s="24" t="n"/>
      <c r="ADX2" s="24" t="n"/>
      <c r="ADY2" s="24" t="n"/>
      <c r="ADZ2" s="24" t="n"/>
      <c r="AEA2" s="24" t="n"/>
      <c r="AEB2" s="24" t="n"/>
      <c r="AEC2" s="24" t="n"/>
      <c r="AED2" s="24" t="n"/>
      <c r="AEE2" s="24" t="n"/>
      <c r="AEF2" s="24" t="n"/>
      <c r="AEG2" s="24" t="n"/>
      <c r="AEH2" s="24" t="n"/>
      <c r="AEI2" s="24" t="n"/>
      <c r="AEJ2" s="24" t="n"/>
      <c r="AEK2" s="24" t="n"/>
      <c r="AEL2" s="24" t="n"/>
      <c r="AEM2" s="24" t="n"/>
      <c r="AEN2" s="24" t="n"/>
      <c r="AEO2" s="24" t="n"/>
      <c r="AEP2" s="24" t="n"/>
      <c r="AEQ2" s="24" t="n"/>
      <c r="AER2" s="24" t="n"/>
      <c r="AES2" s="24" t="n"/>
      <c r="AET2" s="24" t="n"/>
      <c r="AEU2" s="24" t="n"/>
      <c r="AEV2" s="24" t="n"/>
      <c r="AEW2" s="24" t="n"/>
      <c r="AEX2" s="24" t="n"/>
      <c r="AEY2" s="24" t="n"/>
      <c r="AEZ2" s="24" t="n"/>
      <c r="AFA2" s="24" t="n"/>
      <c r="AFB2" s="24" t="n"/>
      <c r="AFC2" s="24" t="n"/>
      <c r="AFD2" s="24" t="n"/>
      <c r="AFE2" s="24" t="n"/>
      <c r="AFF2" s="24" t="n"/>
      <c r="AFG2" s="24" t="n"/>
      <c r="AFH2" s="24" t="n"/>
      <c r="AFI2" s="24" t="n"/>
      <c r="AFJ2" s="24" t="n"/>
      <c r="AFK2" s="24" t="n"/>
      <c r="AFL2" s="24" t="n"/>
      <c r="AFM2" s="24" t="n"/>
      <c r="AFN2" s="24" t="n"/>
      <c r="AFO2" s="24" t="n"/>
      <c r="AFP2" s="24" t="n"/>
      <c r="AFQ2" s="24" t="n"/>
      <c r="AFR2" s="24" t="n"/>
      <c r="AFS2" s="24" t="n"/>
      <c r="AFT2" s="24" t="n"/>
      <c r="AFU2" s="24" t="n"/>
      <c r="AFV2" s="24" t="n"/>
      <c r="AFW2" s="24" t="n"/>
      <c r="AFX2" s="24" t="n"/>
      <c r="AFY2" s="24" t="n"/>
      <c r="AFZ2" s="24" t="n"/>
      <c r="AGA2" s="24" t="n"/>
      <c r="AGB2" s="24" t="n"/>
      <c r="AGC2" s="24" t="n"/>
      <c r="AGD2" s="24" t="n"/>
      <c r="AGE2" s="24" t="n"/>
      <c r="AGF2" s="24" t="n"/>
      <c r="AGG2" s="24" t="n"/>
      <c r="AGH2" s="24" t="n"/>
      <c r="AGI2" s="24" t="n"/>
      <c r="AGJ2" s="24" t="n"/>
      <c r="AGK2" s="24" t="n"/>
      <c r="AGL2" s="24" t="n"/>
      <c r="AGM2" s="24" t="n"/>
      <c r="AGN2" s="24" t="n"/>
      <c r="AGO2" s="24" t="n"/>
      <c r="AGP2" s="24" t="n"/>
      <c r="AGQ2" s="24" t="n"/>
      <c r="AGR2" s="24" t="n"/>
      <c r="AGS2" s="24" t="n"/>
      <c r="AGT2" s="24" t="n"/>
      <c r="AGU2" s="24" t="n"/>
      <c r="AGV2" s="24" t="n"/>
      <c r="AGW2" s="24" t="n"/>
      <c r="AGX2" s="24" t="n"/>
      <c r="AGY2" s="24" t="n"/>
      <c r="AGZ2" s="24" t="n"/>
      <c r="AHA2" s="24" t="n"/>
      <c r="AHB2" s="24" t="n"/>
      <c r="AHC2" s="24" t="n"/>
      <c r="AHD2" s="24" t="n"/>
      <c r="AHE2" s="24" t="n"/>
      <c r="AHF2" s="24" t="n"/>
      <c r="AHG2" s="24" t="n"/>
      <c r="AHH2" s="24" t="n"/>
      <c r="AHI2" s="24" t="n"/>
      <c r="AHJ2" s="24" t="n"/>
      <c r="AHK2" s="24" t="n"/>
      <c r="AHL2" s="24" t="n"/>
      <c r="AHM2" s="24" t="n"/>
      <c r="AHN2" s="24" t="n"/>
      <c r="AHO2" s="24" t="n"/>
      <c r="AHP2" s="24" t="n"/>
      <c r="AHQ2" s="24" t="n"/>
      <c r="AHR2" s="24" t="n"/>
      <c r="AHS2" s="24" t="n"/>
      <c r="AHT2" s="24" t="n"/>
      <c r="AHU2" s="24" t="n"/>
      <c r="AHV2" s="24" t="n"/>
      <c r="AHW2" s="24" t="n"/>
      <c r="AHX2" s="24" t="n"/>
      <c r="AHY2" s="24" t="n"/>
      <c r="AHZ2" s="24" t="n"/>
      <c r="AIA2" s="24" t="n"/>
      <c r="AIB2" s="24" t="n"/>
      <c r="AIC2" s="24" t="n"/>
      <c r="AID2" s="24" t="n"/>
      <c r="AIE2" s="24" t="n"/>
      <c r="AIF2" s="24" t="n"/>
      <c r="AIG2" s="24" t="n"/>
      <c r="AIH2" s="24" t="n"/>
      <c r="AII2" s="24" t="n"/>
      <c r="AIJ2" s="24" t="n"/>
      <c r="AIK2" s="24" t="n"/>
      <c r="AIL2" s="24" t="n"/>
      <c r="AIM2" s="24" t="n"/>
      <c r="AIN2" s="24" t="n"/>
      <c r="AIO2" s="24" t="n"/>
      <c r="AIP2" s="24" t="n"/>
      <c r="AIQ2" s="24" t="n"/>
      <c r="AIR2" s="24" t="n"/>
      <c r="AIS2" s="24" t="n"/>
      <c r="AIT2" s="24" t="n"/>
      <c r="AIU2" s="24" t="n"/>
      <c r="AIV2" s="24" t="n"/>
      <c r="AIW2" s="24" t="n"/>
      <c r="AIX2" s="24" t="n"/>
      <c r="AIY2" s="24" t="n"/>
      <c r="AIZ2" s="24" t="n"/>
      <c r="AJA2" s="24" t="n"/>
      <c r="AJB2" s="24" t="n"/>
      <c r="AJC2" s="24" t="n"/>
      <c r="AJD2" s="24" t="n"/>
      <c r="AJE2" s="24" t="n"/>
      <c r="AJF2" s="24" t="n"/>
      <c r="AJG2" s="24" t="n"/>
      <c r="AJH2" s="24" t="n"/>
      <c r="AJI2" s="24" t="n"/>
      <c r="AJJ2" s="24" t="n"/>
      <c r="AJK2" s="24" t="n"/>
      <c r="AJL2" s="24" t="n"/>
      <c r="AJM2" s="24" t="n"/>
      <c r="AJN2" s="24" t="n"/>
      <c r="AJO2" s="24" t="n"/>
      <c r="AJP2" s="24" t="n"/>
      <c r="AJQ2" s="24" t="n"/>
      <c r="AJR2" s="24" t="n"/>
      <c r="AJS2" s="24" t="n"/>
      <c r="AJT2" s="24" t="n"/>
      <c r="AJU2" s="24" t="n"/>
      <c r="AJV2" s="24" t="n"/>
      <c r="AJW2" s="24" t="n"/>
      <c r="AJX2" s="24" t="n"/>
      <c r="AJY2" s="24" t="n"/>
      <c r="AJZ2" s="24" t="n"/>
      <c r="AKA2" s="24" t="n"/>
      <c r="AKB2" s="24" t="n"/>
      <c r="AKC2" s="24" t="n"/>
      <c r="AKD2" s="24" t="n"/>
      <c r="AKE2" s="24" t="n"/>
      <c r="AKF2" s="24" t="n"/>
      <c r="AKG2" s="24" t="n"/>
      <c r="AKH2" s="24" t="n"/>
      <c r="AKI2" s="24" t="n"/>
      <c r="AKJ2" s="24" t="n"/>
      <c r="AKK2" s="24" t="n"/>
      <c r="AKL2" s="24" t="n"/>
      <c r="AKM2" s="24" t="n"/>
      <c r="AKN2" s="24" t="n"/>
      <c r="AKO2" s="24" t="n"/>
      <c r="AKP2" s="24" t="n"/>
      <c r="AKQ2" s="24" t="n"/>
      <c r="AKR2" s="24" t="n"/>
      <c r="AKS2" s="24" t="n"/>
      <c r="AKT2" s="24" t="n"/>
      <c r="AKU2" s="24" t="n"/>
      <c r="AKV2" s="24" t="n"/>
      <c r="AKW2" s="24" t="n"/>
      <c r="AKX2" s="24" t="n"/>
      <c r="AKY2" s="24" t="n"/>
      <c r="AKZ2" s="24" t="n"/>
      <c r="ALA2" s="24" t="n"/>
      <c r="ALB2" s="24" t="n"/>
      <c r="ALC2" s="24" t="n"/>
      <c r="ALD2" s="24" t="n"/>
      <c r="ALE2" s="24" t="n"/>
      <c r="ALF2" s="24" t="n"/>
      <c r="ALG2" s="24" t="n"/>
      <c r="ALH2" s="24" t="n"/>
      <c r="ALI2" s="24" t="n"/>
      <c r="ALJ2" s="24" t="n"/>
      <c r="ALK2" s="24" t="n"/>
      <c r="ALL2" s="24" t="n"/>
      <c r="ALM2" s="24" t="n"/>
      <c r="ALN2" s="24" t="n"/>
      <c r="ALO2" s="24" t="n"/>
      <c r="ALP2" s="24" t="n"/>
      <c r="ALQ2" s="24" t="n"/>
      <c r="ALR2" s="24" t="n"/>
      <c r="ALS2" s="24" t="n"/>
      <c r="ALT2" s="24" t="n"/>
      <c r="ALU2" s="24" t="n"/>
      <c r="ALV2" s="24" t="n"/>
      <c r="ALW2" s="24" t="n"/>
      <c r="ALX2" s="24" t="n"/>
      <c r="ALY2" s="24" t="n"/>
      <c r="ALZ2" s="24" t="n"/>
      <c r="AMA2" s="24" t="n"/>
      <c r="AMB2" s="24" t="n"/>
      <c r="AMC2" s="24" t="n"/>
      <c r="AMD2" s="24" t="n"/>
      <c r="AME2" s="24" t="n"/>
      <c r="AMF2" s="24" t="n"/>
      <c r="AMG2" s="24" t="n"/>
      <c r="AMH2" s="24" t="n"/>
      <c r="AMI2" s="24" t="n"/>
      <c r="AMJ2" s="24" t="n"/>
      <c r="AMK2" s="24" t="n"/>
      <c r="AML2" s="24" t="n"/>
      <c r="AMM2" s="24" t="n"/>
      <c r="AMN2" s="24" t="n"/>
      <c r="AMO2" s="24" t="n"/>
      <c r="AMP2" s="24" t="n"/>
      <c r="AMQ2" s="24" t="n"/>
      <c r="AMR2" s="24" t="n"/>
      <c r="AMS2" s="24" t="n"/>
      <c r="AMT2" s="24" t="n"/>
      <c r="AMU2" s="24" t="n"/>
      <c r="AMV2" s="24" t="n"/>
      <c r="AMW2" s="24" t="n"/>
      <c r="AMX2" s="24" t="n"/>
      <c r="AMY2" s="24" t="n"/>
      <c r="AMZ2" s="24" t="n"/>
      <c r="ANA2" s="24" t="n"/>
      <c r="ANB2" s="24" t="n"/>
      <c r="ANC2" s="24" t="n"/>
      <c r="AND2" s="24" t="n"/>
      <c r="ANE2" s="24" t="n"/>
      <c r="ANF2" s="24" t="n"/>
      <c r="ANG2" s="24" t="n"/>
      <c r="ANH2" s="24" t="n"/>
      <c r="ANI2" s="24" t="n"/>
      <c r="ANJ2" s="24" t="n"/>
      <c r="ANK2" s="24" t="n"/>
      <c r="ANL2" s="24" t="n"/>
      <c r="ANM2" s="24" t="n"/>
      <c r="ANN2" s="24" t="n"/>
      <c r="ANO2" s="24" t="n"/>
      <c r="ANP2" s="24" t="n"/>
      <c r="ANQ2" s="24" t="n"/>
      <c r="ANR2" s="24" t="n"/>
      <c r="ANS2" s="24" t="n"/>
      <c r="ANT2" s="24" t="n"/>
      <c r="ANU2" s="24" t="n"/>
      <c r="ANV2" s="24" t="n"/>
      <c r="ANW2" s="24" t="n"/>
      <c r="ANX2" s="24" t="n"/>
      <c r="ANY2" s="24" t="n"/>
      <c r="ANZ2" s="24" t="n"/>
      <c r="AOA2" s="24" t="n"/>
      <c r="AOB2" s="24" t="n"/>
      <c r="AOC2" s="24" t="n"/>
      <c r="AOD2" s="24" t="n"/>
      <c r="AOE2" s="24" t="n"/>
      <c r="AOF2" s="24" t="n"/>
      <c r="AOG2" s="24" t="n"/>
      <c r="AOH2" s="24" t="n"/>
      <c r="AOI2" s="24" t="n"/>
      <c r="AOJ2" s="24" t="n"/>
      <c r="AOK2" s="24" t="n"/>
      <c r="AOL2" s="24" t="n"/>
      <c r="AOM2" s="24" t="n"/>
      <c r="AON2" s="24" t="n"/>
      <c r="AOO2" s="24" t="n"/>
      <c r="AOP2" s="24" t="n"/>
      <c r="AOQ2" s="24" t="n"/>
      <c r="AOR2" s="24" t="n"/>
      <c r="AOS2" s="24" t="n"/>
      <c r="AOT2" s="24" t="n"/>
      <c r="AOU2" s="24" t="n"/>
      <c r="AOV2" s="24" t="n"/>
      <c r="AOW2" s="24" t="n"/>
      <c r="AOX2" s="24" t="n"/>
      <c r="AOY2" s="24" t="n"/>
      <c r="AOZ2" s="24" t="n"/>
      <c r="APA2" s="24" t="n"/>
      <c r="APB2" s="24" t="n"/>
      <c r="APC2" s="24" t="n"/>
      <c r="APD2" s="24" t="n"/>
      <c r="APE2" s="24" t="n"/>
      <c r="APF2" s="24" t="n"/>
      <c r="APG2" s="24" t="n"/>
      <c r="APH2" s="24" t="n"/>
      <c r="API2" s="24" t="n"/>
      <c r="APJ2" s="24" t="n"/>
      <c r="APK2" s="24" t="n"/>
      <c r="APL2" s="24" t="n"/>
      <c r="APM2" s="24" t="n"/>
      <c r="APN2" s="24" t="n"/>
      <c r="APO2" s="24" t="n"/>
      <c r="APP2" s="24" t="n"/>
      <c r="APQ2" s="24" t="n"/>
      <c r="APR2" s="24" t="n"/>
      <c r="APS2" s="24" t="n"/>
      <c r="APT2" s="24" t="n"/>
      <c r="APU2" s="24" t="n"/>
      <c r="APV2" s="24" t="n"/>
      <c r="APW2" s="24" t="n"/>
      <c r="APX2" s="24" t="n"/>
      <c r="APY2" s="24" t="n"/>
      <c r="APZ2" s="24" t="n"/>
      <c r="AQA2" s="24" t="n"/>
      <c r="AQB2" s="24" t="n"/>
      <c r="AQC2" s="24" t="n"/>
      <c r="AQD2" s="24" t="n"/>
      <c r="AQE2" s="24" t="n"/>
      <c r="AQF2" s="24" t="n"/>
      <c r="AQG2" s="24" t="n"/>
      <c r="AQH2" s="24" t="n"/>
      <c r="AQI2" s="24" t="n"/>
      <c r="AQJ2" s="24" t="n"/>
      <c r="AQK2" s="24" t="n"/>
      <c r="AQL2" s="24" t="n"/>
      <c r="AQM2" s="24" t="n"/>
      <c r="AQN2" s="24" t="n"/>
      <c r="AQO2" s="24" t="n"/>
      <c r="AQP2" s="24" t="n"/>
      <c r="AQQ2" s="24" t="n"/>
      <c r="AQR2" s="24" t="n"/>
      <c r="AQS2" s="24" t="n"/>
      <c r="AQT2" s="24" t="n"/>
      <c r="AQU2" s="24" t="n"/>
      <c r="AQV2" s="24" t="n"/>
      <c r="AQW2" s="24" t="n"/>
      <c r="AQX2" s="24" t="n"/>
      <c r="AQY2" s="24" t="n"/>
      <c r="AQZ2" s="24" t="n"/>
      <c r="ARA2" s="24" t="n"/>
      <c r="ARB2" s="24" t="n"/>
      <c r="ARC2" s="24" t="n"/>
      <c r="ARD2" s="24" t="n"/>
      <c r="ARE2" s="24" t="n"/>
      <c r="ARF2" s="24" t="n"/>
      <c r="ARG2" s="24" t="n"/>
      <c r="ARH2" s="24" t="n"/>
      <c r="ARI2" s="24" t="n"/>
      <c r="ARJ2" s="24" t="n"/>
      <c r="ARK2" s="24" t="n"/>
      <c r="ARL2" s="24" t="n"/>
      <c r="ARM2" s="24" t="n"/>
      <c r="ARN2" s="24" t="n"/>
      <c r="ARO2" s="24" t="n"/>
      <c r="ARP2" s="24" t="n"/>
      <c r="ARQ2" s="24" t="n"/>
      <c r="ARR2" s="24" t="n"/>
      <c r="ARS2" s="24" t="n"/>
      <c r="ART2" s="24" t="n"/>
      <c r="ARU2" s="24" t="n"/>
      <c r="ARV2" s="24" t="n"/>
      <c r="ARW2" s="24" t="n"/>
      <c r="ARX2" s="24" t="n"/>
      <c r="ARY2" s="24" t="n"/>
      <c r="ARZ2" s="24" t="n"/>
      <c r="ASA2" s="24" t="n"/>
      <c r="ASB2" s="24" t="n"/>
      <c r="ASC2" s="24" t="n"/>
      <c r="ASD2" s="24" t="n"/>
      <c r="ASE2" s="24" t="n"/>
      <c r="ASF2" s="24" t="n"/>
      <c r="ASG2" s="24" t="n"/>
      <c r="ASH2" s="24" t="n"/>
      <c r="ASI2" s="24" t="n"/>
      <c r="ASJ2" s="24" t="n"/>
      <c r="ASK2" s="24" t="n"/>
      <c r="ASL2" s="24" t="n"/>
      <c r="ASM2" s="24" t="n"/>
      <c r="ASN2" s="24" t="n"/>
      <c r="ASO2" s="24" t="n"/>
      <c r="ASP2" s="24" t="n"/>
      <c r="ASQ2" s="24" t="n"/>
      <c r="ASR2" s="24" t="n"/>
      <c r="ASS2" s="24" t="n"/>
      <c r="AST2" s="24" t="n"/>
      <c r="ASU2" s="24" t="n"/>
      <c r="ASV2" s="24" t="n"/>
      <c r="ASW2" s="24" t="n"/>
      <c r="ASX2" s="24" t="n"/>
      <c r="ASY2" s="24" t="n"/>
      <c r="ASZ2" s="24" t="n"/>
      <c r="ATA2" s="24" t="n"/>
      <c r="ATB2" s="24" t="n"/>
      <c r="ATC2" s="24" t="n"/>
      <c r="ATD2" s="24" t="n"/>
      <c r="ATE2" s="24" t="n"/>
      <c r="ATF2" s="24" t="n"/>
      <c r="ATG2" s="24" t="n"/>
      <c r="ATH2" s="24" t="n"/>
      <c r="ATI2" s="24" t="n"/>
      <c r="ATJ2" s="24" t="n"/>
      <c r="ATK2" s="24" t="n"/>
      <c r="ATL2" s="24" t="n"/>
      <c r="ATM2" s="24" t="n"/>
      <c r="ATN2" s="24" t="n"/>
      <c r="ATO2" s="24" t="n"/>
      <c r="ATP2" s="24" t="n"/>
      <c r="ATQ2" s="24" t="n"/>
      <c r="ATR2" s="24" t="n"/>
      <c r="ATS2" s="24" t="n"/>
      <c r="ATT2" s="24" t="n"/>
      <c r="ATU2" s="24" t="n"/>
      <c r="ATV2" s="24" t="n"/>
      <c r="ATW2" s="24" t="n"/>
      <c r="ATX2" s="24" t="n"/>
      <c r="ATY2" s="24" t="n"/>
      <c r="ATZ2" s="24" t="n"/>
      <c r="AUA2" s="24" t="n"/>
      <c r="AUB2" s="24" t="n"/>
      <c r="AUC2" s="24" t="n"/>
      <c r="AUD2" s="24" t="n"/>
      <c r="AUE2" s="24" t="n"/>
      <c r="AUF2" s="24" t="n"/>
      <c r="AUG2" s="24" t="n"/>
      <c r="AUH2" s="24" t="n"/>
      <c r="AUI2" s="24" t="n"/>
      <c r="AUJ2" s="24" t="n"/>
      <c r="AUK2" s="24" t="n"/>
      <c r="AUL2" s="24" t="n"/>
      <c r="AUM2" s="24" t="n"/>
      <c r="AUN2" s="24" t="n"/>
      <c r="AUO2" s="24" t="n"/>
      <c r="AUP2" s="24" t="n"/>
      <c r="AUQ2" s="24" t="n"/>
      <c r="AUR2" s="24" t="n"/>
      <c r="AUS2" s="24" t="n"/>
      <c r="AUT2" s="24" t="n"/>
      <c r="AUU2" s="24" t="n"/>
      <c r="AUV2" s="24" t="n"/>
      <c r="AUW2" s="24" t="n"/>
      <c r="AUX2" s="24" t="n"/>
      <c r="AUY2" s="24" t="n"/>
      <c r="AUZ2" s="24" t="n"/>
      <c r="AVA2" s="24" t="n"/>
      <c r="AVB2" s="24" t="n"/>
      <c r="AVC2" s="24" t="n"/>
      <c r="AVD2" s="24" t="n"/>
      <c r="AVE2" s="24" t="n"/>
      <c r="AVF2" s="24" t="n"/>
      <c r="AVG2" s="24" t="n"/>
      <c r="AVH2" s="24" t="n"/>
      <c r="AVI2" s="24" t="n"/>
      <c r="AVJ2" s="24" t="n"/>
      <c r="AVK2" s="24" t="n"/>
      <c r="AVL2" s="24" t="n"/>
      <c r="AVM2" s="24" t="n"/>
      <c r="AVN2" s="24" t="n"/>
      <c r="AVO2" s="24" t="n"/>
      <c r="AVP2" s="24" t="n"/>
      <c r="AVQ2" s="24" t="n"/>
      <c r="AVR2" s="24" t="n"/>
      <c r="AVS2" s="24" t="n"/>
      <c r="AVT2" s="24" t="n"/>
      <c r="AVU2" s="24" t="n"/>
      <c r="AVV2" s="24" t="n"/>
      <c r="AVW2" s="24" t="n"/>
      <c r="AVX2" s="24" t="n"/>
      <c r="AVY2" s="24" t="n"/>
      <c r="AVZ2" s="24" t="n"/>
      <c r="AWA2" s="24" t="n"/>
      <c r="AWB2" s="24" t="n"/>
      <c r="AWC2" s="24" t="n"/>
      <c r="AWD2" s="24" t="n"/>
      <c r="AWE2" s="24" t="n"/>
      <c r="AWF2" s="24" t="n"/>
      <c r="AWG2" s="24" t="n"/>
      <c r="AWH2" s="24" t="n"/>
      <c r="AWI2" s="24" t="n"/>
      <c r="AWJ2" s="24" t="n"/>
      <c r="AWK2" s="24" t="n"/>
      <c r="AWL2" s="24" t="n"/>
      <c r="AWM2" s="24" t="n"/>
      <c r="AWN2" s="24" t="n"/>
      <c r="AWO2" s="24" t="n"/>
      <c r="AWP2" s="24" t="n"/>
      <c r="AWQ2" s="24" t="n"/>
      <c r="AWR2" s="24" t="n"/>
      <c r="AWS2" s="24" t="n"/>
      <c r="AWT2" s="24" t="n"/>
      <c r="AWU2" s="24" t="n"/>
      <c r="AWV2" s="24" t="n"/>
      <c r="AWW2" s="24" t="n"/>
      <c r="AWX2" s="24" t="n"/>
      <c r="AWY2" s="24" t="n"/>
      <c r="AWZ2" s="24" t="n"/>
      <c r="AXA2" s="24" t="n"/>
      <c r="AXB2" s="24" t="n"/>
      <c r="AXC2" s="24" t="n"/>
      <c r="AXD2" s="24" t="n"/>
      <c r="AXE2" s="24" t="n"/>
      <c r="AXF2" s="24" t="n"/>
      <c r="AXG2" s="24" t="n"/>
      <c r="AXH2" s="24" t="n"/>
      <c r="AXI2" s="24" t="n"/>
      <c r="AXJ2" s="24" t="n"/>
      <c r="AXK2" s="24" t="n"/>
      <c r="AXL2" s="24" t="n"/>
      <c r="AXM2" s="24" t="n"/>
      <c r="AXN2" s="24" t="n"/>
      <c r="AXO2" s="24" t="n"/>
      <c r="AXP2" s="24" t="n"/>
      <c r="AXQ2" s="24" t="n"/>
      <c r="AXR2" s="24" t="n"/>
      <c r="AXS2" s="24" t="n"/>
      <c r="AXT2" s="24" t="n"/>
      <c r="AXU2" s="24" t="n"/>
      <c r="AXV2" s="24" t="n"/>
      <c r="AXW2" s="24" t="n"/>
      <c r="AXX2" s="24" t="n"/>
      <c r="AXY2" s="24" t="n"/>
      <c r="AXZ2" s="24" t="n"/>
      <c r="AYA2" s="24" t="n"/>
      <c r="AYB2" s="24" t="n"/>
      <c r="AYC2" s="24" t="n"/>
      <c r="AYD2" s="24" t="n"/>
      <c r="AYE2" s="24" t="n"/>
      <c r="AYF2" s="24" t="n"/>
      <c r="AYG2" s="24" t="n"/>
      <c r="AYH2" s="24" t="n"/>
      <c r="AYI2" s="24" t="n"/>
      <c r="AYJ2" s="24" t="n"/>
      <c r="AYK2" s="24" t="n"/>
      <c r="AYL2" s="24" t="n"/>
      <c r="AYM2" s="24" t="n"/>
      <c r="AYN2" s="24" t="n"/>
      <c r="AYO2" s="24" t="n"/>
      <c r="AYP2" s="24" t="n"/>
      <c r="AYQ2" s="24" t="n"/>
      <c r="AYR2" s="24" t="n"/>
      <c r="AYS2" s="24" t="n"/>
      <c r="AYT2" s="24" t="n"/>
      <c r="AYU2" s="24" t="n"/>
      <c r="AYV2" s="24" t="n"/>
      <c r="AYW2" s="24" t="n"/>
      <c r="AYX2" s="24" t="n"/>
      <c r="AYY2" s="24" t="n"/>
      <c r="AYZ2" s="24" t="n"/>
      <c r="AZA2" s="24" t="n"/>
      <c r="AZB2" s="24" t="n"/>
      <c r="AZC2" s="24" t="n"/>
      <c r="AZD2" s="24" t="n"/>
      <c r="AZE2" s="24" t="n"/>
      <c r="AZF2" s="24" t="n"/>
      <c r="AZG2" s="24" t="n"/>
      <c r="AZH2" s="24" t="n"/>
      <c r="AZI2" s="24" t="n"/>
      <c r="AZJ2" s="24" t="n"/>
      <c r="AZK2" s="24" t="n"/>
      <c r="AZL2" s="24" t="n"/>
      <c r="AZM2" s="24" t="n"/>
      <c r="AZN2" s="24" t="n"/>
      <c r="AZO2" s="24" t="n"/>
      <c r="AZP2" s="24" t="n"/>
      <c r="AZQ2" s="24" t="n"/>
      <c r="AZR2" s="24" t="n"/>
      <c r="AZS2" s="24" t="n"/>
      <c r="AZT2" s="24" t="n"/>
      <c r="AZU2" s="24" t="n"/>
      <c r="AZV2" s="24" t="n"/>
      <c r="AZW2" s="24" t="n"/>
      <c r="AZX2" s="24" t="n"/>
      <c r="AZY2" s="24" t="n"/>
      <c r="AZZ2" s="24" t="n"/>
      <c r="BAA2" s="24" t="n"/>
      <c r="BAB2" s="24" t="n"/>
      <c r="BAC2" s="24" t="n"/>
      <c r="BAD2" s="24" t="n"/>
      <c r="BAE2" s="24" t="n"/>
      <c r="BAF2" s="24" t="n"/>
      <c r="BAG2" s="24" t="n"/>
      <c r="BAH2" s="24" t="n"/>
      <c r="BAI2" s="24" t="n"/>
      <c r="BAJ2" s="24" t="n"/>
      <c r="BAK2" s="24" t="n"/>
      <c r="BAL2" s="24" t="n"/>
      <c r="BAM2" s="24" t="n"/>
      <c r="BAN2" s="24" t="n"/>
      <c r="BAO2" s="24" t="n"/>
      <c r="BAP2" s="24" t="n"/>
      <c r="BAQ2" s="24" t="n"/>
      <c r="BAR2" s="24" t="n"/>
      <c r="BAS2" s="24" t="n"/>
      <c r="BAT2" s="24" t="n"/>
      <c r="BAU2" s="24" t="n"/>
      <c r="BAV2" s="24" t="n"/>
      <c r="BAW2" s="24" t="n"/>
      <c r="BAX2" s="24" t="n"/>
      <c r="BAY2" s="24" t="n"/>
      <c r="BAZ2" s="24" t="n"/>
      <c r="BBA2" s="24" t="n"/>
      <c r="BBB2" s="24" t="n"/>
      <c r="BBC2" s="24" t="n"/>
      <c r="BBD2" s="24" t="n"/>
      <c r="BBE2" s="24" t="n"/>
      <c r="BBF2" s="24" t="n"/>
      <c r="BBG2" s="24" t="n"/>
      <c r="BBH2" s="24" t="n"/>
      <c r="BBI2" s="24" t="n"/>
      <c r="BBJ2" s="24" t="n"/>
      <c r="BBK2" s="24" t="n"/>
      <c r="BBL2" s="24" t="n"/>
      <c r="BBM2" s="24" t="n"/>
      <c r="BBN2" s="24" t="n"/>
      <c r="BBO2" s="24" t="n"/>
      <c r="BBP2" s="24" t="n"/>
      <c r="BBQ2" s="24" t="n"/>
      <c r="BBR2" s="24" t="n"/>
      <c r="BBS2" s="24" t="n"/>
      <c r="BBT2" s="24" t="n"/>
      <c r="BBU2" s="24" t="n"/>
      <c r="BBV2" s="24" t="n"/>
      <c r="BBW2" s="24" t="n"/>
      <c r="BBX2" s="24" t="n"/>
      <c r="BBY2" s="24" t="n"/>
      <c r="BBZ2" s="24" t="n"/>
      <c r="BCA2" s="24" t="n"/>
      <c r="BCB2" s="24" t="n"/>
      <c r="BCC2" s="24" t="n"/>
      <c r="BCD2" s="24" t="n"/>
      <c r="BCE2" s="24" t="n"/>
      <c r="BCF2" s="24" t="n"/>
      <c r="BCG2" s="24" t="n"/>
      <c r="BCH2" s="24" t="n"/>
      <c r="BCI2" s="24" t="n"/>
      <c r="BCJ2" s="24" t="n"/>
      <c r="BCK2" s="24" t="n"/>
      <c r="BCL2" s="24" t="n"/>
      <c r="BCM2" s="24" t="n"/>
      <c r="BCN2" s="24" t="n"/>
      <c r="BCO2" s="24" t="n"/>
      <c r="BCP2" s="24" t="n"/>
      <c r="BCQ2" s="24" t="n"/>
      <c r="BCR2" s="24" t="n"/>
      <c r="BCS2" s="24" t="n"/>
      <c r="BCT2" s="24" t="n"/>
      <c r="BCU2" s="24" t="n"/>
      <c r="BCV2" s="24" t="n"/>
      <c r="BCW2" s="24" t="n"/>
      <c r="BCX2" s="24" t="n"/>
      <c r="BCY2" s="24" t="n"/>
      <c r="BCZ2" s="24" t="n"/>
      <c r="BDA2" s="24" t="n"/>
      <c r="BDB2" s="24" t="n"/>
      <c r="BDC2" s="24" t="n"/>
      <c r="BDD2" s="24" t="n"/>
      <c r="BDE2" s="24" t="n"/>
      <c r="BDF2" s="24" t="n"/>
      <c r="BDG2" s="24" t="n"/>
      <c r="BDH2" s="24" t="n"/>
      <c r="BDI2" s="24" t="n"/>
      <c r="BDJ2" s="24" t="n"/>
      <c r="BDK2" s="24" t="n"/>
      <c r="BDL2" s="24" t="n"/>
      <c r="BDM2" s="24" t="n"/>
      <c r="BDN2" s="24" t="n"/>
      <c r="BDO2" s="24" t="n"/>
      <c r="BDP2" s="24" t="n"/>
      <c r="BDQ2" s="24" t="n"/>
      <c r="BDR2" s="24" t="n"/>
      <c r="BDS2" s="24" t="n"/>
      <c r="BDT2" s="24" t="n"/>
      <c r="BDU2" s="24" t="n"/>
      <c r="BDV2" s="24" t="n"/>
      <c r="BDW2" s="24" t="n"/>
      <c r="BDX2" s="24" t="n"/>
      <c r="BDY2" s="24" t="n"/>
      <c r="BDZ2" s="24" t="n"/>
      <c r="BEA2" s="24" t="n"/>
      <c r="BEB2" s="24" t="n"/>
      <c r="BEC2" s="24" t="n"/>
      <c r="BED2" s="24" t="n"/>
      <c r="BEE2" s="24" t="n"/>
      <c r="BEF2" s="24" t="n"/>
      <c r="BEG2" s="24" t="n"/>
      <c r="BEH2" s="24" t="n"/>
      <c r="BEI2" s="24" t="n"/>
      <c r="BEJ2" s="24" t="n"/>
      <c r="BEK2" s="24" t="n"/>
      <c r="BEL2" s="24" t="n"/>
      <c r="BEM2" s="24" t="n"/>
      <c r="BEN2" s="24" t="n"/>
      <c r="BEO2" s="24" t="n"/>
      <c r="BEP2" s="24" t="n"/>
      <c r="BEQ2" s="24" t="n"/>
      <c r="BER2" s="24" t="n"/>
      <c r="BES2" s="24" t="n"/>
      <c r="BET2" s="24" t="n"/>
      <c r="BEU2" s="24" t="n"/>
      <c r="BEV2" s="24" t="n"/>
      <c r="BEW2" s="24" t="n"/>
      <c r="BEX2" s="24" t="n"/>
      <c r="BEY2" s="24" t="n"/>
      <c r="BEZ2" s="24" t="n"/>
      <c r="BFA2" s="24" t="n"/>
      <c r="BFB2" s="24" t="n"/>
      <c r="BFC2" s="24" t="n"/>
      <c r="BFD2" s="24" t="n"/>
      <c r="BFE2" s="24" t="n"/>
      <c r="BFF2" s="24" t="n"/>
      <c r="BFG2" s="24" t="n"/>
      <c r="BFH2" s="24" t="n"/>
      <c r="BFI2" s="24" t="n"/>
      <c r="BFJ2" s="24" t="n"/>
      <c r="BFK2" s="24" t="n"/>
      <c r="BFL2" s="24" t="n"/>
      <c r="BFM2" s="24" t="n"/>
      <c r="BFN2" s="24" t="n"/>
      <c r="BFO2" s="24" t="n"/>
      <c r="BFP2" s="24" t="n"/>
      <c r="BFQ2" s="24" t="n"/>
      <c r="BFR2" s="24" t="n"/>
      <c r="BFS2" s="24" t="n"/>
      <c r="BFT2" s="24" t="n"/>
      <c r="BFU2" s="24" t="n"/>
      <c r="BFV2" s="24" t="n"/>
      <c r="BFW2" s="24" t="n"/>
      <c r="BFX2" s="24" t="n"/>
      <c r="BFY2" s="24" t="n"/>
      <c r="BFZ2" s="24" t="n"/>
      <c r="BGA2" s="24" t="n"/>
      <c r="BGB2" s="24" t="n"/>
      <c r="BGC2" s="24" t="n"/>
      <c r="BGD2" s="24" t="n"/>
      <c r="BGE2" s="24" t="n"/>
      <c r="BGF2" s="24" t="n"/>
      <c r="BGG2" s="24" t="n"/>
      <c r="BGH2" s="24" t="n"/>
      <c r="BGI2" s="24" t="n"/>
      <c r="BGJ2" s="24" t="n"/>
      <c r="BGK2" s="24" t="n"/>
      <c r="BGL2" s="24" t="n"/>
      <c r="BGM2" s="24" t="n"/>
      <c r="BGN2" s="24" t="n"/>
      <c r="BGO2" s="24" t="n"/>
      <c r="BGP2" s="24" t="n"/>
      <c r="BGQ2" s="24" t="n"/>
      <c r="BGR2" s="24" t="n"/>
      <c r="BGS2" s="24" t="n"/>
      <c r="BGT2" s="24" t="n"/>
      <c r="BGU2" s="24" t="n"/>
      <c r="BGV2" s="24" t="n"/>
      <c r="BGW2" s="24" t="n"/>
      <c r="BGX2" s="24" t="n"/>
      <c r="BGY2" s="24" t="n"/>
      <c r="BGZ2" s="24" t="n"/>
      <c r="BHA2" s="24" t="n"/>
      <c r="BHB2" s="24" t="n"/>
      <c r="BHC2" s="24" t="n"/>
      <c r="BHD2" s="24" t="n"/>
      <c r="BHE2" s="24" t="n"/>
      <c r="BHF2" s="24" t="n"/>
      <c r="BHG2" s="24" t="n"/>
      <c r="BHH2" s="24" t="n"/>
      <c r="BHI2" s="24" t="n"/>
      <c r="BHJ2" s="24" t="n"/>
      <c r="BHK2" s="24" t="n"/>
      <c r="BHL2" s="24" t="n"/>
      <c r="BHM2" s="24" t="n"/>
      <c r="BHN2" s="24" t="n"/>
      <c r="BHO2" s="24" t="n"/>
      <c r="BHP2" s="24" t="n"/>
      <c r="BHQ2" s="24" t="n"/>
      <c r="BHR2" s="24" t="n"/>
      <c r="BHS2" s="24" t="n"/>
      <c r="BHT2" s="24" t="n"/>
      <c r="BHU2" s="24" t="n"/>
      <c r="BHV2" s="24" t="n"/>
      <c r="BHW2" s="24" t="n"/>
      <c r="BHX2" s="24" t="n"/>
      <c r="BHY2" s="24" t="n"/>
      <c r="BHZ2" s="24" t="n"/>
      <c r="BIA2" s="24" t="n"/>
      <c r="BIB2" s="24" t="n"/>
      <c r="BIC2" s="24" t="n"/>
      <c r="BID2" s="24" t="n"/>
      <c r="BIE2" s="24" t="n"/>
      <c r="BIF2" s="24" t="n"/>
      <c r="BIG2" s="24" t="n"/>
      <c r="BIH2" s="24" t="n"/>
      <c r="BII2" s="24" t="n"/>
      <c r="BIJ2" s="24" t="n"/>
      <c r="BIK2" s="24" t="n"/>
      <c r="BIL2" s="24" t="n"/>
      <c r="BIM2" s="24" t="n"/>
      <c r="BIN2" s="24" t="n"/>
      <c r="BIO2" s="24" t="n"/>
      <c r="BIP2" s="24" t="n"/>
      <c r="BIQ2" s="24" t="n"/>
      <c r="BIR2" s="24" t="n"/>
      <c r="BIS2" s="24" t="n"/>
      <c r="BIT2" s="24" t="n"/>
      <c r="BIU2" s="24" t="n"/>
      <c r="BIV2" s="24" t="n"/>
      <c r="BIW2" s="24" t="n"/>
      <c r="BIX2" s="24" t="n"/>
      <c r="BIY2" s="24" t="n"/>
      <c r="BIZ2" s="24" t="n"/>
      <c r="BJA2" s="24" t="n"/>
      <c r="BJB2" s="24" t="n"/>
      <c r="BJC2" s="24" t="n"/>
      <c r="BJD2" s="24" t="n"/>
      <c r="BJE2" s="24" t="n"/>
      <c r="BJF2" s="24" t="n"/>
      <c r="BJG2" s="24" t="n"/>
      <c r="BJH2" s="24" t="n"/>
      <c r="BJI2" s="24" t="n"/>
      <c r="BJJ2" s="24" t="n"/>
      <c r="BJK2" s="24" t="n"/>
      <c r="BJL2" s="24" t="n"/>
      <c r="BJM2" s="24" t="n"/>
      <c r="BJN2" s="24" t="n"/>
      <c r="BJO2" s="24" t="n"/>
      <c r="BJP2" s="24" t="n"/>
      <c r="BJQ2" s="24" t="n"/>
      <c r="BJR2" s="24" t="n"/>
      <c r="BJS2" s="24" t="n"/>
      <c r="BJT2" s="24" t="n"/>
      <c r="BJU2" s="24" t="n"/>
      <c r="BJV2" s="24" t="n"/>
      <c r="BJW2" s="24" t="n"/>
      <c r="BJX2" s="24" t="n"/>
      <c r="BJY2" s="24" t="n"/>
      <c r="BJZ2" s="24" t="n"/>
      <c r="BKA2" s="24" t="n"/>
      <c r="BKB2" s="24" t="n"/>
      <c r="BKC2" s="24" t="n"/>
      <c r="BKD2" s="24" t="n"/>
      <c r="BKE2" s="24" t="n"/>
      <c r="BKF2" s="24" t="n"/>
      <c r="BKG2" s="24" t="n"/>
      <c r="BKH2" s="24" t="n"/>
      <c r="BKI2" s="24" t="n"/>
      <c r="BKJ2" s="24" t="n"/>
      <c r="BKK2" s="24" t="n"/>
      <c r="BKL2" s="24" t="n"/>
      <c r="BKM2" s="24" t="n"/>
      <c r="BKN2" s="24" t="n"/>
      <c r="BKO2" s="24" t="n"/>
      <c r="BKP2" s="24" t="n"/>
      <c r="BKQ2" s="24" t="n"/>
      <c r="BKR2" s="24" t="n"/>
      <c r="BKS2" s="24" t="n"/>
      <c r="BKT2" s="24" t="n"/>
      <c r="BKU2" s="24" t="n"/>
      <c r="BKV2" s="24" t="n"/>
      <c r="BKW2" s="24" t="n"/>
      <c r="BKX2" s="24" t="n"/>
      <c r="BKY2" s="24" t="n"/>
      <c r="BKZ2" s="24" t="n"/>
      <c r="BLA2" s="24" t="n"/>
      <c r="BLB2" s="24" t="n"/>
      <c r="BLC2" s="24" t="n"/>
      <c r="BLD2" s="24" t="n"/>
      <c r="BLE2" s="24" t="n"/>
      <c r="BLF2" s="24" t="n"/>
      <c r="BLG2" s="24" t="n"/>
      <c r="BLH2" s="24" t="n"/>
      <c r="BLI2" s="24" t="n"/>
      <c r="BLJ2" s="24" t="n"/>
      <c r="BLK2" s="24" t="n"/>
      <c r="BLL2" s="24" t="n"/>
      <c r="BLM2" s="24" t="n"/>
      <c r="BLN2" s="24" t="n"/>
      <c r="BLO2" s="24" t="n"/>
      <c r="BLP2" s="24" t="n"/>
      <c r="BLQ2" s="24" t="n"/>
      <c r="BLR2" s="24" t="n"/>
      <c r="BLS2" s="24" t="n"/>
      <c r="BLT2" s="24" t="n"/>
      <c r="BLU2" s="24" t="n"/>
      <c r="BLV2" s="24" t="n"/>
      <c r="BLW2" s="24" t="n"/>
      <c r="BLX2" s="24" t="n"/>
      <c r="BLY2" s="24" t="n"/>
      <c r="BLZ2" s="24" t="n"/>
      <c r="BMA2" s="24" t="n"/>
      <c r="BMB2" s="24" t="n"/>
      <c r="BMC2" s="24" t="n"/>
      <c r="BMD2" s="24" t="n"/>
      <c r="BME2" s="24" t="n"/>
      <c r="BMF2" s="24" t="n"/>
      <c r="BMG2" s="24" t="n"/>
      <c r="BMH2" s="24" t="n"/>
      <c r="BMI2" s="24" t="n"/>
      <c r="BMJ2" s="24" t="n"/>
      <c r="BMK2" s="24" t="n"/>
      <c r="BML2" s="24" t="n"/>
      <c r="BMM2" s="24" t="n"/>
      <c r="BMN2" s="24" t="n"/>
      <c r="BMO2" s="24" t="n"/>
      <c r="BMP2" s="24" t="n"/>
      <c r="BMQ2" s="24" t="n"/>
      <c r="BMR2" s="24" t="n"/>
      <c r="BMS2" s="24" t="n"/>
      <c r="BMT2" s="24" t="n"/>
      <c r="BMU2" s="24" t="n"/>
      <c r="BMV2" s="24" t="n"/>
      <c r="BMW2" s="24" t="n"/>
      <c r="BMX2" s="24" t="n"/>
      <c r="BMY2" s="24" t="n"/>
      <c r="BMZ2" s="24" t="n"/>
      <c r="BNA2" s="24" t="n"/>
      <c r="BNB2" s="24" t="n"/>
      <c r="BNC2" s="24" t="n"/>
      <c r="BND2" s="24" t="n"/>
      <c r="BNE2" s="24" t="n"/>
      <c r="BNF2" s="24" t="n"/>
      <c r="BNG2" s="24" t="n"/>
      <c r="BNH2" s="24" t="n"/>
      <c r="BNI2" s="24" t="n"/>
      <c r="BNJ2" s="24" t="n"/>
      <c r="BNK2" s="24" t="n"/>
      <c r="BNL2" s="24" t="n"/>
      <c r="BNM2" s="24" t="n"/>
      <c r="BNN2" s="24" t="n"/>
      <c r="BNO2" s="24" t="n"/>
      <c r="BNP2" s="24" t="n"/>
      <c r="BNQ2" s="24" t="n"/>
      <c r="BNR2" s="24" t="n"/>
      <c r="BNS2" s="24" t="n"/>
      <c r="BNT2" s="24" t="n"/>
      <c r="BNU2" s="24" t="n"/>
      <c r="BNV2" s="24" t="n"/>
      <c r="BNW2" s="24" t="n"/>
      <c r="BNX2" s="24" t="n"/>
      <c r="BNY2" s="24" t="n"/>
      <c r="BNZ2" s="24" t="n"/>
      <c r="BOA2" s="24" t="n"/>
      <c r="BOB2" s="24" t="n"/>
      <c r="BOC2" s="24" t="n"/>
      <c r="BOD2" s="24" t="n"/>
      <c r="BOE2" s="24" t="n"/>
      <c r="BOF2" s="24" t="n"/>
      <c r="BOG2" s="24" t="n"/>
      <c r="BOH2" s="24" t="n"/>
      <c r="BOI2" s="24" t="n"/>
      <c r="BOJ2" s="24" t="n"/>
      <c r="BOK2" s="24" t="n"/>
      <c r="BOL2" s="24" t="n"/>
      <c r="BOM2" s="24" t="n"/>
      <c r="BON2" s="24" t="n"/>
      <c r="BOO2" s="24" t="n"/>
      <c r="BOP2" s="24" t="n"/>
      <c r="BOQ2" s="24" t="n"/>
      <c r="BOR2" s="24" t="n"/>
      <c r="BOS2" s="24" t="n"/>
      <c r="BOT2" s="24" t="n"/>
      <c r="BOU2" s="24" t="n"/>
      <c r="BOV2" s="24" t="n"/>
      <c r="BOW2" s="24" t="n"/>
      <c r="BOX2" s="24" t="n"/>
      <c r="BOY2" s="24" t="n"/>
      <c r="BOZ2" s="24" t="n"/>
      <c r="BPA2" s="24" t="n"/>
      <c r="BPB2" s="24" t="n"/>
      <c r="BPC2" s="24" t="n"/>
      <c r="BPD2" s="24" t="n"/>
      <c r="BPE2" s="24" t="n"/>
      <c r="BPF2" s="24" t="n"/>
      <c r="BPG2" s="24" t="n"/>
      <c r="BPH2" s="24" t="n"/>
      <c r="BPI2" s="24" t="n"/>
      <c r="BPJ2" s="24" t="n"/>
      <c r="BPK2" s="24" t="n"/>
      <c r="BPL2" s="24" t="n"/>
      <c r="BPM2" s="24" t="n"/>
      <c r="BPN2" s="24" t="n"/>
      <c r="BPO2" s="24" t="n"/>
      <c r="BPP2" s="24" t="n"/>
      <c r="BPQ2" s="24" t="n"/>
      <c r="BPR2" s="24" t="n"/>
      <c r="BPS2" s="24" t="n"/>
      <c r="BPT2" s="24" t="n"/>
      <c r="BPU2" s="24" t="n"/>
      <c r="BPV2" s="24" t="n"/>
      <c r="BPW2" s="24" t="n"/>
      <c r="BPX2" s="24" t="n"/>
      <c r="BPY2" s="24" t="n"/>
      <c r="BPZ2" s="24" t="n"/>
      <c r="BQA2" s="24" t="n"/>
      <c r="BQB2" s="24" t="n"/>
      <c r="BQC2" s="24" t="n"/>
      <c r="BQD2" s="24" t="n"/>
      <c r="BQE2" s="24" t="n"/>
      <c r="BQF2" s="24" t="n"/>
      <c r="BQG2" s="24" t="n"/>
      <c r="BQH2" s="24" t="n"/>
      <c r="BQI2" s="24" t="n"/>
      <c r="BQJ2" s="24" t="n"/>
      <c r="BQK2" s="24" t="n"/>
      <c r="BQL2" s="24" t="n"/>
      <c r="BQM2" s="24" t="n"/>
      <c r="BQN2" s="24" t="n"/>
      <c r="BQO2" s="24" t="n"/>
      <c r="BQP2" s="24" t="n"/>
      <c r="BQQ2" s="24" t="n"/>
      <c r="BQR2" s="24" t="n"/>
      <c r="BQS2" s="24" t="n"/>
      <c r="BQT2" s="24" t="n"/>
      <c r="BQU2" s="24" t="n"/>
      <c r="BQV2" s="24" t="n"/>
      <c r="BQW2" s="24" t="n"/>
      <c r="BQX2" s="24" t="n"/>
      <c r="BQY2" s="24" t="n"/>
      <c r="BQZ2" s="24" t="n"/>
      <c r="BRA2" s="24" t="n"/>
      <c r="BRB2" s="24" t="n"/>
      <c r="BRC2" s="24" t="n"/>
      <c r="BRD2" s="24" t="n"/>
      <c r="BRE2" s="24" t="n"/>
      <c r="BRF2" s="24" t="n"/>
      <c r="BRG2" s="24" t="n"/>
      <c r="BRH2" s="24" t="n"/>
      <c r="BRI2" s="24" t="n"/>
      <c r="BRJ2" s="24" t="n"/>
      <c r="BRK2" s="24" t="n"/>
      <c r="BRL2" s="24" t="n"/>
      <c r="BRM2" s="24" t="n"/>
      <c r="BRN2" s="24" t="n"/>
      <c r="BRO2" s="24" t="n"/>
      <c r="BRP2" s="24" t="n"/>
      <c r="BRQ2" s="24" t="n"/>
      <c r="BRR2" s="24" t="n"/>
      <c r="BRS2" s="24" t="n"/>
      <c r="BRT2" s="24" t="n"/>
      <c r="BRU2" s="24" t="n"/>
      <c r="BRV2" s="24" t="n"/>
      <c r="BRW2" s="24" t="n"/>
      <c r="BRX2" s="24" t="n"/>
      <c r="BRY2" s="24" t="n"/>
      <c r="BRZ2" s="24" t="n"/>
      <c r="BSA2" s="24" t="n"/>
      <c r="BSB2" s="24" t="n"/>
      <c r="BSC2" s="24" t="n"/>
      <c r="BSD2" s="24" t="n"/>
      <c r="BSE2" s="24" t="n"/>
      <c r="BSF2" s="24" t="n"/>
      <c r="BSG2" s="24" t="n"/>
      <c r="BSH2" s="24" t="n"/>
      <c r="BSI2" s="24" t="n"/>
      <c r="BSJ2" s="24" t="n"/>
      <c r="BSK2" s="24" t="n"/>
      <c r="BSL2" s="24" t="n"/>
      <c r="BSM2" s="24" t="n"/>
      <c r="BSN2" s="24" t="n"/>
      <c r="BSO2" s="24" t="n"/>
      <c r="BSP2" s="24" t="n"/>
      <c r="BSQ2" s="24" t="n"/>
      <c r="BSR2" s="24" t="n"/>
      <c r="BSS2" s="24" t="n"/>
      <c r="BST2" s="24" t="n"/>
      <c r="BSU2" s="24" t="n"/>
      <c r="BSV2" s="24" t="n"/>
      <c r="BSW2" s="24" t="n"/>
      <c r="BSX2" s="24" t="n"/>
      <c r="BSY2" s="24" t="n"/>
      <c r="BSZ2" s="24" t="n"/>
      <c r="BTA2" s="24" t="n"/>
      <c r="BTB2" s="24" t="n"/>
      <c r="BTC2" s="24" t="n"/>
      <c r="BTD2" s="24" t="n"/>
      <c r="BTE2" s="24" t="n"/>
      <c r="BTF2" s="24" t="n"/>
      <c r="BTG2" s="24" t="n"/>
      <c r="BTH2" s="24" t="n"/>
      <c r="BTI2" s="24" t="n"/>
      <c r="BTJ2" s="24" t="n"/>
      <c r="BTK2" s="24" t="n"/>
      <c r="BTL2" s="24" t="n"/>
      <c r="BTM2" s="24" t="n"/>
      <c r="BTN2" s="24" t="n"/>
      <c r="BTO2" s="24" t="n"/>
      <c r="BTP2" s="24" t="n"/>
      <c r="BTQ2" s="24" t="n"/>
      <c r="BTR2" s="24" t="n"/>
      <c r="BTS2" s="24" t="n"/>
      <c r="BTT2" s="24" t="n"/>
      <c r="BTU2" s="24" t="n"/>
      <c r="BTV2" s="24" t="n"/>
      <c r="BTW2" s="24" t="n"/>
      <c r="BTX2" s="24" t="n"/>
      <c r="BTY2" s="24" t="n"/>
      <c r="BTZ2" s="24" t="n"/>
      <c r="BUA2" s="24" t="n"/>
      <c r="BUB2" s="24" t="n"/>
      <c r="BUC2" s="24" t="n"/>
      <c r="BUD2" s="24" t="n"/>
      <c r="BUE2" s="24" t="n"/>
      <c r="BUF2" s="24" t="n"/>
      <c r="BUG2" s="24" t="n"/>
      <c r="BUH2" s="24" t="n"/>
      <c r="BUI2" s="24" t="n"/>
      <c r="BUJ2" s="24" t="n"/>
      <c r="BUK2" s="24" t="n"/>
      <c r="BUL2" s="24" t="n"/>
      <c r="BUM2" s="24" t="n"/>
      <c r="BUN2" s="24" t="n"/>
      <c r="BUO2" s="24" t="n"/>
      <c r="BUP2" s="24" t="n"/>
      <c r="BUQ2" s="24" t="n"/>
      <c r="BUR2" s="24" t="n"/>
      <c r="BUS2" s="24" t="n"/>
      <c r="BUT2" s="24" t="n"/>
      <c r="BUU2" s="24" t="n"/>
      <c r="BUV2" s="24" t="n"/>
      <c r="BUW2" s="24" t="n"/>
      <c r="BUX2" s="24" t="n"/>
      <c r="BUY2" s="24" t="n"/>
      <c r="BUZ2" s="24" t="n"/>
      <c r="BVA2" s="24" t="n"/>
      <c r="BVB2" s="24" t="n"/>
      <c r="BVC2" s="24" t="n"/>
      <c r="BVD2" s="24" t="n"/>
      <c r="BVE2" s="24" t="n"/>
      <c r="BVF2" s="24" t="n"/>
      <c r="BVG2" s="24" t="n"/>
      <c r="BVH2" s="24" t="n"/>
      <c r="BVI2" s="24" t="n"/>
      <c r="BVJ2" s="24" t="n"/>
      <c r="BVK2" s="24" t="n"/>
      <c r="BVL2" s="24" t="n"/>
      <c r="BVM2" s="24" t="n"/>
      <c r="BVN2" s="24" t="n"/>
      <c r="BVO2" s="24" t="n"/>
      <c r="BVP2" s="24" t="n"/>
      <c r="BVQ2" s="24" t="n"/>
      <c r="BVR2" s="24" t="n"/>
      <c r="BVS2" s="24" t="n"/>
      <c r="BVT2" s="24" t="n"/>
      <c r="BVU2" s="24" t="n"/>
      <c r="BVV2" s="24" t="n"/>
      <c r="BVW2" s="24" t="n"/>
      <c r="BVX2" s="24" t="n"/>
      <c r="BVY2" s="24" t="n"/>
      <c r="BVZ2" s="24" t="n"/>
      <c r="BWA2" s="24" t="n"/>
      <c r="BWB2" s="24" t="n"/>
      <c r="BWC2" s="24" t="n"/>
      <c r="BWD2" s="24" t="n"/>
      <c r="BWE2" s="24" t="n"/>
      <c r="BWF2" s="24" t="n"/>
      <c r="BWG2" s="24" t="n"/>
      <c r="BWH2" s="24" t="n"/>
      <c r="BWI2" s="24" t="n"/>
      <c r="BWJ2" s="24" t="n"/>
      <c r="BWK2" s="24" t="n"/>
      <c r="BWL2" s="24" t="n"/>
      <c r="BWM2" s="24" t="n"/>
      <c r="BWN2" s="24" t="n"/>
      <c r="BWO2" s="24" t="n"/>
      <c r="BWP2" s="24" t="n"/>
      <c r="BWQ2" s="24" t="n"/>
      <c r="BWR2" s="24" t="n"/>
      <c r="BWS2" s="24" t="n"/>
      <c r="BWT2" s="24" t="n"/>
      <c r="BWU2" s="24" t="n"/>
      <c r="BWV2" s="24" t="n"/>
      <c r="BWW2" s="24" t="n"/>
      <c r="BWX2" s="24" t="n"/>
      <c r="BWY2" s="24" t="n"/>
      <c r="BWZ2" s="24" t="n"/>
      <c r="BXA2" s="24" t="n"/>
      <c r="BXB2" s="24" t="n"/>
      <c r="BXC2" s="24" t="n"/>
      <c r="BXD2" s="24" t="n"/>
      <c r="BXE2" s="24" t="n"/>
      <c r="BXF2" s="24" t="n"/>
      <c r="BXG2" s="24" t="n"/>
      <c r="BXH2" s="24" t="n"/>
      <c r="BXI2" s="24" t="n"/>
      <c r="BXJ2" s="24" t="n"/>
      <c r="BXK2" s="24" t="n"/>
      <c r="BXL2" s="24" t="n"/>
      <c r="BXM2" s="24" t="n"/>
      <c r="BXN2" s="24" t="n"/>
      <c r="BXO2" s="24" t="n"/>
      <c r="BXP2" s="24" t="n"/>
      <c r="BXQ2" s="24" t="n"/>
      <c r="BXR2" s="24" t="n"/>
      <c r="BXS2" s="24" t="n"/>
      <c r="BXT2" s="24" t="n"/>
      <c r="BXU2" s="24" t="n"/>
      <c r="BXV2" s="24" t="n"/>
      <c r="BXW2" s="24" t="n"/>
      <c r="BXX2" s="24" t="n"/>
      <c r="BXY2" s="24" t="n"/>
      <c r="BXZ2" s="24" t="n"/>
      <c r="BYA2" s="24" t="n"/>
      <c r="BYB2" s="24" t="n"/>
      <c r="BYC2" s="24" t="n"/>
      <c r="BYD2" s="24" t="n"/>
      <c r="BYE2" s="24" t="n"/>
      <c r="BYF2" s="24" t="n"/>
      <c r="BYG2" s="24" t="n"/>
      <c r="BYH2" s="24" t="n"/>
      <c r="BYI2" s="24" t="n"/>
      <c r="BYJ2" s="24" t="n"/>
      <c r="BYK2" s="24" t="n"/>
      <c r="BYL2" s="24" t="n"/>
      <c r="BYM2" s="24" t="n"/>
      <c r="BYN2" s="24" t="n"/>
      <c r="BYO2" s="24" t="n"/>
      <c r="BYP2" s="24" t="n"/>
      <c r="BYQ2" s="24" t="n"/>
      <c r="BYR2" s="24" t="n"/>
      <c r="BYS2" s="24" t="n"/>
      <c r="BYT2" s="24" t="n"/>
      <c r="BYU2" s="24" t="n"/>
      <c r="BYV2" s="24" t="n"/>
      <c r="BYW2" s="24" t="n"/>
      <c r="BYX2" s="24" t="n"/>
      <c r="BYY2" s="24" t="n"/>
      <c r="BYZ2" s="24" t="n"/>
      <c r="BZA2" s="24" t="n"/>
      <c r="BZB2" s="24" t="n"/>
      <c r="BZC2" s="24" t="n"/>
      <c r="BZD2" s="24" t="n"/>
      <c r="BZE2" s="24" t="n"/>
      <c r="BZF2" s="24" t="n"/>
      <c r="BZG2" s="24" t="n"/>
      <c r="BZH2" s="24" t="n"/>
      <c r="BZI2" s="24" t="n"/>
      <c r="BZJ2" s="24" t="n"/>
      <c r="BZK2" s="24" t="n"/>
      <c r="BZL2" s="24" t="n"/>
      <c r="BZM2" s="24" t="n"/>
      <c r="BZN2" s="24" t="n"/>
      <c r="BZO2" s="24" t="n"/>
      <c r="BZP2" s="24" t="n"/>
      <c r="BZQ2" s="24" t="n"/>
      <c r="BZR2" s="24" t="n"/>
      <c r="BZS2" s="24" t="n"/>
      <c r="BZT2" s="24" t="n"/>
      <c r="BZU2" s="24" t="n"/>
      <c r="BZV2" s="24" t="n"/>
      <c r="BZW2" s="24" t="n"/>
      <c r="BZX2" s="24" t="n"/>
      <c r="BZY2" s="24" t="n"/>
      <c r="BZZ2" s="24" t="n"/>
      <c r="CAA2" s="24" t="n"/>
      <c r="CAB2" s="24" t="n"/>
      <c r="CAC2" s="24" t="n"/>
      <c r="CAD2" s="24" t="n"/>
      <c r="CAE2" s="24" t="n"/>
      <c r="CAF2" s="24" t="n"/>
      <c r="CAG2" s="24" t="n"/>
      <c r="CAH2" s="24" t="n"/>
      <c r="CAI2" s="24" t="n"/>
      <c r="CAJ2" s="24" t="n"/>
      <c r="CAK2" s="24" t="n"/>
      <c r="CAL2" s="24" t="n"/>
      <c r="CAM2" s="24" t="n"/>
      <c r="CAN2" s="24" t="n"/>
      <c r="CAO2" s="24" t="n"/>
      <c r="CAP2" s="24" t="n"/>
      <c r="CAQ2" s="24" t="n"/>
      <c r="CAR2" s="24" t="n"/>
      <c r="CAS2" s="24" t="n"/>
      <c r="CAT2" s="24" t="n"/>
      <c r="CAU2" s="24" t="n"/>
      <c r="CAV2" s="24" t="n"/>
      <c r="CAW2" s="24" t="n"/>
      <c r="CAX2" s="24" t="n"/>
      <c r="CAY2" s="24" t="n"/>
      <c r="CAZ2" s="24" t="n"/>
      <c r="CBA2" s="24" t="n"/>
      <c r="CBB2" s="24" t="n"/>
      <c r="CBC2" s="24" t="n"/>
      <c r="CBD2" s="24" t="n"/>
      <c r="CBE2" s="24" t="n"/>
      <c r="CBF2" s="24" t="n"/>
      <c r="CBG2" s="24" t="n"/>
      <c r="CBH2" s="24" t="n"/>
      <c r="CBI2" s="24" t="n"/>
      <c r="CBJ2" s="24" t="n"/>
      <c r="CBK2" s="24" t="n"/>
      <c r="CBL2" s="24" t="n"/>
      <c r="CBM2" s="24" t="n"/>
      <c r="CBN2" s="24" t="n"/>
      <c r="CBO2" s="24" t="n"/>
      <c r="CBP2" s="24" t="n"/>
      <c r="CBQ2" s="24" t="n"/>
      <c r="CBR2" s="24" t="n"/>
      <c r="CBS2" s="24" t="n"/>
      <c r="CBT2" s="24" t="n"/>
      <c r="CBU2" s="24" t="n"/>
      <c r="CBV2" s="24" t="n"/>
      <c r="CBW2" s="24" t="n"/>
      <c r="CBX2" s="24" t="n"/>
      <c r="CBY2" s="24" t="n"/>
      <c r="CBZ2" s="24" t="n"/>
      <c r="CCA2" s="24" t="n"/>
      <c r="CCB2" s="24" t="n"/>
      <c r="CCC2" s="24" t="n"/>
      <c r="CCD2" s="24" t="n"/>
      <c r="CCE2" s="24" t="n"/>
      <c r="CCF2" s="24" t="n"/>
      <c r="CCG2" s="24" t="n"/>
      <c r="CCH2" s="24" t="n"/>
      <c r="CCI2" s="24" t="n"/>
      <c r="CCJ2" s="24" t="n"/>
      <c r="CCK2" s="24" t="n"/>
      <c r="CCL2" s="24" t="n"/>
      <c r="CCM2" s="24" t="n"/>
      <c r="CCN2" s="24" t="n"/>
      <c r="CCO2" s="24" t="n"/>
      <c r="CCP2" s="24" t="n"/>
      <c r="CCQ2" s="24" t="n"/>
      <c r="CCR2" s="24" t="n"/>
      <c r="CCS2" s="24" t="n"/>
      <c r="CCT2" s="24" t="n"/>
      <c r="CCU2" s="24" t="n"/>
      <c r="CCV2" s="24" t="n"/>
      <c r="CCW2" s="24" t="n"/>
      <c r="CCX2" s="24" t="n"/>
      <c r="CCY2" s="24" t="n"/>
      <c r="CCZ2" s="24" t="n"/>
      <c r="CDA2" s="24" t="n"/>
      <c r="CDB2" s="24" t="n"/>
      <c r="CDC2" s="24" t="n"/>
      <c r="CDD2" s="24" t="n"/>
      <c r="CDE2" s="24" t="n"/>
      <c r="CDF2" s="24" t="n"/>
      <c r="CDG2" s="24" t="n"/>
      <c r="CDH2" s="24" t="n"/>
      <c r="CDI2" s="24" t="n"/>
      <c r="CDJ2" s="24" t="n"/>
      <c r="CDK2" s="24" t="n"/>
      <c r="CDL2" s="24" t="n"/>
      <c r="CDM2" s="24" t="n"/>
      <c r="CDN2" s="24" t="n"/>
      <c r="CDO2" s="24" t="n"/>
      <c r="CDP2" s="24" t="n"/>
      <c r="CDQ2" s="24" t="n"/>
      <c r="CDR2" s="24" t="n"/>
      <c r="CDS2" s="24" t="n"/>
      <c r="CDT2" s="24" t="n"/>
      <c r="CDU2" s="24" t="n"/>
      <c r="CDV2" s="24" t="n"/>
      <c r="CDW2" s="24" t="n"/>
      <c r="CDX2" s="24" t="n"/>
      <c r="CDY2" s="24" t="n"/>
      <c r="CDZ2" s="24" t="n"/>
      <c r="CEA2" s="24" t="n"/>
      <c r="CEB2" s="24" t="n"/>
      <c r="CEC2" s="24" t="n"/>
      <c r="CED2" s="24" t="n"/>
      <c r="CEE2" s="24" t="n"/>
      <c r="CEF2" s="24" t="n"/>
      <c r="CEG2" s="24" t="n"/>
      <c r="CEH2" s="24" t="n"/>
      <c r="CEI2" s="24" t="n"/>
      <c r="CEJ2" s="24" t="n"/>
      <c r="CEK2" s="24" t="n"/>
      <c r="CEL2" s="24" t="n"/>
      <c r="CEM2" s="24" t="n"/>
      <c r="CEN2" s="24" t="n"/>
      <c r="CEO2" s="24" t="n"/>
      <c r="CEP2" s="24" t="n"/>
      <c r="CEQ2" s="24" t="n"/>
      <c r="CER2" s="24" t="n"/>
      <c r="CES2" s="24" t="n"/>
      <c r="CET2" s="24" t="n"/>
      <c r="CEU2" s="24" t="n"/>
      <c r="CEV2" s="24" t="n"/>
      <c r="CEW2" s="24" t="n"/>
      <c r="CEX2" s="24" t="n"/>
      <c r="CEY2" s="24" t="n"/>
      <c r="CEZ2" s="24" t="n"/>
      <c r="CFA2" s="24" t="n"/>
      <c r="CFB2" s="24" t="n"/>
      <c r="CFC2" s="24" t="n"/>
      <c r="CFD2" s="24" t="n"/>
      <c r="CFE2" s="24" t="n"/>
      <c r="CFF2" s="24" t="n"/>
      <c r="CFG2" s="24" t="n"/>
      <c r="CFH2" s="24" t="n"/>
      <c r="CFI2" s="24" t="n"/>
      <c r="CFJ2" s="24" t="n"/>
      <c r="CFK2" s="24" t="n"/>
      <c r="CFL2" s="24" t="n"/>
      <c r="CFM2" s="24" t="n"/>
      <c r="CFN2" s="24" t="n"/>
      <c r="CFO2" s="24" t="n"/>
      <c r="CFP2" s="24" t="n"/>
      <c r="CFQ2" s="24" t="n"/>
      <c r="CFR2" s="24" t="n"/>
      <c r="CFS2" s="24" t="n"/>
      <c r="CFT2" s="24" t="n"/>
      <c r="CFU2" s="24" t="n"/>
      <c r="CFV2" s="24" t="n"/>
      <c r="CFW2" s="24" t="n"/>
      <c r="CFX2" s="24" t="n"/>
      <c r="CFY2" s="24" t="n"/>
      <c r="CFZ2" s="24" t="n"/>
      <c r="CGA2" s="24" t="n"/>
      <c r="CGB2" s="24" t="n"/>
      <c r="CGC2" s="24" t="n"/>
      <c r="CGD2" s="24" t="n"/>
      <c r="CGE2" s="24" t="n"/>
      <c r="CGF2" s="24" t="n"/>
      <c r="CGG2" s="24" t="n"/>
      <c r="CGH2" s="24" t="n"/>
      <c r="CGI2" s="24" t="n"/>
      <c r="CGJ2" s="24" t="n"/>
      <c r="CGK2" s="24" t="n"/>
      <c r="CGL2" s="24" t="n"/>
      <c r="CGM2" s="24" t="n"/>
      <c r="CGN2" s="24" t="n"/>
      <c r="CGO2" s="24" t="n"/>
      <c r="CGP2" s="24" t="n"/>
      <c r="CGQ2" s="24" t="n"/>
      <c r="CGR2" s="24" t="n"/>
      <c r="CGS2" s="24" t="n"/>
      <c r="CGT2" s="24" t="n"/>
      <c r="CGU2" s="24" t="n"/>
      <c r="CGV2" s="24" t="n"/>
      <c r="CGW2" s="24" t="n"/>
      <c r="CGX2" s="24" t="n"/>
      <c r="CGY2" s="24" t="n"/>
      <c r="CGZ2" s="24" t="n"/>
      <c r="CHA2" s="24" t="n"/>
      <c r="CHB2" s="24" t="n"/>
      <c r="CHC2" s="24" t="n"/>
      <c r="CHD2" s="24" t="n"/>
      <c r="CHE2" s="24" t="n"/>
      <c r="CHF2" s="24" t="n"/>
      <c r="CHG2" s="24" t="n"/>
      <c r="CHH2" s="24" t="n"/>
      <c r="CHI2" s="24" t="n"/>
      <c r="CHJ2" s="24" t="n"/>
      <c r="CHK2" s="24" t="n"/>
      <c r="CHL2" s="24" t="n"/>
      <c r="CHM2" s="24" t="n"/>
      <c r="CHN2" s="24" t="n"/>
      <c r="CHO2" s="24" t="n"/>
      <c r="CHP2" s="24" t="n"/>
      <c r="CHQ2" s="24" t="n"/>
      <c r="CHR2" s="24" t="n"/>
      <c r="CHS2" s="24" t="n"/>
      <c r="CHT2" s="24" t="n"/>
      <c r="CHU2" s="24" t="n"/>
      <c r="CHV2" s="24" t="n"/>
      <c r="CHW2" s="24" t="n"/>
      <c r="CHX2" s="24" t="n"/>
      <c r="CHY2" s="24" t="n"/>
      <c r="CHZ2" s="24" t="n"/>
      <c r="CIA2" s="24" t="n"/>
      <c r="CIB2" s="24" t="n"/>
      <c r="CIC2" s="24" t="n"/>
      <c r="CID2" s="24" t="n"/>
      <c r="CIE2" s="24" t="n"/>
      <c r="CIF2" s="24" t="n"/>
      <c r="CIG2" s="24" t="n"/>
      <c r="CIH2" s="24" t="n"/>
      <c r="CII2" s="24" t="n"/>
      <c r="CIJ2" s="24" t="n"/>
      <c r="CIK2" s="24" t="n"/>
      <c r="CIL2" s="24" t="n"/>
      <c r="CIM2" s="24" t="n"/>
      <c r="CIN2" s="24" t="n"/>
      <c r="CIO2" s="24" t="n"/>
      <c r="CIP2" s="24" t="n"/>
      <c r="CIQ2" s="24" t="n"/>
      <c r="CIR2" s="24" t="n"/>
      <c r="CIS2" s="24" t="n"/>
      <c r="CIT2" s="24" t="n"/>
      <c r="CIU2" s="24" t="n"/>
      <c r="CIV2" s="24" t="n"/>
      <c r="CIW2" s="24" t="n"/>
      <c r="CIX2" s="24" t="n"/>
      <c r="CIY2" s="24" t="n"/>
      <c r="CIZ2" s="24" t="n"/>
      <c r="CJA2" s="24" t="n"/>
      <c r="CJB2" s="24" t="n"/>
      <c r="CJC2" s="24" t="n"/>
      <c r="CJD2" s="24" t="n"/>
      <c r="CJE2" s="24" t="n"/>
      <c r="CJF2" s="24" t="n"/>
      <c r="CJG2" s="24" t="n"/>
      <c r="CJH2" s="24" t="n"/>
      <c r="CJI2" s="24" t="n"/>
      <c r="CJJ2" s="24" t="n"/>
      <c r="CJK2" s="24" t="n"/>
      <c r="CJL2" s="24" t="n"/>
      <c r="CJM2" s="24" t="n"/>
      <c r="CJN2" s="24" t="n"/>
      <c r="CJO2" s="24" t="n"/>
      <c r="CJP2" s="24" t="n"/>
      <c r="CJQ2" s="24" t="n"/>
      <c r="CJR2" s="24" t="n"/>
      <c r="CJS2" s="24" t="n"/>
      <c r="CJT2" s="24" t="n"/>
      <c r="CJU2" s="24" t="n"/>
      <c r="CJV2" s="24" t="n"/>
      <c r="CJW2" s="24" t="n"/>
      <c r="CJX2" s="24" t="n"/>
      <c r="CJY2" s="24" t="n"/>
      <c r="CJZ2" s="24" t="n"/>
      <c r="CKA2" s="24" t="n"/>
      <c r="CKB2" s="24" t="n"/>
      <c r="CKC2" s="24" t="n"/>
      <c r="CKD2" s="24" t="n"/>
      <c r="CKE2" s="24" t="n"/>
      <c r="CKF2" s="24" t="n"/>
      <c r="CKG2" s="24" t="n"/>
      <c r="CKH2" s="24" t="n"/>
      <c r="CKI2" s="24" t="n"/>
      <c r="CKJ2" s="24" t="n"/>
      <c r="CKK2" s="24" t="n"/>
      <c r="CKL2" s="24" t="n"/>
      <c r="CKM2" s="24" t="n"/>
      <c r="CKN2" s="24" t="n"/>
      <c r="CKO2" s="24" t="n"/>
      <c r="CKP2" s="24" t="n"/>
      <c r="CKQ2" s="24" t="n"/>
      <c r="CKR2" s="24" t="n"/>
      <c r="CKS2" s="24" t="n"/>
      <c r="CKT2" s="24" t="n"/>
      <c r="CKU2" s="24" t="n"/>
      <c r="CKV2" s="24" t="n"/>
      <c r="CKW2" s="24" t="n"/>
      <c r="CKX2" s="24" t="n"/>
      <c r="CKY2" s="24" t="n"/>
      <c r="CKZ2" s="24" t="n"/>
      <c r="CLA2" s="24" t="n"/>
      <c r="CLB2" s="24" t="n"/>
      <c r="CLC2" s="24" t="n"/>
      <c r="CLD2" s="24" t="n"/>
      <c r="CLE2" s="24" t="n"/>
      <c r="CLF2" s="24" t="n"/>
      <c r="CLG2" s="24" t="n"/>
      <c r="CLH2" s="24" t="n"/>
      <c r="CLI2" s="24" t="n"/>
      <c r="CLJ2" s="24" t="n"/>
      <c r="CLK2" s="24" t="n"/>
      <c r="CLL2" s="24" t="n"/>
      <c r="CLM2" s="24" t="n"/>
      <c r="CLN2" s="24" t="n"/>
      <c r="CLO2" s="24" t="n"/>
      <c r="CLP2" s="24" t="n"/>
      <c r="CLQ2" s="24" t="n"/>
      <c r="CLR2" s="24" t="n"/>
      <c r="CLS2" s="24" t="n"/>
      <c r="CLT2" s="24" t="n"/>
      <c r="CLU2" s="24" t="n"/>
      <c r="CLV2" s="24" t="n"/>
      <c r="CLW2" s="24" t="n"/>
      <c r="CLX2" s="24" t="n"/>
      <c r="CLY2" s="24" t="n"/>
      <c r="CLZ2" s="24" t="n"/>
      <c r="CMA2" s="24" t="n"/>
      <c r="CMB2" s="24" t="n"/>
      <c r="CMC2" s="24" t="n"/>
      <c r="CMD2" s="24" t="n"/>
      <c r="CME2" s="24" t="n"/>
      <c r="CMF2" s="24" t="n"/>
      <c r="CMG2" s="24" t="n"/>
      <c r="CMH2" s="24" t="n"/>
      <c r="CMI2" s="24" t="n"/>
      <c r="CMJ2" s="24" t="n"/>
      <c r="CMK2" s="24" t="n"/>
      <c r="CML2" s="24" t="n"/>
      <c r="CMM2" s="24" t="n"/>
      <c r="CMN2" s="24" t="n"/>
      <c r="CMO2" s="24" t="n"/>
      <c r="CMP2" s="24" t="n"/>
      <c r="CMQ2" s="24" t="n"/>
      <c r="CMR2" s="24" t="n"/>
      <c r="CMS2" s="24" t="n"/>
      <c r="CMT2" s="24" t="n"/>
      <c r="CMU2" s="24" t="n"/>
      <c r="CMV2" s="24" t="n"/>
      <c r="CMW2" s="24" t="n"/>
      <c r="CMX2" s="24" t="n"/>
      <c r="CMY2" s="24" t="n"/>
      <c r="CMZ2" s="24" t="n"/>
      <c r="CNA2" s="24" t="n"/>
      <c r="CNB2" s="24" t="n"/>
      <c r="CNC2" s="24" t="n"/>
      <c r="CND2" s="24" t="n"/>
      <c r="CNE2" s="24" t="n"/>
      <c r="CNF2" s="24" t="n"/>
      <c r="CNG2" s="24" t="n"/>
      <c r="CNH2" s="24" t="n"/>
      <c r="CNI2" s="24" t="n"/>
      <c r="CNJ2" s="24" t="n"/>
      <c r="CNK2" s="24" t="n"/>
      <c r="CNL2" s="24" t="n"/>
      <c r="CNM2" s="24" t="n"/>
      <c r="CNN2" s="24" t="n"/>
      <c r="CNO2" s="24" t="n"/>
      <c r="CNP2" s="24" t="n"/>
      <c r="CNQ2" s="24" t="n"/>
      <c r="CNR2" s="24" t="n"/>
      <c r="CNS2" s="24" t="n"/>
      <c r="CNT2" s="24" t="n"/>
      <c r="CNU2" s="24" t="n"/>
      <c r="CNV2" s="24" t="n"/>
      <c r="CNW2" s="24" t="n"/>
      <c r="CNX2" s="24" t="n"/>
      <c r="CNY2" s="24" t="n"/>
      <c r="CNZ2" s="24" t="n"/>
      <c r="COA2" s="24" t="n"/>
      <c r="COB2" s="24" t="n"/>
      <c r="COC2" s="24" t="n"/>
      <c r="COD2" s="24" t="n"/>
      <c r="COE2" s="24" t="n"/>
      <c r="COF2" s="24" t="n"/>
      <c r="COG2" s="24" t="n"/>
      <c r="COH2" s="24" t="n"/>
      <c r="COI2" s="24" t="n"/>
      <c r="COJ2" s="24" t="n"/>
      <c r="COK2" s="24" t="n"/>
      <c r="COL2" s="24" t="n"/>
      <c r="COM2" s="24" t="n"/>
      <c r="CON2" s="24" t="n"/>
      <c r="COO2" s="24" t="n"/>
      <c r="COP2" s="24" t="n"/>
      <c r="COQ2" s="24" t="n"/>
      <c r="COR2" s="24" t="n"/>
      <c r="COS2" s="24" t="n"/>
      <c r="COT2" s="24" t="n"/>
      <c r="COU2" s="24" t="n"/>
      <c r="COV2" s="24" t="n"/>
      <c r="COW2" s="24" t="n"/>
      <c r="COX2" s="24" t="n"/>
      <c r="COY2" s="24" t="n"/>
      <c r="COZ2" s="24" t="n"/>
      <c r="CPA2" s="24" t="n"/>
      <c r="CPB2" s="24" t="n"/>
      <c r="CPC2" s="24" t="n"/>
      <c r="CPD2" s="24" t="n"/>
      <c r="CPE2" s="24" t="n"/>
      <c r="CPF2" s="24" t="n"/>
      <c r="CPG2" s="24" t="n"/>
      <c r="CPH2" s="24" t="n"/>
      <c r="CPI2" s="24" t="n"/>
      <c r="CPJ2" s="24" t="n"/>
      <c r="CPK2" s="24" t="n"/>
      <c r="CPL2" s="24" t="n"/>
      <c r="CPM2" s="24" t="n"/>
      <c r="CPN2" s="24" t="n"/>
      <c r="CPO2" s="24" t="n"/>
      <c r="CPP2" s="24" t="n"/>
      <c r="CPQ2" s="24" t="n"/>
      <c r="CPR2" s="24" t="n"/>
      <c r="CPS2" s="24" t="n"/>
      <c r="CPT2" s="24" t="n"/>
      <c r="CPU2" s="24" t="n"/>
      <c r="CPV2" s="24" t="n"/>
      <c r="CPW2" s="24" t="n"/>
      <c r="CPX2" s="24" t="n"/>
      <c r="CPY2" s="24" t="n"/>
      <c r="CPZ2" s="24" t="n"/>
      <c r="CQA2" s="24" t="n"/>
      <c r="CQB2" s="24" t="n"/>
      <c r="CQC2" s="24" t="n"/>
      <c r="CQD2" s="24" t="n"/>
      <c r="CQE2" s="24" t="n"/>
      <c r="CQF2" s="24" t="n"/>
      <c r="CQG2" s="24" t="n"/>
      <c r="CQH2" s="24" t="n"/>
      <c r="CQI2" s="24" t="n"/>
      <c r="CQJ2" s="24" t="n"/>
      <c r="CQK2" s="24" t="n"/>
      <c r="CQL2" s="24" t="n"/>
      <c r="CQM2" s="24" t="n"/>
      <c r="CQN2" s="24" t="n"/>
      <c r="CQO2" s="24" t="n"/>
      <c r="CQP2" s="24" t="n"/>
      <c r="CQQ2" s="24" t="n"/>
      <c r="CQR2" s="24" t="n"/>
      <c r="CQS2" s="24" t="n"/>
      <c r="CQT2" s="24" t="n"/>
      <c r="CQU2" s="24" t="n"/>
      <c r="CQV2" s="24" t="n"/>
      <c r="CQW2" s="24" t="n"/>
      <c r="CQX2" s="24" t="n"/>
      <c r="CQY2" s="24" t="n"/>
      <c r="CQZ2" s="24" t="n"/>
      <c r="CRA2" s="24" t="n"/>
      <c r="CRB2" s="24" t="n"/>
      <c r="CRC2" s="24" t="n"/>
      <c r="CRD2" s="24" t="n"/>
      <c r="CRE2" s="24" t="n"/>
      <c r="CRF2" s="24" t="n"/>
      <c r="CRG2" s="24" t="n"/>
      <c r="CRH2" s="24" t="n"/>
      <c r="CRI2" s="24" t="n"/>
      <c r="CRJ2" s="24" t="n"/>
      <c r="CRK2" s="24" t="n"/>
      <c r="CRL2" s="24" t="n"/>
      <c r="CRM2" s="24" t="n"/>
      <c r="CRN2" s="24" t="n"/>
      <c r="CRO2" s="24" t="n"/>
      <c r="CRP2" s="24" t="n"/>
      <c r="CRQ2" s="24" t="n"/>
      <c r="CRR2" s="24" t="n"/>
      <c r="CRS2" s="24" t="n"/>
      <c r="CRT2" s="24" t="n"/>
      <c r="CRU2" s="24" t="n"/>
      <c r="CRV2" s="24" t="n"/>
      <c r="CRW2" s="24" t="n"/>
      <c r="CRX2" s="24" t="n"/>
      <c r="CRY2" s="24" t="n"/>
      <c r="CRZ2" s="24" t="n"/>
      <c r="CSA2" s="24" t="n"/>
      <c r="CSB2" s="24" t="n"/>
      <c r="CSC2" s="24" t="n"/>
      <c r="CSD2" s="24" t="n"/>
      <c r="CSE2" s="24" t="n"/>
      <c r="CSF2" s="24" t="n"/>
      <c r="CSG2" s="24" t="n"/>
      <c r="CSH2" s="24" t="n"/>
      <c r="CSI2" s="24" t="n"/>
      <c r="CSJ2" s="24" t="n"/>
      <c r="CSK2" s="24" t="n"/>
      <c r="CSL2" s="24" t="n"/>
      <c r="CSM2" s="24" t="n"/>
      <c r="CSN2" s="24" t="n"/>
      <c r="CSO2" s="24" t="n"/>
      <c r="CSP2" s="24" t="n"/>
      <c r="CSQ2" s="24" t="n"/>
      <c r="CSR2" s="24" t="n"/>
      <c r="CSS2" s="24" t="n"/>
      <c r="CST2" s="24" t="n"/>
      <c r="CSU2" s="24" t="n"/>
      <c r="CSV2" s="24" t="n"/>
      <c r="CSW2" s="24" t="n"/>
      <c r="CSX2" s="24" t="n"/>
      <c r="CSY2" s="24" t="n"/>
      <c r="CSZ2" s="24" t="n"/>
      <c r="CTA2" s="24" t="n"/>
      <c r="CTB2" s="24" t="n"/>
      <c r="CTC2" s="24" t="n"/>
      <c r="CTD2" s="24" t="n"/>
      <c r="CTE2" s="24" t="n"/>
      <c r="CTF2" s="24" t="n"/>
      <c r="CTG2" s="24" t="n"/>
      <c r="CTH2" s="24" t="n"/>
      <c r="CTI2" s="24" t="n"/>
      <c r="CTJ2" s="24" t="n"/>
      <c r="CTK2" s="24" t="n"/>
      <c r="CTL2" s="24" t="n"/>
      <c r="CTM2" s="24" t="n"/>
      <c r="CTN2" s="24" t="n"/>
      <c r="CTO2" s="24" t="n"/>
      <c r="CTP2" s="24" t="n"/>
      <c r="CTQ2" s="24" t="n"/>
      <c r="CTR2" s="24" t="n"/>
      <c r="CTS2" s="24" t="n"/>
      <c r="CTT2" s="24" t="n"/>
      <c r="CTU2" s="24" t="n"/>
      <c r="CTV2" s="24" t="n"/>
      <c r="CTW2" s="24" t="n"/>
      <c r="CTX2" s="24" t="n"/>
      <c r="CTY2" s="24" t="n"/>
      <c r="CTZ2" s="24" t="n"/>
      <c r="CUA2" s="24" t="n"/>
      <c r="CUB2" s="24" t="n"/>
      <c r="CUC2" s="24" t="n"/>
      <c r="CUD2" s="24" t="n"/>
      <c r="CUE2" s="24" t="n"/>
      <c r="CUF2" s="24" t="n"/>
      <c r="CUG2" s="24" t="n"/>
      <c r="CUH2" s="24" t="n"/>
      <c r="CUI2" s="24" t="n"/>
      <c r="CUJ2" s="24" t="n"/>
      <c r="CUK2" s="24" t="n"/>
      <c r="CUL2" s="24" t="n"/>
      <c r="CUM2" s="24" t="n"/>
      <c r="CUN2" s="24" t="n"/>
      <c r="CUO2" s="24" t="n"/>
      <c r="CUP2" s="24" t="n"/>
      <c r="CUQ2" s="24" t="n"/>
      <c r="CUR2" s="24" t="n"/>
      <c r="CUS2" s="24" t="n"/>
      <c r="CUT2" s="24" t="n"/>
      <c r="CUU2" s="24" t="n"/>
      <c r="CUV2" s="24" t="n"/>
      <c r="CUW2" s="24" t="n"/>
      <c r="CUX2" s="24" t="n"/>
      <c r="CUY2" s="24" t="n"/>
      <c r="CUZ2" s="24" t="n"/>
      <c r="CVA2" s="24" t="n"/>
      <c r="CVB2" s="24" t="n"/>
      <c r="CVC2" s="24" t="n"/>
      <c r="CVD2" s="24" t="n"/>
      <c r="CVE2" s="24" t="n"/>
      <c r="CVF2" s="24" t="n"/>
      <c r="CVG2" s="24" t="n"/>
      <c r="CVH2" s="24" t="n"/>
      <c r="CVI2" s="24" t="n"/>
      <c r="CVJ2" s="24" t="n"/>
      <c r="CVK2" s="24" t="n"/>
      <c r="CVL2" s="24" t="n"/>
      <c r="CVM2" s="24" t="n"/>
      <c r="CVN2" s="24" t="n"/>
      <c r="CVO2" s="24" t="n"/>
      <c r="CVP2" s="24" t="n"/>
      <c r="CVQ2" s="24" t="n"/>
      <c r="CVR2" s="24" t="n"/>
      <c r="CVS2" s="24" t="n"/>
      <c r="CVT2" s="24" t="n"/>
      <c r="CVU2" s="24" t="n"/>
      <c r="CVV2" s="24" t="n"/>
      <c r="CVW2" s="24" t="n"/>
      <c r="CVX2" s="24" t="n"/>
      <c r="CVY2" s="24" t="n"/>
      <c r="CVZ2" s="24" t="n"/>
      <c r="CWA2" s="24" t="n"/>
      <c r="CWB2" s="24" t="n"/>
      <c r="CWC2" s="24" t="n"/>
      <c r="CWD2" s="24" t="n"/>
      <c r="CWE2" s="24" t="n"/>
      <c r="CWF2" s="24" t="n"/>
      <c r="CWG2" s="24" t="n"/>
      <c r="CWH2" s="24" t="n"/>
      <c r="CWI2" s="24" t="n"/>
      <c r="CWJ2" s="24" t="n"/>
      <c r="CWK2" s="24" t="n"/>
      <c r="CWL2" s="24" t="n"/>
      <c r="CWM2" s="24" t="n"/>
      <c r="CWN2" s="24" t="n"/>
      <c r="CWO2" s="24" t="n"/>
      <c r="CWP2" s="24" t="n"/>
      <c r="CWQ2" s="24" t="n"/>
      <c r="CWR2" s="24" t="n"/>
      <c r="CWS2" s="24" t="n"/>
      <c r="CWT2" s="24" t="n"/>
      <c r="CWU2" s="24" t="n"/>
      <c r="CWV2" s="24" t="n"/>
      <c r="CWW2" s="24" t="n"/>
      <c r="CWX2" s="24" t="n"/>
      <c r="CWY2" s="24" t="n"/>
      <c r="CWZ2" s="24" t="n"/>
      <c r="CXA2" s="24" t="n"/>
      <c r="CXB2" s="24" t="n"/>
      <c r="CXC2" s="24" t="n"/>
      <c r="CXD2" s="24" t="n"/>
      <c r="CXE2" s="24" t="n"/>
      <c r="CXF2" s="24" t="n"/>
      <c r="CXG2" s="24" t="n"/>
      <c r="CXH2" s="24" t="n"/>
      <c r="CXI2" s="24" t="n"/>
      <c r="CXJ2" s="24" t="n"/>
      <c r="CXK2" s="24" t="n"/>
      <c r="CXL2" s="24" t="n"/>
      <c r="CXM2" s="24" t="n"/>
      <c r="CXN2" s="24" t="n"/>
      <c r="CXO2" s="24" t="n"/>
      <c r="CXP2" s="24" t="n"/>
      <c r="CXQ2" s="24" t="n"/>
      <c r="CXR2" s="24" t="n"/>
      <c r="CXS2" s="24" t="n"/>
      <c r="CXT2" s="24" t="n"/>
      <c r="CXU2" s="24" t="n"/>
      <c r="CXV2" s="24" t="n"/>
      <c r="CXW2" s="24" t="n"/>
      <c r="CXX2" s="24" t="n"/>
      <c r="CXY2" s="24" t="n"/>
      <c r="CXZ2" s="24" t="n"/>
      <c r="CYA2" s="24" t="n"/>
      <c r="CYB2" s="24" t="n"/>
      <c r="CYC2" s="24" t="n"/>
      <c r="CYD2" s="24" t="n"/>
      <c r="CYE2" s="24" t="n"/>
      <c r="CYF2" s="24" t="n"/>
      <c r="CYG2" s="24" t="n"/>
      <c r="CYH2" s="24" t="n"/>
      <c r="CYI2" s="24" t="n"/>
      <c r="CYJ2" s="24" t="n"/>
      <c r="CYK2" s="24" t="n"/>
      <c r="CYL2" s="24" t="n"/>
      <c r="CYM2" s="24" t="n"/>
      <c r="CYN2" s="24" t="n"/>
      <c r="CYO2" s="24" t="n"/>
      <c r="CYP2" s="24" t="n"/>
      <c r="CYQ2" s="24" t="n"/>
      <c r="CYR2" s="24" t="n"/>
      <c r="CYS2" s="24" t="n"/>
      <c r="CYT2" s="24" t="n"/>
      <c r="CYU2" s="24" t="n"/>
      <c r="CYV2" s="24" t="n"/>
      <c r="CYW2" s="24" t="n"/>
      <c r="CYX2" s="24" t="n"/>
      <c r="CYY2" s="24" t="n"/>
      <c r="CYZ2" s="24" t="n"/>
      <c r="CZA2" s="24" t="n"/>
      <c r="CZB2" s="24" t="n"/>
      <c r="CZC2" s="24" t="n"/>
      <c r="CZD2" s="24" t="n"/>
      <c r="CZE2" s="24" t="n"/>
      <c r="CZF2" s="24" t="n"/>
      <c r="CZG2" s="24" t="n"/>
      <c r="CZH2" s="24" t="n"/>
      <c r="CZI2" s="24" t="n"/>
      <c r="CZJ2" s="24" t="n"/>
      <c r="CZK2" s="24" t="n"/>
      <c r="CZL2" s="24" t="n"/>
      <c r="CZM2" s="24" t="n"/>
      <c r="CZN2" s="24" t="n"/>
      <c r="CZO2" s="24" t="n"/>
      <c r="CZP2" s="24" t="n"/>
      <c r="CZQ2" s="24" t="n"/>
      <c r="CZR2" s="24" t="n"/>
      <c r="CZS2" s="24" t="n"/>
      <c r="CZT2" s="24" t="n"/>
      <c r="CZU2" s="24" t="n"/>
      <c r="CZV2" s="24" t="n"/>
      <c r="CZW2" s="24" t="n"/>
      <c r="CZX2" s="24" t="n"/>
      <c r="CZY2" s="24" t="n"/>
      <c r="CZZ2" s="24" t="n"/>
      <c r="DAA2" s="24" t="n"/>
      <c r="DAB2" s="24" t="n"/>
      <c r="DAC2" s="24" t="n"/>
      <c r="DAD2" s="24" t="n"/>
      <c r="DAE2" s="24" t="n"/>
      <c r="DAF2" s="24" t="n"/>
      <c r="DAG2" s="24" t="n"/>
      <c r="DAH2" s="24" t="n"/>
      <c r="DAI2" s="24" t="n"/>
      <c r="DAJ2" s="24" t="n"/>
      <c r="DAK2" s="24" t="n"/>
      <c r="DAL2" s="24" t="n"/>
      <c r="DAM2" s="24" t="n"/>
      <c r="DAN2" s="24" t="n"/>
      <c r="DAO2" s="24" t="n"/>
      <c r="DAP2" s="24" t="n"/>
      <c r="DAQ2" s="24" t="n"/>
      <c r="DAR2" s="24" t="n"/>
      <c r="DAS2" s="24" t="n"/>
      <c r="DAT2" s="24" t="n"/>
      <c r="DAU2" s="24" t="n"/>
      <c r="DAV2" s="24" t="n"/>
      <c r="DAW2" s="24" t="n"/>
      <c r="DAX2" s="24" t="n"/>
      <c r="DAY2" s="24" t="n"/>
      <c r="DAZ2" s="24" t="n"/>
      <c r="DBA2" s="24" t="n"/>
      <c r="DBB2" s="24" t="n"/>
      <c r="DBC2" s="24" t="n"/>
      <c r="DBD2" s="24" t="n"/>
      <c r="DBE2" s="24" t="n"/>
      <c r="DBF2" s="24" t="n"/>
      <c r="DBG2" s="24" t="n"/>
      <c r="DBH2" s="24" t="n"/>
      <c r="DBI2" s="24" t="n"/>
      <c r="DBJ2" s="24" t="n"/>
      <c r="DBK2" s="24" t="n"/>
      <c r="DBL2" s="24" t="n"/>
      <c r="DBM2" s="24" t="n"/>
      <c r="DBN2" s="24" t="n"/>
      <c r="DBO2" s="24" t="n"/>
      <c r="DBP2" s="24" t="n"/>
      <c r="DBQ2" s="24" t="n"/>
      <c r="DBR2" s="24" t="n"/>
      <c r="DBS2" s="24" t="n"/>
      <c r="DBT2" s="24" t="n"/>
      <c r="DBU2" s="24" t="n"/>
      <c r="DBV2" s="24" t="n"/>
      <c r="DBW2" s="24" t="n"/>
      <c r="DBX2" s="24" t="n"/>
      <c r="DBY2" s="24" t="n"/>
      <c r="DBZ2" s="24" t="n"/>
      <c r="DCA2" s="24" t="n"/>
      <c r="DCB2" s="24" t="n"/>
      <c r="DCC2" s="24" t="n"/>
      <c r="DCD2" s="24" t="n"/>
      <c r="DCE2" s="24" t="n"/>
      <c r="DCF2" s="24" t="n"/>
      <c r="DCG2" s="24" t="n"/>
      <c r="DCH2" s="24" t="n"/>
      <c r="DCI2" s="24" t="n"/>
      <c r="DCJ2" s="24" t="n"/>
      <c r="DCK2" s="24" t="n"/>
      <c r="DCL2" s="24" t="n"/>
      <c r="DCM2" s="24" t="n"/>
      <c r="DCN2" s="24" t="n"/>
      <c r="DCO2" s="24" t="n"/>
      <c r="DCP2" s="24" t="n"/>
      <c r="DCQ2" s="24" t="n"/>
      <c r="DCR2" s="24" t="n"/>
      <c r="DCS2" s="24" t="n"/>
      <c r="DCT2" s="24" t="n"/>
      <c r="DCU2" s="24" t="n"/>
      <c r="DCV2" s="24" t="n"/>
      <c r="DCW2" s="24" t="n"/>
      <c r="DCX2" s="24" t="n"/>
      <c r="DCY2" s="24" t="n"/>
      <c r="DCZ2" s="24" t="n"/>
      <c r="DDA2" s="24" t="n"/>
      <c r="DDB2" s="24" t="n"/>
      <c r="DDC2" s="24" t="n"/>
      <c r="DDD2" s="24" t="n"/>
      <c r="DDE2" s="24" t="n"/>
      <c r="DDF2" s="24" t="n"/>
      <c r="DDG2" s="24" t="n"/>
      <c r="DDH2" s="24" t="n"/>
      <c r="DDI2" s="24" t="n"/>
      <c r="DDJ2" s="24" t="n"/>
      <c r="DDK2" s="24" t="n"/>
      <c r="DDL2" s="24" t="n"/>
      <c r="DDM2" s="24" t="n"/>
      <c r="DDN2" s="24" t="n"/>
      <c r="DDO2" s="24" t="n"/>
      <c r="DDP2" s="24" t="n"/>
      <c r="DDQ2" s="24" t="n"/>
      <c r="DDR2" s="24" t="n"/>
      <c r="DDS2" s="24" t="n"/>
      <c r="DDT2" s="24" t="n"/>
      <c r="DDU2" s="24" t="n"/>
      <c r="DDV2" s="24" t="n"/>
      <c r="DDW2" s="24" t="n"/>
      <c r="DDX2" s="24" t="n"/>
      <c r="DDY2" s="24" t="n"/>
      <c r="DDZ2" s="24" t="n"/>
      <c r="DEA2" s="24" t="n"/>
      <c r="DEB2" s="24" t="n"/>
      <c r="DEC2" s="24" t="n"/>
      <c r="DED2" s="24" t="n"/>
      <c r="DEE2" s="24" t="n"/>
      <c r="DEF2" s="24" t="n"/>
      <c r="DEG2" s="24" t="n"/>
      <c r="DEH2" s="24" t="n"/>
      <c r="DEI2" s="24" t="n"/>
      <c r="DEJ2" s="24" t="n"/>
      <c r="DEK2" s="24" t="n"/>
      <c r="DEL2" s="24" t="n"/>
      <c r="DEM2" s="24" t="n"/>
      <c r="DEN2" s="24" t="n"/>
      <c r="DEO2" s="24" t="n"/>
      <c r="DEP2" s="24" t="n"/>
      <c r="DEQ2" s="24" t="n"/>
      <c r="DER2" s="24" t="n"/>
      <c r="DES2" s="24" t="n"/>
      <c r="DET2" s="24" t="n"/>
      <c r="DEU2" s="24" t="n"/>
      <c r="DEV2" s="24" t="n"/>
      <c r="DEW2" s="24" t="n"/>
      <c r="DEX2" s="24" t="n"/>
      <c r="DEY2" s="24" t="n"/>
      <c r="DEZ2" s="24" t="n"/>
      <c r="DFA2" s="24" t="n"/>
      <c r="DFB2" s="24" t="n"/>
      <c r="DFC2" s="24" t="n"/>
      <c r="DFD2" s="24" t="n"/>
      <c r="DFE2" s="24" t="n"/>
      <c r="DFF2" s="24" t="n"/>
      <c r="DFG2" s="24" t="n"/>
      <c r="DFH2" s="24" t="n"/>
      <c r="DFI2" s="24" t="n"/>
      <c r="DFJ2" s="24" t="n"/>
      <c r="DFK2" s="24" t="n"/>
      <c r="DFL2" s="24" t="n"/>
      <c r="DFM2" s="24" t="n"/>
      <c r="DFN2" s="24" t="n"/>
      <c r="DFO2" s="24" t="n"/>
      <c r="DFP2" s="24" t="n"/>
      <c r="DFQ2" s="24" t="n"/>
      <c r="DFR2" s="24" t="n"/>
      <c r="DFS2" s="24" t="n"/>
      <c r="DFT2" s="24" t="n"/>
      <c r="DFU2" s="24" t="n"/>
      <c r="DFV2" s="24" t="n"/>
      <c r="DFW2" s="24" t="n"/>
      <c r="DFX2" s="24" t="n"/>
      <c r="DFY2" s="24" t="n"/>
      <c r="DFZ2" s="24" t="n"/>
      <c r="DGA2" s="24" t="n"/>
      <c r="DGB2" s="24" t="n"/>
      <c r="DGC2" s="24" t="n"/>
      <c r="DGD2" s="24" t="n"/>
      <c r="DGE2" s="24" t="n"/>
      <c r="DGF2" s="24" t="n"/>
      <c r="DGG2" s="24" t="n"/>
      <c r="DGH2" s="24" t="n"/>
      <c r="DGI2" s="24" t="n"/>
      <c r="DGJ2" s="24" t="n"/>
      <c r="DGK2" s="24" t="n"/>
      <c r="DGL2" s="24" t="n"/>
      <c r="DGM2" s="24" t="n"/>
      <c r="DGN2" s="24" t="n"/>
      <c r="DGO2" s="24" t="n"/>
      <c r="DGP2" s="24" t="n"/>
      <c r="DGQ2" s="24" t="n"/>
      <c r="DGR2" s="24" t="n"/>
      <c r="DGS2" s="24" t="n"/>
      <c r="DGT2" s="24" t="n"/>
      <c r="DGU2" s="24" t="n"/>
      <c r="DGV2" s="24" t="n"/>
      <c r="DGW2" s="24" t="n"/>
      <c r="DGX2" s="24" t="n"/>
      <c r="DGY2" s="24" t="n"/>
      <c r="DGZ2" s="24" t="n"/>
      <c r="DHA2" s="24" t="n"/>
      <c r="DHB2" s="24" t="n"/>
      <c r="DHC2" s="24" t="n"/>
      <c r="DHD2" s="24" t="n"/>
      <c r="DHE2" s="24" t="n"/>
      <c r="DHF2" s="24" t="n"/>
      <c r="DHG2" s="24" t="n"/>
      <c r="DHH2" s="24" t="n"/>
      <c r="DHI2" s="24" t="n"/>
      <c r="DHJ2" s="24" t="n"/>
      <c r="DHK2" s="24" t="n"/>
      <c r="DHL2" s="24" t="n"/>
      <c r="DHM2" s="24" t="n"/>
      <c r="DHN2" s="24" t="n"/>
      <c r="DHO2" s="24" t="n"/>
      <c r="DHP2" s="24" t="n"/>
      <c r="DHQ2" s="24" t="n"/>
      <c r="DHR2" s="24" t="n"/>
      <c r="DHS2" s="24" t="n"/>
      <c r="DHT2" s="24" t="n"/>
      <c r="DHU2" s="24" t="n"/>
      <c r="DHV2" s="24" t="n"/>
      <c r="DHW2" s="24" t="n"/>
      <c r="DHX2" s="24" t="n"/>
      <c r="DHY2" s="24" t="n"/>
      <c r="DHZ2" s="24" t="n"/>
      <c r="DIA2" s="24" t="n"/>
      <c r="DIB2" s="24" t="n"/>
      <c r="DIC2" s="24" t="n"/>
      <c r="DID2" s="24" t="n"/>
      <c r="DIE2" s="24" t="n"/>
      <c r="DIF2" s="24" t="n"/>
      <c r="DIG2" s="24" t="n"/>
      <c r="DIH2" s="24" t="n"/>
      <c r="DII2" s="24" t="n"/>
      <c r="DIJ2" s="24" t="n"/>
      <c r="DIK2" s="24" t="n"/>
      <c r="DIL2" s="24" t="n"/>
      <c r="DIM2" s="24" t="n"/>
      <c r="DIN2" s="24" t="n"/>
      <c r="DIO2" s="24" t="n"/>
      <c r="DIP2" s="24" t="n"/>
      <c r="DIQ2" s="24" t="n"/>
      <c r="DIR2" s="24" t="n"/>
      <c r="DIS2" s="24" t="n"/>
      <c r="DIT2" s="24" t="n"/>
      <c r="DIU2" s="24" t="n"/>
      <c r="DIV2" s="24" t="n"/>
      <c r="DIW2" s="24" t="n"/>
      <c r="DIX2" s="24" t="n"/>
      <c r="DIY2" s="24" t="n"/>
      <c r="DIZ2" s="24" t="n"/>
      <c r="DJA2" s="24" t="n"/>
      <c r="DJB2" s="24" t="n"/>
      <c r="DJC2" s="24" t="n"/>
      <c r="DJD2" s="24" t="n"/>
      <c r="DJE2" s="24" t="n"/>
      <c r="DJF2" s="24" t="n"/>
      <c r="DJG2" s="24" t="n"/>
      <c r="DJH2" s="24" t="n"/>
      <c r="DJI2" s="24" t="n"/>
      <c r="DJJ2" s="24" t="n"/>
      <c r="DJK2" s="24" t="n"/>
      <c r="DJL2" s="24" t="n"/>
      <c r="DJM2" s="24" t="n"/>
      <c r="DJN2" s="24" t="n"/>
      <c r="DJO2" s="24" t="n"/>
      <c r="DJP2" s="24" t="n"/>
      <c r="DJQ2" s="24" t="n"/>
      <c r="DJR2" s="24" t="n"/>
      <c r="DJS2" s="24" t="n"/>
      <c r="DJT2" s="24" t="n"/>
      <c r="DJU2" s="24" t="n"/>
      <c r="DJV2" s="24" t="n"/>
      <c r="DJW2" s="24" t="n"/>
      <c r="DJX2" s="24" t="n"/>
      <c r="DJY2" s="24" t="n"/>
      <c r="DJZ2" s="24" t="n"/>
      <c r="DKA2" s="24" t="n"/>
      <c r="DKB2" s="24" t="n"/>
      <c r="DKC2" s="24" t="n"/>
      <c r="DKD2" s="24" t="n"/>
      <c r="DKE2" s="24" t="n"/>
      <c r="DKF2" s="24" t="n"/>
      <c r="DKG2" s="24" t="n"/>
      <c r="DKH2" s="24" t="n"/>
      <c r="DKI2" s="24" t="n"/>
      <c r="DKJ2" s="24" t="n"/>
      <c r="DKK2" s="24" t="n"/>
      <c r="DKL2" s="24" t="n"/>
      <c r="DKM2" s="24" t="n"/>
      <c r="DKN2" s="24" t="n"/>
      <c r="DKO2" s="24" t="n"/>
      <c r="DKP2" s="24" t="n"/>
      <c r="DKQ2" s="24" t="n"/>
      <c r="DKR2" s="24" t="n"/>
      <c r="DKS2" s="24" t="n"/>
      <c r="DKT2" s="24" t="n"/>
      <c r="DKU2" s="24" t="n"/>
      <c r="DKV2" s="24" t="n"/>
      <c r="DKW2" s="24" t="n"/>
      <c r="DKX2" s="24" t="n"/>
      <c r="DKY2" s="24" t="n"/>
      <c r="DKZ2" s="24" t="n"/>
      <c r="DLA2" s="24" t="n"/>
      <c r="DLB2" s="24" t="n"/>
      <c r="DLC2" s="24" t="n"/>
      <c r="DLD2" s="24" t="n"/>
      <c r="DLE2" s="24" t="n"/>
      <c r="DLF2" s="24" t="n"/>
      <c r="DLG2" s="24" t="n"/>
      <c r="DLH2" s="24" t="n"/>
      <c r="DLI2" s="24" t="n"/>
      <c r="DLJ2" s="24" t="n"/>
      <c r="DLK2" s="24" t="n"/>
      <c r="DLL2" s="24" t="n"/>
      <c r="DLM2" s="24" t="n"/>
      <c r="DLN2" s="24" t="n"/>
      <c r="DLO2" s="24" t="n"/>
      <c r="DLP2" s="24" t="n"/>
      <c r="DLQ2" s="24" t="n"/>
      <c r="DLR2" s="24" t="n"/>
      <c r="DLS2" s="24" t="n"/>
      <c r="DLT2" s="24" t="n"/>
      <c r="DLU2" s="24" t="n"/>
      <c r="DLV2" s="24" t="n"/>
      <c r="DLW2" s="24" t="n"/>
      <c r="DLX2" s="24" t="n"/>
      <c r="DLY2" s="24" t="n"/>
      <c r="DLZ2" s="24" t="n"/>
      <c r="DMA2" s="24" t="n"/>
      <c r="DMB2" s="24" t="n"/>
      <c r="DMC2" s="24" t="n"/>
      <c r="DMD2" s="24" t="n"/>
      <c r="DME2" s="24" t="n"/>
      <c r="DMF2" s="24" t="n"/>
      <c r="DMG2" s="24" t="n"/>
      <c r="DMH2" s="24" t="n"/>
      <c r="DMI2" s="24" t="n"/>
      <c r="DMJ2" s="24" t="n"/>
      <c r="DMK2" s="24" t="n"/>
      <c r="DML2" s="24" t="n"/>
      <c r="DMM2" s="24" t="n"/>
      <c r="DMN2" s="24" t="n"/>
      <c r="DMO2" s="24" t="n"/>
      <c r="DMP2" s="24" t="n"/>
      <c r="DMQ2" s="24" t="n"/>
      <c r="DMR2" s="24" t="n"/>
      <c r="DMS2" s="24" t="n"/>
      <c r="DMT2" s="24" t="n"/>
      <c r="DMU2" s="24" t="n"/>
      <c r="DMV2" s="24" t="n"/>
      <c r="DMW2" s="24" t="n"/>
      <c r="DMX2" s="24" t="n"/>
      <c r="DMY2" s="24" t="n"/>
      <c r="DMZ2" s="24" t="n"/>
      <c r="DNA2" s="24" t="n"/>
      <c r="DNB2" s="24" t="n"/>
      <c r="DNC2" s="24" t="n"/>
      <c r="DND2" s="24" t="n"/>
      <c r="DNE2" s="24" t="n"/>
      <c r="DNF2" s="24" t="n"/>
      <c r="DNG2" s="24" t="n"/>
      <c r="DNH2" s="24" t="n"/>
      <c r="DNI2" s="24" t="n"/>
      <c r="DNJ2" s="24" t="n"/>
      <c r="DNK2" s="24" t="n"/>
      <c r="DNL2" s="24" t="n"/>
      <c r="DNM2" s="24" t="n"/>
      <c r="DNN2" s="24" t="n"/>
      <c r="DNO2" s="24" t="n"/>
      <c r="DNP2" s="24" t="n"/>
      <c r="DNQ2" s="24" t="n"/>
      <c r="DNR2" s="24" t="n"/>
      <c r="DNS2" s="24" t="n"/>
      <c r="DNT2" s="24" t="n"/>
      <c r="DNU2" s="24" t="n"/>
      <c r="DNV2" s="24" t="n"/>
      <c r="DNW2" s="24" t="n"/>
      <c r="DNX2" s="24" t="n"/>
      <c r="DNY2" s="24" t="n"/>
      <c r="DNZ2" s="24" t="n"/>
      <c r="DOA2" s="24" t="n"/>
      <c r="DOB2" s="24" t="n"/>
      <c r="DOC2" s="24" t="n"/>
      <c r="DOD2" s="24" t="n"/>
      <c r="DOE2" s="24" t="n"/>
      <c r="DOF2" s="24" t="n"/>
      <c r="DOG2" s="24" t="n"/>
      <c r="DOH2" s="24" t="n"/>
      <c r="DOI2" s="24" t="n"/>
      <c r="DOJ2" s="24" t="n"/>
      <c r="DOK2" s="24" t="n"/>
      <c r="DOL2" s="24" t="n"/>
      <c r="DOM2" s="24" t="n"/>
      <c r="DON2" s="24" t="n"/>
      <c r="DOO2" s="24" t="n"/>
      <c r="DOP2" s="24" t="n"/>
      <c r="DOQ2" s="24" t="n"/>
      <c r="DOR2" s="24" t="n"/>
      <c r="DOS2" s="24" t="n"/>
      <c r="DOT2" s="24" t="n"/>
      <c r="DOU2" s="24" t="n"/>
      <c r="DOV2" s="24" t="n"/>
      <c r="DOW2" s="24" t="n"/>
      <c r="DOX2" s="24" t="n"/>
      <c r="DOY2" s="24" t="n"/>
      <c r="DOZ2" s="24" t="n"/>
      <c r="DPA2" s="24" t="n"/>
      <c r="DPB2" s="24" t="n"/>
      <c r="DPC2" s="24" t="n"/>
      <c r="DPD2" s="24" t="n"/>
      <c r="DPE2" s="24" t="n"/>
      <c r="DPF2" s="24" t="n"/>
      <c r="DPG2" s="24" t="n"/>
      <c r="DPH2" s="24" t="n"/>
      <c r="DPI2" s="24" t="n"/>
      <c r="DPJ2" s="24" t="n"/>
      <c r="DPK2" s="24" t="n"/>
      <c r="DPL2" s="24" t="n"/>
      <c r="DPM2" s="24" t="n"/>
      <c r="DPN2" s="24" t="n"/>
      <c r="DPO2" s="24" t="n"/>
      <c r="DPP2" s="24" t="n"/>
      <c r="DPQ2" s="24" t="n"/>
      <c r="DPR2" s="24" t="n"/>
      <c r="DPS2" s="24" t="n"/>
      <c r="DPT2" s="24" t="n"/>
      <c r="DPU2" s="24" t="n"/>
      <c r="DPV2" s="24" t="n"/>
      <c r="DPW2" s="24" t="n"/>
      <c r="DPX2" s="24" t="n"/>
      <c r="DPY2" s="24" t="n"/>
      <c r="DPZ2" s="24" t="n"/>
      <c r="DQA2" s="24" t="n"/>
      <c r="DQB2" s="24" t="n"/>
      <c r="DQC2" s="24" t="n"/>
      <c r="DQD2" s="24" t="n"/>
      <c r="DQE2" s="24" t="n"/>
      <c r="DQF2" s="24" t="n"/>
      <c r="DQG2" s="24" t="n"/>
      <c r="DQH2" s="24" t="n"/>
      <c r="DQI2" s="24" t="n"/>
      <c r="DQJ2" s="24" t="n"/>
      <c r="DQK2" s="24" t="n"/>
      <c r="DQL2" s="24" t="n"/>
      <c r="DQM2" s="24" t="n"/>
      <c r="DQN2" s="24" t="n"/>
      <c r="DQO2" s="24" t="n"/>
      <c r="DQP2" s="24" t="n"/>
      <c r="DQQ2" s="24" t="n"/>
      <c r="DQR2" s="24" t="n"/>
      <c r="DQS2" s="24" t="n"/>
      <c r="DQT2" s="24" t="n"/>
      <c r="DQU2" s="24" t="n"/>
      <c r="DQV2" s="24" t="n"/>
      <c r="DQW2" s="24" t="n"/>
      <c r="DQX2" s="24" t="n"/>
      <c r="DQY2" s="24" t="n"/>
      <c r="DQZ2" s="24" t="n"/>
      <c r="DRA2" s="24" t="n"/>
      <c r="DRB2" s="24" t="n"/>
      <c r="DRC2" s="24" t="n"/>
      <c r="DRD2" s="24" t="n"/>
      <c r="DRE2" s="24" t="n"/>
      <c r="DRF2" s="24" t="n"/>
      <c r="DRG2" s="24" t="n"/>
      <c r="DRH2" s="24" t="n"/>
      <c r="DRI2" s="24" t="n"/>
      <c r="DRJ2" s="24" t="n"/>
      <c r="DRK2" s="24" t="n"/>
      <c r="DRL2" s="24" t="n"/>
      <c r="DRM2" s="24" t="n"/>
      <c r="DRN2" s="24" t="n"/>
      <c r="DRO2" s="24" t="n"/>
      <c r="DRP2" s="24" t="n"/>
      <c r="DRQ2" s="24" t="n"/>
      <c r="DRR2" s="24" t="n"/>
      <c r="DRS2" s="24" t="n"/>
      <c r="DRT2" s="24" t="n"/>
      <c r="DRU2" s="24" t="n"/>
      <c r="DRV2" s="24" t="n"/>
      <c r="DRW2" s="24" t="n"/>
      <c r="DRX2" s="24" t="n"/>
      <c r="DRY2" s="24" t="n"/>
      <c r="DRZ2" s="24" t="n"/>
      <c r="DSA2" s="24" t="n"/>
      <c r="DSB2" s="24" t="n"/>
      <c r="DSC2" s="24" t="n"/>
      <c r="DSD2" s="24" t="n"/>
      <c r="DSE2" s="24" t="n"/>
      <c r="DSF2" s="24" t="n"/>
      <c r="DSG2" s="24" t="n"/>
      <c r="DSH2" s="24" t="n"/>
      <c r="DSI2" s="24" t="n"/>
      <c r="DSJ2" s="24" t="n"/>
      <c r="DSK2" s="24" t="n"/>
      <c r="DSL2" s="24" t="n"/>
      <c r="DSM2" s="24" t="n"/>
      <c r="DSN2" s="24" t="n"/>
      <c r="DSO2" s="24" t="n"/>
      <c r="DSP2" s="24" t="n"/>
      <c r="DSQ2" s="24" t="n"/>
      <c r="DSR2" s="24" t="n"/>
      <c r="DSS2" s="24" t="n"/>
      <c r="DST2" s="24" t="n"/>
      <c r="DSU2" s="24" t="n"/>
      <c r="DSV2" s="24" t="n"/>
      <c r="DSW2" s="24" t="n"/>
      <c r="DSX2" s="24" t="n"/>
      <c r="DSY2" s="24" t="n"/>
      <c r="DSZ2" s="24" t="n"/>
      <c r="DTA2" s="24" t="n"/>
      <c r="DTB2" s="24" t="n"/>
      <c r="DTC2" s="24" t="n"/>
      <c r="DTD2" s="24" t="n"/>
      <c r="DTE2" s="24" t="n"/>
      <c r="DTF2" s="24" t="n"/>
      <c r="DTG2" s="24" t="n"/>
      <c r="DTH2" s="24" t="n"/>
      <c r="DTI2" s="24" t="n"/>
      <c r="DTJ2" s="24" t="n"/>
      <c r="DTK2" s="24" t="n"/>
      <c r="DTL2" s="24" t="n"/>
      <c r="DTM2" s="24" t="n"/>
      <c r="DTN2" s="24" t="n"/>
      <c r="DTO2" s="24" t="n"/>
      <c r="DTP2" s="24" t="n"/>
      <c r="DTQ2" s="24" t="n"/>
      <c r="DTR2" s="24" t="n"/>
      <c r="DTS2" s="24" t="n"/>
      <c r="DTT2" s="24" t="n"/>
      <c r="DTU2" s="24" t="n"/>
      <c r="DTV2" s="24" t="n"/>
      <c r="DTW2" s="24" t="n"/>
      <c r="DTX2" s="24" t="n"/>
      <c r="DTY2" s="24" t="n"/>
      <c r="DTZ2" s="24" t="n"/>
      <c r="DUA2" s="24" t="n"/>
      <c r="DUB2" s="24" t="n"/>
      <c r="DUC2" s="24" t="n"/>
      <c r="DUD2" s="24" t="n"/>
      <c r="DUE2" s="24" t="n"/>
      <c r="DUF2" s="24" t="n"/>
      <c r="DUG2" s="24" t="n"/>
      <c r="DUH2" s="24" t="n"/>
      <c r="DUI2" s="24" t="n"/>
      <c r="DUJ2" s="24" t="n"/>
      <c r="DUK2" s="24" t="n"/>
      <c r="DUL2" s="24" t="n"/>
      <c r="DUM2" s="24" t="n"/>
      <c r="DUN2" s="24" t="n"/>
      <c r="DUO2" s="24" t="n"/>
      <c r="DUP2" s="24" t="n"/>
      <c r="DUQ2" s="24" t="n"/>
      <c r="DUR2" s="24" t="n"/>
      <c r="DUS2" s="24" t="n"/>
      <c r="DUT2" s="24" t="n"/>
      <c r="DUU2" s="24" t="n"/>
      <c r="DUV2" s="24" t="n"/>
      <c r="DUW2" s="24" t="n"/>
      <c r="DUX2" s="24" t="n"/>
      <c r="DUY2" s="24" t="n"/>
      <c r="DUZ2" s="24" t="n"/>
      <c r="DVA2" s="24" t="n"/>
      <c r="DVB2" s="24" t="n"/>
      <c r="DVC2" s="24" t="n"/>
      <c r="DVD2" s="24" t="n"/>
      <c r="DVE2" s="24" t="n"/>
      <c r="DVF2" s="24" t="n"/>
      <c r="DVG2" s="24" t="n"/>
      <c r="DVH2" s="24" t="n"/>
      <c r="DVI2" s="24" t="n"/>
      <c r="DVJ2" s="24" t="n"/>
      <c r="DVK2" s="24" t="n"/>
      <c r="DVL2" s="24" t="n"/>
      <c r="DVM2" s="24" t="n"/>
      <c r="DVN2" s="24" t="n"/>
      <c r="DVO2" s="24" t="n"/>
      <c r="DVP2" s="24" t="n"/>
      <c r="DVQ2" s="24" t="n"/>
      <c r="DVR2" s="24" t="n"/>
      <c r="DVS2" s="24" t="n"/>
      <c r="DVT2" s="24" t="n"/>
      <c r="DVU2" s="24" t="n"/>
      <c r="DVV2" s="24" t="n"/>
      <c r="DVW2" s="24" t="n"/>
      <c r="DVX2" s="24" t="n"/>
      <c r="DVY2" s="24" t="n"/>
      <c r="DVZ2" s="24" t="n"/>
      <c r="DWA2" s="24" t="n"/>
      <c r="DWB2" s="24" t="n"/>
      <c r="DWC2" s="24" t="n"/>
      <c r="DWD2" s="24" t="n"/>
      <c r="DWE2" s="24" t="n"/>
      <c r="DWF2" s="24" t="n"/>
      <c r="DWG2" s="24" t="n"/>
      <c r="DWH2" s="24" t="n"/>
      <c r="DWI2" s="24" t="n"/>
      <c r="DWJ2" s="24" t="n"/>
      <c r="DWK2" s="24" t="n"/>
      <c r="DWL2" s="24" t="n"/>
      <c r="DWM2" s="24" t="n"/>
      <c r="DWN2" s="24" t="n"/>
      <c r="DWO2" s="24" t="n"/>
      <c r="DWP2" s="24" t="n"/>
      <c r="DWQ2" s="24" t="n"/>
      <c r="DWR2" s="24" t="n"/>
      <c r="DWS2" s="24" t="n"/>
      <c r="DWT2" s="24" t="n"/>
      <c r="DWU2" s="24" t="n"/>
      <c r="DWV2" s="24" t="n"/>
      <c r="DWW2" s="24" t="n"/>
      <c r="DWX2" s="24" t="n"/>
      <c r="DWY2" s="24" t="n"/>
      <c r="DWZ2" s="24" t="n"/>
      <c r="DXA2" s="24" t="n"/>
      <c r="DXB2" s="24" t="n"/>
      <c r="DXC2" s="24" t="n"/>
      <c r="DXD2" s="24" t="n"/>
      <c r="DXE2" s="24" t="n"/>
      <c r="DXF2" s="24" t="n"/>
      <c r="DXG2" s="24" t="n"/>
      <c r="DXH2" s="24" t="n"/>
      <c r="DXI2" s="24" t="n"/>
      <c r="DXJ2" s="24" t="n"/>
      <c r="DXK2" s="24" t="n"/>
      <c r="DXL2" s="24" t="n"/>
      <c r="DXM2" s="24" t="n"/>
      <c r="DXN2" s="24" t="n"/>
      <c r="DXO2" s="24" t="n"/>
      <c r="DXP2" s="24" t="n"/>
      <c r="DXQ2" s="24" t="n"/>
      <c r="DXR2" s="24" t="n"/>
      <c r="DXS2" s="24" t="n"/>
      <c r="DXT2" s="24" t="n"/>
      <c r="DXU2" s="24" t="n"/>
      <c r="DXV2" s="24" t="n"/>
      <c r="DXW2" s="24" t="n"/>
      <c r="DXX2" s="24" t="n"/>
      <c r="DXY2" s="24" t="n"/>
      <c r="DXZ2" s="24" t="n"/>
      <c r="DYA2" s="24" t="n"/>
      <c r="DYB2" s="24" t="n"/>
      <c r="DYC2" s="24" t="n"/>
      <c r="DYD2" s="24" t="n"/>
      <c r="DYE2" s="24" t="n"/>
      <c r="DYF2" s="24" t="n"/>
      <c r="DYG2" s="24" t="n"/>
      <c r="DYH2" s="24" t="n"/>
      <c r="DYI2" s="24" t="n"/>
      <c r="DYJ2" s="24" t="n"/>
      <c r="DYK2" s="24" t="n"/>
      <c r="DYL2" s="24" t="n"/>
      <c r="DYM2" s="24" t="n"/>
      <c r="DYN2" s="24" t="n"/>
      <c r="DYO2" s="24" t="n"/>
      <c r="DYP2" s="24" t="n"/>
      <c r="DYQ2" s="24" t="n"/>
      <c r="DYR2" s="24" t="n"/>
      <c r="DYS2" s="24" t="n"/>
      <c r="DYT2" s="24" t="n"/>
      <c r="DYU2" s="24" t="n"/>
      <c r="DYV2" s="24" t="n"/>
      <c r="DYW2" s="24" t="n"/>
      <c r="DYX2" s="24" t="n"/>
      <c r="DYY2" s="24" t="n"/>
      <c r="DYZ2" s="24" t="n"/>
      <c r="DZA2" s="24" t="n"/>
      <c r="DZB2" s="24" t="n"/>
      <c r="DZC2" s="24" t="n"/>
      <c r="DZD2" s="24" t="n"/>
      <c r="DZE2" s="24" t="n"/>
      <c r="DZF2" s="24" t="n"/>
      <c r="DZG2" s="24" t="n"/>
      <c r="DZH2" s="24" t="n"/>
      <c r="DZI2" s="24" t="n"/>
      <c r="DZJ2" s="24" t="n"/>
      <c r="DZK2" s="24" t="n"/>
      <c r="DZL2" s="24" t="n"/>
      <c r="DZM2" s="24" t="n"/>
      <c r="DZN2" s="24" t="n"/>
      <c r="DZO2" s="24" t="n"/>
      <c r="DZP2" s="24" t="n"/>
      <c r="DZQ2" s="24" t="n"/>
      <c r="DZR2" s="24" t="n"/>
      <c r="DZS2" s="24" t="n"/>
      <c r="DZT2" s="24" t="n"/>
      <c r="DZU2" s="24" t="n"/>
      <c r="DZV2" s="24" t="n"/>
      <c r="DZW2" s="24" t="n"/>
      <c r="DZX2" s="24" t="n"/>
      <c r="DZY2" s="24" t="n"/>
      <c r="DZZ2" s="24" t="n"/>
      <c r="EAA2" s="24" t="n"/>
      <c r="EAB2" s="24" t="n"/>
      <c r="EAC2" s="24" t="n"/>
      <c r="EAD2" s="24" t="n"/>
      <c r="EAE2" s="24" t="n"/>
      <c r="EAF2" s="24" t="n"/>
      <c r="EAG2" s="24" t="n"/>
      <c r="EAH2" s="24" t="n"/>
      <c r="EAI2" s="24" t="n"/>
      <c r="EAJ2" s="24" t="n"/>
      <c r="EAK2" s="24" t="n"/>
      <c r="EAL2" s="24" t="n"/>
      <c r="EAM2" s="24" t="n"/>
      <c r="EAN2" s="24" t="n"/>
      <c r="EAO2" s="24" t="n"/>
      <c r="EAP2" s="24" t="n"/>
      <c r="EAQ2" s="24" t="n"/>
      <c r="EAR2" s="24" t="n"/>
      <c r="EAS2" s="24" t="n"/>
      <c r="EAT2" s="24" t="n"/>
      <c r="EAU2" s="24" t="n"/>
      <c r="EAV2" s="24" t="n"/>
      <c r="EAW2" s="24" t="n"/>
      <c r="EAX2" s="24" t="n"/>
      <c r="EAY2" s="24" t="n"/>
      <c r="EAZ2" s="24" t="n"/>
      <c r="EBA2" s="24" t="n"/>
      <c r="EBB2" s="24" t="n"/>
      <c r="EBC2" s="24" t="n"/>
      <c r="EBD2" s="24" t="n"/>
      <c r="EBE2" s="24" t="n"/>
      <c r="EBF2" s="24" t="n"/>
      <c r="EBG2" s="24" t="n"/>
      <c r="EBH2" s="24" t="n"/>
      <c r="EBI2" s="24" t="n"/>
      <c r="EBJ2" s="24" t="n"/>
      <c r="EBK2" s="24" t="n"/>
      <c r="EBL2" s="24" t="n"/>
      <c r="EBM2" s="24" t="n"/>
      <c r="EBN2" s="24" t="n"/>
      <c r="EBO2" s="24" t="n"/>
      <c r="EBP2" s="24" t="n"/>
      <c r="EBQ2" s="24" t="n"/>
      <c r="EBR2" s="24" t="n"/>
      <c r="EBS2" s="24" t="n"/>
      <c r="EBT2" s="24" t="n"/>
      <c r="EBU2" s="24" t="n"/>
      <c r="EBV2" s="24" t="n"/>
      <c r="EBW2" s="24" t="n"/>
      <c r="EBX2" s="24" t="n"/>
      <c r="EBY2" s="24" t="n"/>
      <c r="EBZ2" s="24" t="n"/>
      <c r="ECA2" s="24" t="n"/>
      <c r="ECB2" s="24" t="n"/>
      <c r="ECC2" s="24" t="n"/>
      <c r="ECD2" s="24" t="n"/>
      <c r="ECE2" s="24" t="n"/>
      <c r="ECF2" s="24" t="n"/>
      <c r="ECG2" s="24" t="n"/>
      <c r="ECH2" s="24" t="n"/>
      <c r="ECI2" s="24" t="n"/>
      <c r="ECJ2" s="24" t="n"/>
      <c r="ECK2" s="24" t="n"/>
      <c r="ECL2" s="24" t="n"/>
      <c r="ECM2" s="24" t="n"/>
      <c r="ECN2" s="24" t="n"/>
      <c r="ECO2" s="24" t="n"/>
      <c r="ECP2" s="24" t="n"/>
      <c r="ECQ2" s="24" t="n"/>
      <c r="ECR2" s="24" t="n"/>
      <c r="ECS2" s="24" t="n"/>
      <c r="ECT2" s="24" t="n"/>
      <c r="ECU2" s="24" t="n"/>
      <c r="ECV2" s="24" t="n"/>
      <c r="ECW2" s="24" t="n"/>
      <c r="ECX2" s="24" t="n"/>
      <c r="ECY2" s="24" t="n"/>
      <c r="ECZ2" s="24" t="n"/>
      <c r="EDA2" s="24" t="n"/>
      <c r="EDB2" s="24" t="n"/>
      <c r="EDC2" s="24" t="n"/>
      <c r="EDD2" s="24" t="n"/>
      <c r="EDE2" s="24" t="n"/>
      <c r="EDF2" s="24" t="n"/>
      <c r="EDG2" s="24" t="n"/>
      <c r="EDH2" s="24" t="n"/>
      <c r="EDI2" s="24" t="n"/>
      <c r="EDJ2" s="24" t="n"/>
      <c r="EDK2" s="24" t="n"/>
      <c r="EDL2" s="24" t="n"/>
      <c r="EDM2" s="24" t="n"/>
      <c r="EDN2" s="24" t="n"/>
      <c r="EDO2" s="24" t="n"/>
      <c r="EDP2" s="24" t="n"/>
      <c r="EDQ2" s="24" t="n"/>
      <c r="EDR2" s="24" t="n"/>
      <c r="EDS2" s="24" t="n"/>
      <c r="EDT2" s="24" t="n"/>
      <c r="EDU2" s="24" t="n"/>
      <c r="EDV2" s="24" t="n"/>
      <c r="EDW2" s="24" t="n"/>
      <c r="EDX2" s="24" t="n"/>
      <c r="EDY2" s="24" t="n"/>
      <c r="EDZ2" s="24" t="n"/>
      <c r="EEA2" s="24" t="n"/>
      <c r="EEB2" s="24" t="n"/>
      <c r="EEC2" s="24" t="n"/>
      <c r="EED2" s="24" t="n"/>
      <c r="EEE2" s="24" t="n"/>
      <c r="EEF2" s="24" t="n"/>
      <c r="EEG2" s="24" t="n"/>
      <c r="EEH2" s="24" t="n"/>
      <c r="EEI2" s="24" t="n"/>
      <c r="EEJ2" s="24" t="n"/>
      <c r="EEK2" s="24" t="n"/>
      <c r="EEL2" s="24" t="n"/>
      <c r="EEM2" s="24" t="n"/>
      <c r="EEN2" s="24" t="n"/>
      <c r="EEO2" s="24" t="n"/>
      <c r="EEP2" s="24" t="n"/>
      <c r="EEQ2" s="24" t="n"/>
      <c r="EER2" s="24" t="n"/>
      <c r="EES2" s="24" t="n"/>
      <c r="EET2" s="24" t="n"/>
      <c r="EEU2" s="24" t="n"/>
      <c r="EEV2" s="24" t="n"/>
      <c r="EEW2" s="24" t="n"/>
      <c r="EEX2" s="24" t="n"/>
      <c r="EEY2" s="24" t="n"/>
      <c r="EEZ2" s="24" t="n"/>
      <c r="EFA2" s="24" t="n"/>
      <c r="EFB2" s="24" t="n"/>
      <c r="EFC2" s="24" t="n"/>
      <c r="EFD2" s="24" t="n"/>
      <c r="EFE2" s="24" t="n"/>
      <c r="EFF2" s="24" t="n"/>
      <c r="EFG2" s="24" t="n"/>
      <c r="EFH2" s="24" t="n"/>
      <c r="EFI2" s="24" t="n"/>
      <c r="EFJ2" s="24" t="n"/>
      <c r="EFK2" s="24" t="n"/>
      <c r="EFL2" s="24" t="n"/>
      <c r="EFM2" s="24" t="n"/>
      <c r="EFN2" s="24" t="n"/>
      <c r="EFO2" s="24" t="n"/>
      <c r="EFP2" s="24" t="n"/>
      <c r="EFQ2" s="24" t="n"/>
      <c r="EFR2" s="24" t="n"/>
      <c r="EFS2" s="24" t="n"/>
      <c r="EFT2" s="24" t="n"/>
      <c r="EFU2" s="24" t="n"/>
      <c r="EFV2" s="24" t="n"/>
      <c r="EFW2" s="24" t="n"/>
      <c r="EFX2" s="24" t="n"/>
      <c r="EFY2" s="24" t="n"/>
      <c r="EFZ2" s="24" t="n"/>
      <c r="EGA2" s="24" t="n"/>
      <c r="EGB2" s="24" t="n"/>
      <c r="EGC2" s="24" t="n"/>
      <c r="EGD2" s="24" t="n"/>
      <c r="EGE2" s="24" t="n"/>
      <c r="EGF2" s="24" t="n"/>
      <c r="EGG2" s="24" t="n"/>
      <c r="EGH2" s="24" t="n"/>
      <c r="EGI2" s="24" t="n"/>
      <c r="EGJ2" s="24" t="n"/>
      <c r="EGK2" s="24" t="n"/>
      <c r="EGL2" s="24" t="n"/>
      <c r="EGM2" s="24" t="n"/>
      <c r="EGN2" s="24" t="n"/>
      <c r="EGO2" s="24" t="n"/>
      <c r="EGP2" s="24" t="n"/>
      <c r="EGQ2" s="24" t="n"/>
      <c r="EGR2" s="24" t="n"/>
      <c r="EGS2" s="24" t="n"/>
      <c r="EGT2" s="24" t="n"/>
      <c r="EGU2" s="24" t="n"/>
      <c r="EGV2" s="24" t="n"/>
      <c r="EGW2" s="24" t="n"/>
      <c r="EGX2" s="24" t="n"/>
      <c r="EGY2" s="24" t="n"/>
      <c r="EGZ2" s="24" t="n"/>
      <c r="EHA2" s="24" t="n"/>
      <c r="EHB2" s="24" t="n"/>
      <c r="EHC2" s="24" t="n"/>
      <c r="EHD2" s="24" t="n"/>
      <c r="EHE2" s="24" t="n"/>
      <c r="EHF2" s="24" t="n"/>
      <c r="EHG2" s="24" t="n"/>
      <c r="EHH2" s="24" t="n"/>
      <c r="EHI2" s="24" t="n"/>
      <c r="EHJ2" s="24" t="n"/>
      <c r="EHK2" s="24" t="n"/>
      <c r="EHL2" s="24" t="n"/>
      <c r="EHM2" s="24" t="n"/>
      <c r="EHN2" s="24" t="n"/>
      <c r="EHO2" s="24" t="n"/>
      <c r="EHP2" s="24" t="n"/>
      <c r="EHQ2" s="24" t="n"/>
      <c r="EHR2" s="24" t="n"/>
      <c r="EHS2" s="24" t="n"/>
      <c r="EHT2" s="24" t="n"/>
      <c r="EHU2" s="24" t="n"/>
      <c r="EHV2" s="24" t="n"/>
      <c r="EHW2" s="24" t="n"/>
      <c r="EHX2" s="24" t="n"/>
      <c r="EHY2" s="24" t="n"/>
      <c r="EHZ2" s="24" t="n"/>
      <c r="EIA2" s="24" t="n"/>
      <c r="EIB2" s="24" t="n"/>
      <c r="EIC2" s="24" t="n"/>
      <c r="EID2" s="24" t="n"/>
      <c r="EIE2" s="24" t="n"/>
      <c r="EIF2" s="24" t="n"/>
      <c r="EIG2" s="24" t="n"/>
      <c r="EIH2" s="24" t="n"/>
      <c r="EII2" s="24" t="n"/>
      <c r="EIJ2" s="24" t="n"/>
      <c r="EIK2" s="24" t="n"/>
      <c r="EIL2" s="24" t="n"/>
      <c r="EIM2" s="24" t="n"/>
      <c r="EIN2" s="24" t="n"/>
      <c r="EIO2" s="24" t="n"/>
      <c r="EIP2" s="24" t="n"/>
      <c r="EIQ2" s="24" t="n"/>
      <c r="EIR2" s="24" t="n"/>
      <c r="EIS2" s="24" t="n"/>
      <c r="EIT2" s="24" t="n"/>
      <c r="EIU2" s="24" t="n"/>
      <c r="EIV2" s="24" t="n"/>
      <c r="EIW2" s="24" t="n"/>
      <c r="EIX2" s="24" t="n"/>
      <c r="EIY2" s="24" t="n"/>
      <c r="EIZ2" s="24" t="n"/>
      <c r="EJA2" s="24" t="n"/>
      <c r="EJB2" s="24" t="n"/>
      <c r="EJC2" s="24" t="n"/>
      <c r="EJD2" s="24" t="n"/>
      <c r="EJE2" s="24" t="n"/>
      <c r="EJF2" s="24" t="n"/>
      <c r="EJG2" s="24" t="n"/>
      <c r="EJH2" s="24" t="n"/>
      <c r="EJI2" s="24" t="n"/>
      <c r="EJJ2" s="24" t="n"/>
      <c r="EJK2" s="24" t="n"/>
      <c r="EJL2" s="24" t="n"/>
      <c r="EJM2" s="24" t="n"/>
      <c r="EJN2" s="24" t="n"/>
      <c r="EJO2" s="24" t="n"/>
      <c r="EJP2" s="24" t="n"/>
      <c r="EJQ2" s="24" t="n"/>
      <c r="EJR2" s="24" t="n"/>
      <c r="EJS2" s="24" t="n"/>
      <c r="EJT2" s="24" t="n"/>
      <c r="EJU2" s="24" t="n"/>
      <c r="EJV2" s="24" t="n"/>
      <c r="EJW2" s="24" t="n"/>
      <c r="EJX2" s="24" t="n"/>
      <c r="EJY2" s="24" t="n"/>
      <c r="EJZ2" s="24" t="n"/>
      <c r="EKA2" s="24" t="n"/>
      <c r="EKB2" s="24" t="n"/>
      <c r="EKC2" s="24" t="n"/>
      <c r="EKD2" s="24" t="n"/>
      <c r="EKE2" s="24" t="n"/>
      <c r="EKF2" s="24" t="n"/>
      <c r="EKG2" s="24" t="n"/>
      <c r="EKH2" s="24" t="n"/>
      <c r="EKI2" s="24" t="n"/>
      <c r="EKJ2" s="24" t="n"/>
      <c r="EKK2" s="24" t="n"/>
      <c r="EKL2" s="24" t="n"/>
      <c r="EKM2" s="24" t="n"/>
      <c r="EKN2" s="24" t="n"/>
      <c r="EKO2" s="24" t="n"/>
      <c r="EKP2" s="24" t="n"/>
      <c r="EKQ2" s="24" t="n"/>
      <c r="EKR2" s="24" t="n"/>
      <c r="EKS2" s="24" t="n"/>
      <c r="EKT2" s="24" t="n"/>
      <c r="EKU2" s="24" t="n"/>
      <c r="EKV2" s="24" t="n"/>
      <c r="EKW2" s="24" t="n"/>
      <c r="EKX2" s="24" t="n"/>
      <c r="EKY2" s="24" t="n"/>
      <c r="EKZ2" s="24" t="n"/>
      <c r="ELA2" s="24" t="n"/>
      <c r="ELB2" s="24" t="n"/>
      <c r="ELC2" s="24" t="n"/>
      <c r="ELD2" s="24" t="n"/>
      <c r="ELE2" s="24" t="n"/>
      <c r="ELF2" s="24" t="n"/>
      <c r="ELG2" s="24" t="n"/>
      <c r="ELH2" s="24" t="n"/>
      <c r="ELI2" s="24" t="n"/>
      <c r="ELJ2" s="24" t="n"/>
      <c r="ELK2" s="24" t="n"/>
      <c r="ELL2" s="24" t="n"/>
      <c r="ELM2" s="24" t="n"/>
      <c r="ELN2" s="24" t="n"/>
      <c r="ELO2" s="24" t="n"/>
      <c r="ELP2" s="24" t="n"/>
      <c r="ELQ2" s="24" t="n"/>
      <c r="ELR2" s="24" t="n"/>
      <c r="ELS2" s="24" t="n"/>
      <c r="ELT2" s="24" t="n"/>
      <c r="ELU2" s="24" t="n"/>
      <c r="ELV2" s="24" t="n"/>
      <c r="ELW2" s="24" t="n"/>
      <c r="ELX2" s="24" t="n"/>
      <c r="ELY2" s="24" t="n"/>
      <c r="ELZ2" s="24" t="n"/>
      <c r="EMA2" s="24" t="n"/>
      <c r="EMB2" s="24" t="n"/>
      <c r="EMC2" s="24" t="n"/>
      <c r="EMD2" s="24" t="n"/>
      <c r="EME2" s="24" t="n"/>
      <c r="EMF2" s="24" t="n"/>
      <c r="EMG2" s="24" t="n"/>
      <c r="EMH2" s="24" t="n"/>
      <c r="EMI2" s="24" t="n"/>
      <c r="EMJ2" s="24" t="n"/>
      <c r="EMK2" s="24" t="n"/>
      <c r="EML2" s="24" t="n"/>
      <c r="EMM2" s="24" t="n"/>
      <c r="EMN2" s="24" t="n"/>
      <c r="EMO2" s="24" t="n"/>
      <c r="EMP2" s="24" t="n"/>
      <c r="EMQ2" s="24" t="n"/>
      <c r="EMR2" s="24" t="n"/>
      <c r="EMS2" s="24" t="n"/>
      <c r="EMT2" s="24" t="n"/>
      <c r="EMU2" s="24" t="n"/>
      <c r="EMV2" s="24" t="n"/>
      <c r="EMW2" s="24" t="n"/>
      <c r="EMX2" s="24" t="n"/>
      <c r="EMY2" s="24" t="n"/>
      <c r="EMZ2" s="24" t="n"/>
      <c r="ENA2" s="24" t="n"/>
      <c r="ENB2" s="24" t="n"/>
      <c r="ENC2" s="24" t="n"/>
      <c r="END2" s="24" t="n"/>
      <c r="ENE2" s="24" t="n"/>
      <c r="ENF2" s="24" t="n"/>
      <c r="ENG2" s="24" t="n"/>
      <c r="ENH2" s="24" t="n"/>
      <c r="ENI2" s="24" t="n"/>
      <c r="ENJ2" s="24" t="n"/>
      <c r="ENK2" s="24" t="n"/>
      <c r="ENL2" s="24" t="n"/>
      <c r="ENM2" s="24" t="n"/>
      <c r="ENN2" s="24" t="n"/>
      <c r="ENO2" s="24" t="n"/>
      <c r="ENP2" s="24" t="n"/>
      <c r="ENQ2" s="24" t="n"/>
      <c r="ENR2" s="24" t="n"/>
      <c r="ENS2" s="24" t="n"/>
      <c r="ENT2" s="24" t="n"/>
      <c r="ENU2" s="24" t="n"/>
      <c r="ENV2" s="24" t="n"/>
      <c r="ENW2" s="24" t="n"/>
      <c r="ENX2" s="24" t="n"/>
      <c r="ENY2" s="24" t="n"/>
      <c r="ENZ2" s="24" t="n"/>
      <c r="EOA2" s="24" t="n"/>
      <c r="EOB2" s="24" t="n"/>
      <c r="EOC2" s="24" t="n"/>
      <c r="EOD2" s="24" t="n"/>
      <c r="EOE2" s="24" t="n"/>
      <c r="EOF2" s="24" t="n"/>
      <c r="EOG2" s="24" t="n"/>
      <c r="EOH2" s="24" t="n"/>
      <c r="EOI2" s="24" t="n"/>
      <c r="EOJ2" s="24" t="n"/>
      <c r="EOK2" s="24" t="n"/>
      <c r="EOL2" s="24" t="n"/>
      <c r="EOM2" s="24" t="n"/>
      <c r="EON2" s="24" t="n"/>
      <c r="EOO2" s="24" t="n"/>
      <c r="EOP2" s="24" t="n"/>
      <c r="EOQ2" s="24" t="n"/>
      <c r="EOR2" s="24" t="n"/>
      <c r="EOS2" s="24" t="n"/>
      <c r="EOT2" s="24" t="n"/>
      <c r="EOU2" s="24" t="n"/>
      <c r="EOV2" s="24" t="n"/>
      <c r="EOW2" s="24" t="n"/>
      <c r="EOX2" s="24" t="n"/>
      <c r="EOY2" s="24" t="n"/>
      <c r="EOZ2" s="24" t="n"/>
      <c r="EPA2" s="24" t="n"/>
      <c r="EPB2" s="24" t="n"/>
      <c r="EPC2" s="24" t="n"/>
      <c r="EPD2" s="24" t="n"/>
      <c r="EPE2" s="24" t="n"/>
      <c r="EPF2" s="24" t="n"/>
      <c r="EPG2" s="24" t="n"/>
      <c r="EPH2" s="24" t="n"/>
      <c r="EPI2" s="24" t="n"/>
      <c r="EPJ2" s="24" t="n"/>
      <c r="EPK2" s="24" t="n"/>
      <c r="EPL2" s="24" t="n"/>
      <c r="EPM2" s="24" t="n"/>
      <c r="EPN2" s="24" t="n"/>
      <c r="EPO2" s="24" t="n"/>
      <c r="EPP2" s="24" t="n"/>
      <c r="EPQ2" s="24" t="n"/>
      <c r="EPR2" s="24" t="n"/>
      <c r="EPS2" s="24" t="n"/>
      <c r="EPT2" s="24" t="n"/>
      <c r="EPU2" s="24" t="n"/>
      <c r="EPV2" s="24" t="n"/>
      <c r="EPW2" s="24" t="n"/>
      <c r="EPX2" s="24" t="n"/>
      <c r="EPY2" s="24" t="n"/>
      <c r="EPZ2" s="24" t="n"/>
      <c r="EQA2" s="24" t="n"/>
      <c r="EQB2" s="24" t="n"/>
      <c r="EQC2" s="24" t="n"/>
      <c r="EQD2" s="24" t="n"/>
      <c r="EQE2" s="24" t="n"/>
      <c r="EQF2" s="24" t="n"/>
      <c r="EQG2" s="24" t="n"/>
      <c r="EQH2" s="24" t="n"/>
      <c r="EQI2" s="24" t="n"/>
      <c r="EQJ2" s="24" t="n"/>
      <c r="EQK2" s="24" t="n"/>
      <c r="EQL2" s="24" t="n"/>
      <c r="EQM2" s="24" t="n"/>
      <c r="EQN2" s="24" t="n"/>
      <c r="EQO2" s="24" t="n"/>
      <c r="EQP2" s="24" t="n"/>
      <c r="EQQ2" s="24" t="n"/>
      <c r="EQR2" s="24" t="n"/>
      <c r="EQS2" s="24" t="n"/>
      <c r="EQT2" s="24" t="n"/>
      <c r="EQU2" s="24" t="n"/>
      <c r="EQV2" s="24" t="n"/>
      <c r="EQW2" s="24" t="n"/>
      <c r="EQX2" s="24" t="n"/>
      <c r="EQY2" s="24" t="n"/>
      <c r="EQZ2" s="24" t="n"/>
      <c r="ERA2" s="24" t="n"/>
      <c r="ERB2" s="24" t="n"/>
      <c r="ERC2" s="24" t="n"/>
      <c r="ERD2" s="24" t="n"/>
      <c r="ERE2" s="24" t="n"/>
      <c r="ERF2" s="24" t="n"/>
      <c r="ERG2" s="24" t="n"/>
      <c r="ERH2" s="24" t="n"/>
      <c r="ERI2" s="24" t="n"/>
      <c r="ERJ2" s="24" t="n"/>
      <c r="ERK2" s="24" t="n"/>
      <c r="ERL2" s="24" t="n"/>
      <c r="ERM2" s="24" t="n"/>
      <c r="ERN2" s="24" t="n"/>
      <c r="ERO2" s="24" t="n"/>
      <c r="ERP2" s="24" t="n"/>
      <c r="ERQ2" s="24" t="n"/>
      <c r="ERR2" s="24" t="n"/>
      <c r="ERS2" s="24" t="n"/>
      <c r="ERT2" s="24" t="n"/>
      <c r="ERU2" s="24" t="n"/>
      <c r="ERV2" s="24" t="n"/>
      <c r="ERW2" s="24" t="n"/>
      <c r="ERX2" s="24" t="n"/>
      <c r="ERY2" s="24" t="n"/>
      <c r="ERZ2" s="24" t="n"/>
      <c r="ESA2" s="24" t="n"/>
      <c r="ESB2" s="24" t="n"/>
      <c r="ESC2" s="24" t="n"/>
      <c r="ESD2" s="24" t="n"/>
      <c r="ESE2" s="24" t="n"/>
      <c r="ESF2" s="24" t="n"/>
      <c r="ESG2" s="24" t="n"/>
      <c r="ESH2" s="24" t="n"/>
      <c r="ESI2" s="24" t="n"/>
      <c r="ESJ2" s="24" t="n"/>
      <c r="ESK2" s="24" t="n"/>
      <c r="ESL2" s="24" t="n"/>
      <c r="ESM2" s="24" t="n"/>
      <c r="ESN2" s="24" t="n"/>
      <c r="ESO2" s="24" t="n"/>
      <c r="ESP2" s="24" t="n"/>
      <c r="ESQ2" s="24" t="n"/>
      <c r="ESR2" s="24" t="n"/>
      <c r="ESS2" s="24" t="n"/>
      <c r="EST2" s="24" t="n"/>
      <c r="ESU2" s="24" t="n"/>
      <c r="ESV2" s="24" t="n"/>
      <c r="ESW2" s="24" t="n"/>
      <c r="ESX2" s="24" t="n"/>
      <c r="ESY2" s="24" t="n"/>
      <c r="ESZ2" s="24" t="n"/>
      <c r="ETA2" s="24" t="n"/>
      <c r="ETB2" s="24" t="n"/>
      <c r="ETC2" s="24" t="n"/>
      <c r="ETD2" s="24" t="n"/>
      <c r="ETE2" s="24" t="n"/>
      <c r="ETF2" s="24" t="n"/>
      <c r="ETG2" s="24" t="n"/>
      <c r="ETH2" s="24" t="n"/>
      <c r="ETI2" s="24" t="n"/>
      <c r="ETJ2" s="24" t="n"/>
      <c r="ETK2" s="24" t="n"/>
      <c r="ETL2" s="24" t="n"/>
      <c r="ETM2" s="24" t="n"/>
      <c r="ETN2" s="24" t="n"/>
      <c r="ETO2" s="24" t="n"/>
      <c r="ETP2" s="24" t="n"/>
      <c r="ETQ2" s="24" t="n"/>
      <c r="ETR2" s="24" t="n"/>
      <c r="ETS2" s="24" t="n"/>
      <c r="ETT2" s="24" t="n"/>
      <c r="ETU2" s="24" t="n"/>
      <c r="ETV2" s="24" t="n"/>
      <c r="ETW2" s="24" t="n"/>
      <c r="ETX2" s="24" t="n"/>
      <c r="ETY2" s="24" t="n"/>
      <c r="ETZ2" s="24" t="n"/>
      <c r="EUA2" s="24" t="n"/>
      <c r="EUB2" s="24" t="n"/>
      <c r="EUC2" s="24" t="n"/>
      <c r="EUD2" s="24" t="n"/>
      <c r="EUE2" s="24" t="n"/>
      <c r="EUF2" s="24" t="n"/>
      <c r="EUG2" s="24" t="n"/>
      <c r="EUH2" s="24" t="n"/>
      <c r="EUI2" s="24" t="n"/>
      <c r="EUJ2" s="24" t="n"/>
      <c r="EUK2" s="24" t="n"/>
      <c r="EUL2" s="24" t="n"/>
      <c r="EUM2" s="24" t="n"/>
      <c r="EUN2" s="24" t="n"/>
      <c r="EUO2" s="24" t="n"/>
      <c r="EUP2" s="24" t="n"/>
      <c r="EUQ2" s="24" t="n"/>
      <c r="EUR2" s="24" t="n"/>
      <c r="EUS2" s="24" t="n"/>
      <c r="EUT2" s="24" t="n"/>
      <c r="EUU2" s="24" t="n"/>
      <c r="EUV2" s="24" t="n"/>
      <c r="EUW2" s="24" t="n"/>
      <c r="EUX2" s="24" t="n"/>
      <c r="EUY2" s="24" t="n"/>
      <c r="EUZ2" s="24" t="n"/>
      <c r="EVA2" s="24" t="n"/>
      <c r="EVB2" s="24" t="n"/>
      <c r="EVC2" s="24" t="n"/>
      <c r="EVD2" s="24" t="n"/>
      <c r="EVE2" s="24" t="n"/>
      <c r="EVF2" s="24" t="n"/>
      <c r="EVG2" s="24" t="n"/>
      <c r="EVH2" s="24" t="n"/>
      <c r="EVI2" s="24" t="n"/>
      <c r="EVJ2" s="24" t="n"/>
      <c r="EVK2" s="24" t="n"/>
      <c r="EVL2" s="24" t="n"/>
      <c r="EVM2" s="24" t="n"/>
      <c r="EVN2" s="24" t="n"/>
      <c r="EVO2" s="24" t="n"/>
      <c r="EVP2" s="24" t="n"/>
      <c r="EVQ2" s="24" t="n"/>
      <c r="EVR2" s="24" t="n"/>
      <c r="EVS2" s="24" t="n"/>
      <c r="EVT2" s="24" t="n"/>
      <c r="EVU2" s="24" t="n"/>
      <c r="EVV2" s="24" t="n"/>
      <c r="EVW2" s="24" t="n"/>
      <c r="EVX2" s="24" t="n"/>
      <c r="EVY2" s="24" t="n"/>
      <c r="EVZ2" s="24" t="n"/>
      <c r="EWA2" s="24" t="n"/>
      <c r="EWB2" s="24" t="n"/>
      <c r="EWC2" s="24" t="n"/>
      <c r="EWD2" s="24" t="n"/>
      <c r="EWE2" s="24" t="n"/>
      <c r="EWF2" s="24" t="n"/>
      <c r="EWG2" s="24" t="n"/>
      <c r="EWH2" s="24" t="n"/>
      <c r="EWI2" s="24" t="n"/>
      <c r="EWJ2" s="24" t="n"/>
      <c r="EWK2" s="24" t="n"/>
      <c r="EWL2" s="24" t="n"/>
      <c r="EWM2" s="24" t="n"/>
      <c r="EWN2" s="24" t="n"/>
      <c r="EWO2" s="24" t="n"/>
      <c r="EWP2" s="24" t="n"/>
      <c r="EWQ2" s="24" t="n"/>
      <c r="EWR2" s="24" t="n"/>
      <c r="EWS2" s="24" t="n"/>
      <c r="EWT2" s="24" t="n"/>
      <c r="EWU2" s="24" t="n"/>
      <c r="EWV2" s="24" t="n"/>
      <c r="EWW2" s="24" t="n"/>
      <c r="EWX2" s="24" t="n"/>
      <c r="EWY2" s="24" t="n"/>
      <c r="EWZ2" s="24" t="n"/>
      <c r="EXA2" s="24" t="n"/>
      <c r="EXB2" s="24" t="n"/>
      <c r="EXC2" s="24" t="n"/>
      <c r="EXD2" s="24" t="n"/>
      <c r="EXE2" s="24" t="n"/>
      <c r="EXF2" s="24" t="n"/>
      <c r="EXG2" s="24" t="n"/>
      <c r="EXH2" s="24" t="n"/>
      <c r="EXI2" s="24" t="n"/>
      <c r="EXJ2" s="24" t="n"/>
      <c r="EXK2" s="24" t="n"/>
      <c r="EXL2" s="24" t="n"/>
      <c r="EXM2" s="24" t="n"/>
      <c r="EXN2" s="24" t="n"/>
      <c r="EXO2" s="24" t="n"/>
      <c r="EXP2" s="24" t="n"/>
      <c r="EXQ2" s="24" t="n"/>
      <c r="EXR2" s="24" t="n"/>
      <c r="EXS2" s="24" t="n"/>
      <c r="EXT2" s="24" t="n"/>
      <c r="EXU2" s="24" t="n"/>
      <c r="EXV2" s="24" t="n"/>
      <c r="EXW2" s="24" t="n"/>
      <c r="EXX2" s="24" t="n"/>
      <c r="EXY2" s="24" t="n"/>
      <c r="EXZ2" s="24" t="n"/>
      <c r="EYA2" s="24" t="n"/>
      <c r="EYB2" s="24" t="n"/>
      <c r="EYC2" s="24" t="n"/>
      <c r="EYD2" s="24" t="n"/>
      <c r="EYE2" s="24" t="n"/>
      <c r="EYF2" s="24" t="n"/>
      <c r="EYG2" s="24" t="n"/>
      <c r="EYH2" s="24" t="n"/>
      <c r="EYI2" s="24" t="n"/>
      <c r="EYJ2" s="24" t="n"/>
      <c r="EYK2" s="24" t="n"/>
      <c r="EYL2" s="24" t="n"/>
      <c r="EYM2" s="24" t="n"/>
      <c r="EYN2" s="24" t="n"/>
      <c r="EYO2" s="24" t="n"/>
      <c r="EYP2" s="24" t="n"/>
      <c r="EYQ2" s="24" t="n"/>
      <c r="EYR2" s="24" t="n"/>
      <c r="EYS2" s="24" t="n"/>
      <c r="EYT2" s="24" t="n"/>
      <c r="EYU2" s="24" t="n"/>
      <c r="EYV2" s="24" t="n"/>
      <c r="EYW2" s="24" t="n"/>
      <c r="EYX2" s="24" t="n"/>
      <c r="EYY2" s="24" t="n"/>
      <c r="EYZ2" s="24" t="n"/>
      <c r="EZA2" s="24" t="n"/>
      <c r="EZB2" s="24" t="n"/>
      <c r="EZC2" s="24" t="n"/>
      <c r="EZD2" s="24" t="n"/>
      <c r="EZE2" s="24" t="n"/>
      <c r="EZF2" s="24" t="n"/>
      <c r="EZG2" s="24" t="n"/>
      <c r="EZH2" s="24" t="n"/>
      <c r="EZI2" s="24" t="n"/>
      <c r="EZJ2" s="24" t="n"/>
      <c r="EZK2" s="24" t="n"/>
      <c r="EZL2" s="24" t="n"/>
      <c r="EZM2" s="24" t="n"/>
      <c r="EZN2" s="24" t="n"/>
      <c r="EZO2" s="24" t="n"/>
      <c r="EZP2" s="24" t="n"/>
      <c r="EZQ2" s="24" t="n"/>
      <c r="EZR2" s="24" t="n"/>
      <c r="EZS2" s="24" t="n"/>
      <c r="EZT2" s="24" t="n"/>
      <c r="EZU2" s="24" t="n"/>
      <c r="EZV2" s="24" t="n"/>
      <c r="EZW2" s="24" t="n"/>
      <c r="EZX2" s="24" t="n"/>
      <c r="EZY2" s="24" t="n"/>
      <c r="EZZ2" s="24" t="n"/>
      <c r="FAA2" s="24" t="n"/>
      <c r="FAB2" s="24" t="n"/>
      <c r="FAC2" s="24" t="n"/>
      <c r="FAD2" s="24" t="n"/>
      <c r="FAE2" s="24" t="n"/>
      <c r="FAF2" s="24" t="n"/>
      <c r="FAG2" s="24" t="n"/>
      <c r="FAH2" s="24" t="n"/>
      <c r="FAI2" s="24" t="n"/>
      <c r="FAJ2" s="24" t="n"/>
      <c r="FAK2" s="24" t="n"/>
      <c r="FAL2" s="24" t="n"/>
      <c r="FAM2" s="24" t="n"/>
      <c r="FAN2" s="24" t="n"/>
      <c r="FAO2" s="24" t="n"/>
      <c r="FAP2" s="24" t="n"/>
      <c r="FAQ2" s="24" t="n"/>
      <c r="FAR2" s="24" t="n"/>
      <c r="FAS2" s="24" t="n"/>
      <c r="FAT2" s="24" t="n"/>
      <c r="FAU2" s="24" t="n"/>
      <c r="FAV2" s="24" t="n"/>
      <c r="FAW2" s="24" t="n"/>
      <c r="FAX2" s="24" t="n"/>
      <c r="FAY2" s="24" t="n"/>
      <c r="FAZ2" s="24" t="n"/>
      <c r="FBA2" s="24" t="n"/>
      <c r="FBB2" s="24" t="n"/>
      <c r="FBC2" s="24" t="n"/>
      <c r="FBD2" s="24" t="n"/>
      <c r="FBE2" s="24" t="n"/>
      <c r="FBF2" s="24" t="n"/>
      <c r="FBG2" s="24" t="n"/>
      <c r="FBH2" s="24" t="n"/>
      <c r="FBI2" s="24" t="n"/>
      <c r="FBJ2" s="24" t="n"/>
      <c r="FBK2" s="24" t="n"/>
      <c r="FBL2" s="24" t="n"/>
      <c r="FBM2" s="24" t="n"/>
      <c r="FBN2" s="24" t="n"/>
      <c r="FBO2" s="24" t="n"/>
      <c r="FBP2" s="24" t="n"/>
      <c r="FBQ2" s="24" t="n"/>
      <c r="FBR2" s="24" t="n"/>
      <c r="FBS2" s="24" t="n"/>
      <c r="FBT2" s="24" t="n"/>
      <c r="FBU2" s="24" t="n"/>
      <c r="FBV2" s="24" t="n"/>
      <c r="FBW2" s="24" t="n"/>
      <c r="FBX2" s="24" t="n"/>
      <c r="FBY2" s="24" t="n"/>
      <c r="FBZ2" s="24" t="n"/>
      <c r="FCA2" s="24" t="n"/>
      <c r="FCB2" s="24" t="n"/>
      <c r="FCC2" s="24" t="n"/>
      <c r="FCD2" s="24" t="n"/>
      <c r="FCE2" s="24" t="n"/>
      <c r="FCF2" s="24" t="n"/>
      <c r="FCG2" s="24" t="n"/>
      <c r="FCH2" s="24" t="n"/>
      <c r="FCI2" s="24" t="n"/>
      <c r="FCJ2" s="24" t="n"/>
      <c r="FCK2" s="24" t="n"/>
      <c r="FCL2" s="24" t="n"/>
      <c r="FCM2" s="24" t="n"/>
      <c r="FCN2" s="24" t="n"/>
      <c r="FCO2" s="24" t="n"/>
      <c r="FCP2" s="24" t="n"/>
      <c r="FCQ2" s="24" t="n"/>
      <c r="FCR2" s="24" t="n"/>
      <c r="FCS2" s="24" t="n"/>
      <c r="FCT2" s="24" t="n"/>
      <c r="FCU2" s="24" t="n"/>
      <c r="FCV2" s="24" t="n"/>
      <c r="FCW2" s="24" t="n"/>
      <c r="FCX2" s="24" t="n"/>
      <c r="FCY2" s="24" t="n"/>
      <c r="FCZ2" s="24" t="n"/>
      <c r="FDA2" s="24" t="n"/>
      <c r="FDB2" s="24" t="n"/>
      <c r="FDC2" s="24" t="n"/>
      <c r="FDD2" s="24" t="n"/>
      <c r="FDE2" s="24" t="n"/>
      <c r="FDF2" s="24" t="n"/>
      <c r="FDG2" s="24" t="n"/>
      <c r="FDH2" s="24" t="n"/>
      <c r="FDI2" s="24" t="n"/>
      <c r="FDJ2" s="24" t="n"/>
      <c r="FDK2" s="24" t="n"/>
      <c r="FDL2" s="24" t="n"/>
      <c r="FDM2" s="24" t="n"/>
      <c r="FDN2" s="24" t="n"/>
      <c r="FDO2" s="24" t="n"/>
      <c r="FDP2" s="24" t="n"/>
      <c r="FDQ2" s="24" t="n"/>
      <c r="FDR2" s="24" t="n"/>
      <c r="FDS2" s="24" t="n"/>
      <c r="FDT2" s="24" t="n"/>
      <c r="FDU2" s="24" t="n"/>
      <c r="FDV2" s="24" t="n"/>
      <c r="FDW2" s="24" t="n"/>
      <c r="FDX2" s="24" t="n"/>
      <c r="FDY2" s="24" t="n"/>
      <c r="FDZ2" s="24" t="n"/>
      <c r="FEA2" s="24" t="n"/>
      <c r="FEB2" s="24" t="n"/>
      <c r="FEC2" s="24" t="n"/>
      <c r="FED2" s="24" t="n"/>
      <c r="FEE2" s="24" t="n"/>
      <c r="FEF2" s="24" t="n"/>
      <c r="FEG2" s="24" t="n"/>
      <c r="FEH2" s="24" t="n"/>
      <c r="FEI2" s="24" t="n"/>
      <c r="FEJ2" s="24" t="n"/>
      <c r="FEK2" s="24" t="n"/>
      <c r="FEL2" s="24" t="n"/>
      <c r="FEM2" s="24" t="n"/>
      <c r="FEN2" s="24" t="n"/>
      <c r="FEO2" s="24" t="n"/>
      <c r="FEP2" s="24" t="n"/>
      <c r="FEQ2" s="24" t="n"/>
      <c r="FER2" s="24" t="n"/>
      <c r="FES2" s="24" t="n"/>
      <c r="FET2" s="24" t="n"/>
      <c r="FEU2" s="24" t="n"/>
      <c r="FEV2" s="24" t="n"/>
      <c r="FEW2" s="24" t="n"/>
      <c r="FEX2" s="24" t="n"/>
      <c r="FEY2" s="24" t="n"/>
      <c r="FEZ2" s="24" t="n"/>
      <c r="FFA2" s="24" t="n"/>
      <c r="FFB2" s="24" t="n"/>
      <c r="FFC2" s="24" t="n"/>
      <c r="FFD2" s="24" t="n"/>
      <c r="FFE2" s="24" t="n"/>
      <c r="FFF2" s="24" t="n"/>
      <c r="FFG2" s="24" t="n"/>
      <c r="FFH2" s="24" t="n"/>
      <c r="FFI2" s="24" t="n"/>
      <c r="FFJ2" s="24" t="n"/>
      <c r="FFK2" s="24" t="n"/>
      <c r="FFL2" s="24" t="n"/>
      <c r="FFM2" s="24" t="n"/>
      <c r="FFN2" s="24" t="n"/>
      <c r="FFO2" s="24" t="n"/>
      <c r="FFP2" s="24" t="n"/>
      <c r="FFQ2" s="24" t="n"/>
      <c r="FFR2" s="24" t="n"/>
      <c r="FFS2" s="24" t="n"/>
      <c r="FFT2" s="24" t="n"/>
      <c r="FFU2" s="24" t="n"/>
      <c r="FFV2" s="24" t="n"/>
      <c r="FFW2" s="24" t="n"/>
      <c r="FFX2" s="24" t="n"/>
      <c r="FFY2" s="24" t="n"/>
      <c r="FFZ2" s="24" t="n"/>
      <c r="FGA2" s="24" t="n"/>
      <c r="FGB2" s="24" t="n"/>
      <c r="FGC2" s="24" t="n"/>
      <c r="FGD2" s="24" t="n"/>
      <c r="FGE2" s="24" t="n"/>
      <c r="FGF2" s="24" t="n"/>
      <c r="FGG2" s="24" t="n"/>
      <c r="FGH2" s="24" t="n"/>
      <c r="FGI2" s="24" t="n"/>
      <c r="FGJ2" s="24" t="n"/>
      <c r="FGK2" s="24" t="n"/>
      <c r="FGL2" s="24" t="n"/>
      <c r="FGM2" s="24" t="n"/>
      <c r="FGN2" s="24" t="n"/>
      <c r="FGO2" s="24" t="n"/>
      <c r="FGP2" s="24" t="n"/>
      <c r="FGQ2" s="24" t="n"/>
      <c r="FGR2" s="24" t="n"/>
      <c r="FGS2" s="24" t="n"/>
      <c r="FGT2" s="24" t="n"/>
      <c r="FGU2" s="24" t="n"/>
      <c r="FGV2" s="24" t="n"/>
      <c r="FGW2" s="24" t="n"/>
      <c r="FGX2" s="24" t="n"/>
      <c r="FGY2" s="24" t="n"/>
      <c r="FGZ2" s="24" t="n"/>
      <c r="FHA2" s="24" t="n"/>
      <c r="FHB2" s="24" t="n"/>
      <c r="FHC2" s="24" t="n"/>
      <c r="FHD2" s="24" t="n"/>
      <c r="FHE2" s="24" t="n"/>
      <c r="FHF2" s="24" t="n"/>
      <c r="FHG2" s="24" t="n"/>
      <c r="FHH2" s="24" t="n"/>
      <c r="FHI2" s="24" t="n"/>
      <c r="FHJ2" s="24" t="n"/>
      <c r="FHK2" s="24" t="n"/>
      <c r="FHL2" s="24" t="n"/>
      <c r="FHM2" s="24" t="n"/>
      <c r="FHN2" s="24" t="n"/>
      <c r="FHO2" s="24" t="n"/>
      <c r="FHP2" s="24" t="n"/>
      <c r="FHQ2" s="24" t="n"/>
      <c r="FHR2" s="24" t="n"/>
      <c r="FHS2" s="24" t="n"/>
      <c r="FHT2" s="24" t="n"/>
      <c r="FHU2" s="24" t="n"/>
      <c r="FHV2" s="24" t="n"/>
      <c r="FHW2" s="24" t="n"/>
      <c r="FHX2" s="24" t="n"/>
      <c r="FHY2" s="24" t="n"/>
      <c r="FHZ2" s="24" t="n"/>
      <c r="FIA2" s="24" t="n"/>
      <c r="FIB2" s="24" t="n"/>
      <c r="FIC2" s="24" t="n"/>
      <c r="FID2" s="24" t="n"/>
      <c r="FIE2" s="24" t="n"/>
      <c r="FIF2" s="24" t="n"/>
      <c r="FIG2" s="24" t="n"/>
      <c r="FIH2" s="24" t="n"/>
      <c r="FII2" s="24" t="n"/>
      <c r="FIJ2" s="24" t="n"/>
      <c r="FIK2" s="24" t="n"/>
      <c r="FIL2" s="24" t="n"/>
      <c r="FIM2" s="24" t="n"/>
      <c r="FIN2" s="24" t="n"/>
      <c r="FIO2" s="24" t="n"/>
      <c r="FIP2" s="24" t="n"/>
      <c r="FIQ2" s="24" t="n"/>
      <c r="FIR2" s="24" t="n"/>
      <c r="FIS2" s="24" t="n"/>
      <c r="FIT2" s="24" t="n"/>
      <c r="FIU2" s="24" t="n"/>
      <c r="FIV2" s="24" t="n"/>
      <c r="FIW2" s="24" t="n"/>
      <c r="FIX2" s="24" t="n"/>
      <c r="FIY2" s="24" t="n"/>
      <c r="FIZ2" s="24" t="n"/>
      <c r="FJA2" s="24" t="n"/>
      <c r="FJB2" s="24" t="n"/>
      <c r="FJC2" s="24" t="n"/>
      <c r="FJD2" s="24" t="n"/>
      <c r="FJE2" s="24" t="n"/>
      <c r="FJF2" s="24" t="n"/>
      <c r="FJG2" s="24" t="n"/>
      <c r="FJH2" s="24" t="n"/>
      <c r="FJI2" s="24" t="n"/>
      <c r="FJJ2" s="24" t="n"/>
      <c r="FJK2" s="24" t="n"/>
      <c r="FJL2" s="24" t="n"/>
      <c r="FJM2" s="24" t="n"/>
      <c r="FJN2" s="24" t="n"/>
      <c r="FJO2" s="24" t="n"/>
      <c r="FJP2" s="24" t="n"/>
      <c r="FJQ2" s="24" t="n"/>
      <c r="FJR2" s="24" t="n"/>
      <c r="FJS2" s="24" t="n"/>
      <c r="FJT2" s="24" t="n"/>
      <c r="FJU2" s="24" t="n"/>
      <c r="FJV2" s="24" t="n"/>
      <c r="FJW2" s="24" t="n"/>
      <c r="FJX2" s="24" t="n"/>
      <c r="FJY2" s="24" t="n"/>
      <c r="FJZ2" s="24" t="n"/>
      <c r="FKA2" s="24" t="n"/>
      <c r="FKB2" s="24" t="n"/>
      <c r="FKC2" s="24" t="n"/>
      <c r="FKD2" s="24" t="n"/>
      <c r="FKE2" s="24" t="n"/>
      <c r="FKF2" s="24" t="n"/>
      <c r="FKG2" s="24" t="n"/>
      <c r="FKH2" s="24" t="n"/>
      <c r="FKI2" s="24" t="n"/>
      <c r="FKJ2" s="24" t="n"/>
      <c r="FKK2" s="24" t="n"/>
      <c r="FKL2" s="24" t="n"/>
      <c r="FKM2" s="24" t="n"/>
      <c r="FKN2" s="24" t="n"/>
      <c r="FKO2" s="24" t="n"/>
      <c r="FKP2" s="24" t="n"/>
      <c r="FKQ2" s="24" t="n"/>
      <c r="FKR2" s="24" t="n"/>
      <c r="FKS2" s="24" t="n"/>
      <c r="FKT2" s="24" t="n"/>
      <c r="FKU2" s="24" t="n"/>
      <c r="FKV2" s="24" t="n"/>
      <c r="FKW2" s="24" t="n"/>
      <c r="FKX2" s="24" t="n"/>
      <c r="FKY2" s="24" t="n"/>
      <c r="FKZ2" s="24" t="n"/>
      <c r="FLA2" s="24" t="n"/>
      <c r="FLB2" s="24" t="n"/>
      <c r="FLC2" s="24" t="n"/>
      <c r="FLD2" s="24" t="n"/>
      <c r="FLE2" s="24" t="n"/>
      <c r="FLF2" s="24" t="n"/>
      <c r="FLG2" s="24" t="n"/>
      <c r="FLH2" s="24" t="n"/>
      <c r="FLI2" s="24" t="n"/>
      <c r="FLJ2" s="24" t="n"/>
      <c r="FLK2" s="24" t="n"/>
      <c r="FLL2" s="24" t="n"/>
      <c r="FLM2" s="24" t="n"/>
      <c r="FLN2" s="24" t="n"/>
      <c r="FLO2" s="24" t="n"/>
      <c r="FLP2" s="24" t="n"/>
      <c r="FLQ2" s="24" t="n"/>
      <c r="FLR2" s="24" t="n"/>
      <c r="FLS2" s="24" t="n"/>
      <c r="FLT2" s="24" t="n"/>
      <c r="FLU2" s="24" t="n"/>
      <c r="FLV2" s="24" t="n"/>
      <c r="FLW2" s="24" t="n"/>
      <c r="FLX2" s="24" t="n"/>
      <c r="FLY2" s="24" t="n"/>
      <c r="FLZ2" s="24" t="n"/>
      <c r="FMA2" s="24" t="n"/>
      <c r="FMB2" s="24" t="n"/>
      <c r="FMC2" s="24" t="n"/>
      <c r="FMD2" s="24" t="n"/>
      <c r="FME2" s="24" t="n"/>
      <c r="FMF2" s="24" t="n"/>
      <c r="FMG2" s="24" t="n"/>
      <c r="FMH2" s="24" t="n"/>
      <c r="FMI2" s="24" t="n"/>
      <c r="FMJ2" s="24" t="n"/>
      <c r="FMK2" s="24" t="n"/>
      <c r="FML2" s="24" t="n"/>
      <c r="FMM2" s="24" t="n"/>
      <c r="FMN2" s="24" t="n"/>
      <c r="FMO2" s="24" t="n"/>
      <c r="FMP2" s="24" t="n"/>
      <c r="FMQ2" s="24" t="n"/>
      <c r="FMR2" s="24" t="n"/>
      <c r="FMS2" s="24" t="n"/>
      <c r="FMT2" s="24" t="n"/>
      <c r="FMU2" s="24" t="n"/>
      <c r="FMV2" s="24" t="n"/>
      <c r="FMW2" s="24" t="n"/>
      <c r="FMX2" s="24" t="n"/>
      <c r="FMY2" s="24" t="n"/>
      <c r="FMZ2" s="24" t="n"/>
      <c r="FNA2" s="24" t="n"/>
      <c r="FNB2" s="24" t="n"/>
      <c r="FNC2" s="24" t="n"/>
      <c r="FND2" s="24" t="n"/>
      <c r="FNE2" s="24" t="n"/>
      <c r="FNF2" s="24" t="n"/>
      <c r="FNG2" s="24" t="n"/>
      <c r="FNH2" s="24" t="n"/>
      <c r="FNI2" s="24" t="n"/>
      <c r="FNJ2" s="24" t="n"/>
      <c r="FNK2" s="24" t="n"/>
      <c r="FNL2" s="24" t="n"/>
      <c r="FNM2" s="24" t="n"/>
      <c r="FNN2" s="24" t="n"/>
      <c r="FNO2" s="24" t="n"/>
      <c r="FNP2" s="24" t="n"/>
      <c r="FNQ2" s="24" t="n"/>
      <c r="FNR2" s="24" t="n"/>
      <c r="FNS2" s="24" t="n"/>
      <c r="FNT2" s="24" t="n"/>
      <c r="FNU2" s="24" t="n"/>
      <c r="FNV2" s="24" t="n"/>
      <c r="FNW2" s="24" t="n"/>
      <c r="FNX2" s="24" t="n"/>
      <c r="FNY2" s="24" t="n"/>
      <c r="FNZ2" s="24" t="n"/>
      <c r="FOA2" s="24" t="n"/>
      <c r="FOB2" s="24" t="n"/>
      <c r="FOC2" s="24" t="n"/>
      <c r="FOD2" s="24" t="n"/>
      <c r="FOE2" s="24" t="n"/>
      <c r="FOF2" s="24" t="n"/>
      <c r="FOG2" s="24" t="n"/>
      <c r="FOH2" s="24" t="n"/>
      <c r="FOI2" s="24" t="n"/>
      <c r="FOJ2" s="24" t="n"/>
      <c r="FOK2" s="24" t="n"/>
      <c r="FOL2" s="24" t="n"/>
      <c r="FOM2" s="24" t="n"/>
      <c r="FON2" s="24" t="n"/>
      <c r="FOO2" s="24" t="n"/>
      <c r="FOP2" s="24" t="n"/>
      <c r="FOQ2" s="24" t="n"/>
      <c r="FOR2" s="24" t="n"/>
      <c r="FOS2" s="24" t="n"/>
      <c r="FOT2" s="24" t="n"/>
      <c r="FOU2" s="24" t="n"/>
      <c r="FOV2" s="24" t="n"/>
      <c r="FOW2" s="24" t="n"/>
      <c r="FOX2" s="24" t="n"/>
      <c r="FOY2" s="24" t="n"/>
      <c r="FOZ2" s="24" t="n"/>
      <c r="FPA2" s="24" t="n"/>
      <c r="FPB2" s="24" t="n"/>
      <c r="FPC2" s="24" t="n"/>
      <c r="FPD2" s="24" t="n"/>
      <c r="FPE2" s="24" t="n"/>
      <c r="FPF2" s="24" t="n"/>
      <c r="FPG2" s="24" t="n"/>
      <c r="FPH2" s="24" t="n"/>
      <c r="FPI2" s="24" t="n"/>
      <c r="FPJ2" s="24" t="n"/>
      <c r="FPK2" s="24" t="n"/>
      <c r="FPL2" s="24" t="n"/>
      <c r="FPM2" s="24" t="n"/>
      <c r="FPN2" s="24" t="n"/>
      <c r="FPO2" s="24" t="n"/>
      <c r="FPP2" s="24" t="n"/>
      <c r="FPQ2" s="24" t="n"/>
      <c r="FPR2" s="24" t="n"/>
      <c r="FPS2" s="24" t="n"/>
      <c r="FPT2" s="24" t="n"/>
      <c r="FPU2" s="24" t="n"/>
      <c r="FPV2" s="24" t="n"/>
      <c r="FPW2" s="24" t="n"/>
      <c r="FPX2" s="24" t="n"/>
      <c r="FPY2" s="24" t="n"/>
      <c r="FPZ2" s="24" t="n"/>
      <c r="FQA2" s="24" t="n"/>
      <c r="FQB2" s="24" t="n"/>
      <c r="FQC2" s="24" t="n"/>
      <c r="FQD2" s="24" t="n"/>
      <c r="FQE2" s="24" t="n"/>
      <c r="FQF2" s="24" t="n"/>
      <c r="FQG2" s="24" t="n"/>
      <c r="FQH2" s="24" t="n"/>
      <c r="FQI2" s="24" t="n"/>
      <c r="FQJ2" s="24" t="n"/>
      <c r="FQK2" s="24" t="n"/>
      <c r="FQL2" s="24" t="n"/>
      <c r="FQM2" s="24" t="n"/>
      <c r="FQN2" s="24" t="n"/>
      <c r="FQO2" s="24" t="n"/>
      <c r="FQP2" s="24" t="n"/>
      <c r="FQQ2" s="24" t="n"/>
      <c r="FQR2" s="24" t="n"/>
      <c r="FQS2" s="24" t="n"/>
      <c r="FQT2" s="24" t="n"/>
      <c r="FQU2" s="24" t="n"/>
      <c r="FQV2" s="24" t="n"/>
      <c r="FQW2" s="24" t="n"/>
      <c r="FQX2" s="24" t="n"/>
      <c r="FQY2" s="24" t="n"/>
      <c r="FQZ2" s="24" t="n"/>
      <c r="FRA2" s="24" t="n"/>
      <c r="FRB2" s="24" t="n"/>
      <c r="FRC2" s="24" t="n"/>
      <c r="FRD2" s="24" t="n"/>
      <c r="FRE2" s="24" t="n"/>
      <c r="FRF2" s="24" t="n"/>
      <c r="FRG2" s="24" t="n"/>
      <c r="FRH2" s="24" t="n"/>
      <c r="FRI2" s="24" t="n"/>
      <c r="FRJ2" s="24" t="n"/>
      <c r="FRK2" s="24" t="n"/>
      <c r="FRL2" s="24" t="n"/>
      <c r="FRM2" s="24" t="n"/>
      <c r="FRN2" s="24" t="n"/>
      <c r="FRO2" s="24" t="n"/>
      <c r="FRP2" s="24" t="n"/>
      <c r="FRQ2" s="24" t="n"/>
      <c r="FRR2" s="24" t="n"/>
      <c r="FRS2" s="24" t="n"/>
      <c r="FRT2" s="24" t="n"/>
      <c r="FRU2" s="24" t="n"/>
      <c r="FRV2" s="24" t="n"/>
      <c r="FRW2" s="24" t="n"/>
      <c r="FRX2" s="24" t="n"/>
      <c r="FRY2" s="24" t="n"/>
      <c r="FRZ2" s="24" t="n"/>
      <c r="FSA2" s="24" t="n"/>
      <c r="FSB2" s="24" t="n"/>
      <c r="FSC2" s="24" t="n"/>
      <c r="FSD2" s="24" t="n"/>
      <c r="FSE2" s="24" t="n"/>
      <c r="FSF2" s="24" t="n"/>
      <c r="FSG2" s="24" t="n"/>
      <c r="FSH2" s="24" t="n"/>
      <c r="FSI2" s="24" t="n"/>
      <c r="FSJ2" s="24" t="n"/>
      <c r="FSK2" s="24" t="n"/>
      <c r="FSL2" s="24" t="n"/>
      <c r="FSM2" s="24" t="n"/>
      <c r="FSN2" s="24" t="n"/>
      <c r="FSO2" s="24" t="n"/>
      <c r="FSP2" s="24" t="n"/>
      <c r="FSQ2" s="24" t="n"/>
      <c r="FSR2" s="24" t="n"/>
      <c r="FSS2" s="24" t="n"/>
      <c r="FST2" s="24" t="n"/>
      <c r="FSU2" s="24" t="n"/>
      <c r="FSV2" s="24" t="n"/>
      <c r="FSW2" s="24" t="n"/>
      <c r="FSX2" s="24" t="n"/>
      <c r="FSY2" s="24" t="n"/>
      <c r="FSZ2" s="24" t="n"/>
      <c r="FTA2" s="24" t="n"/>
      <c r="FTB2" s="24" t="n"/>
      <c r="FTC2" s="24" t="n"/>
      <c r="FTD2" s="24" t="n"/>
      <c r="FTE2" s="24" t="n"/>
      <c r="FTF2" s="24" t="n"/>
      <c r="FTG2" s="24" t="n"/>
      <c r="FTH2" s="24" t="n"/>
      <c r="FTI2" s="24" t="n"/>
      <c r="FTJ2" s="24" t="n"/>
      <c r="FTK2" s="24" t="n"/>
      <c r="FTL2" s="24" t="n"/>
      <c r="FTM2" s="24" t="n"/>
      <c r="FTN2" s="24" t="n"/>
      <c r="FTO2" s="24" t="n"/>
      <c r="FTP2" s="24" t="n"/>
      <c r="FTQ2" s="24" t="n"/>
      <c r="FTR2" s="24" t="n"/>
      <c r="FTS2" s="24" t="n"/>
      <c r="FTT2" s="24" t="n"/>
      <c r="FTU2" s="24" t="n"/>
      <c r="FTV2" s="24" t="n"/>
      <c r="FTW2" s="24" t="n"/>
      <c r="FTX2" s="24" t="n"/>
      <c r="FTY2" s="24" t="n"/>
      <c r="FTZ2" s="24" t="n"/>
      <c r="FUA2" s="24" t="n"/>
      <c r="FUB2" s="24" t="n"/>
      <c r="FUC2" s="24" t="n"/>
      <c r="FUD2" s="24" t="n"/>
      <c r="FUE2" s="24" t="n"/>
      <c r="FUF2" s="24" t="n"/>
      <c r="FUG2" s="24" t="n"/>
      <c r="FUH2" s="24" t="n"/>
      <c r="FUI2" s="24" t="n"/>
      <c r="FUJ2" s="24" t="n"/>
      <c r="FUK2" s="24" t="n"/>
      <c r="FUL2" s="24" t="n"/>
      <c r="FUM2" s="24" t="n"/>
      <c r="FUN2" s="24" t="n"/>
      <c r="FUO2" s="24" t="n"/>
      <c r="FUP2" s="24" t="n"/>
      <c r="FUQ2" s="24" t="n"/>
      <c r="FUR2" s="24" t="n"/>
      <c r="FUS2" s="24" t="n"/>
      <c r="FUT2" s="24" t="n"/>
      <c r="FUU2" s="24" t="n"/>
      <c r="FUV2" s="24" t="n"/>
      <c r="FUW2" s="24" t="n"/>
      <c r="FUX2" s="24" t="n"/>
      <c r="FUY2" s="24" t="n"/>
      <c r="FUZ2" s="24" t="n"/>
      <c r="FVA2" s="24" t="n"/>
      <c r="FVB2" s="24" t="n"/>
      <c r="FVC2" s="24" t="n"/>
      <c r="FVD2" s="24" t="n"/>
      <c r="FVE2" s="24" t="n"/>
      <c r="FVF2" s="24" t="n"/>
      <c r="FVG2" s="24" t="n"/>
      <c r="FVH2" s="24" t="n"/>
      <c r="FVI2" s="24" t="n"/>
      <c r="FVJ2" s="24" t="n"/>
      <c r="FVK2" s="24" t="n"/>
      <c r="FVL2" s="24" t="n"/>
      <c r="FVM2" s="24" t="n"/>
      <c r="FVN2" s="24" t="n"/>
      <c r="FVO2" s="24" t="n"/>
      <c r="FVP2" s="24" t="n"/>
      <c r="FVQ2" s="24" t="n"/>
      <c r="FVR2" s="24" t="n"/>
      <c r="FVS2" s="24" t="n"/>
      <c r="FVT2" s="24" t="n"/>
      <c r="FVU2" s="24" t="n"/>
      <c r="FVV2" s="24" t="n"/>
      <c r="FVW2" s="24" t="n"/>
      <c r="FVX2" s="24" t="n"/>
      <c r="FVY2" s="24" t="n"/>
      <c r="FVZ2" s="24" t="n"/>
      <c r="FWA2" s="24" t="n"/>
      <c r="FWB2" s="24" t="n"/>
      <c r="FWC2" s="24" t="n"/>
      <c r="FWD2" s="24" t="n"/>
      <c r="FWE2" s="24" t="n"/>
      <c r="FWF2" s="24" t="n"/>
      <c r="FWG2" s="24" t="n"/>
      <c r="FWH2" s="24" t="n"/>
      <c r="FWI2" s="24" t="n"/>
      <c r="FWJ2" s="24" t="n"/>
      <c r="FWK2" s="24" t="n"/>
      <c r="FWL2" s="24" t="n"/>
      <c r="FWM2" s="24" t="n"/>
      <c r="FWN2" s="24" t="n"/>
      <c r="FWO2" s="24" t="n"/>
      <c r="FWP2" s="24" t="n"/>
      <c r="FWQ2" s="24" t="n"/>
      <c r="FWR2" s="24" t="n"/>
      <c r="FWS2" s="24" t="n"/>
      <c r="FWT2" s="24" t="n"/>
      <c r="FWU2" s="24" t="n"/>
      <c r="FWV2" s="24" t="n"/>
      <c r="FWW2" s="24" t="n"/>
      <c r="FWX2" s="24" t="n"/>
      <c r="FWY2" s="24" t="n"/>
      <c r="FWZ2" s="24" t="n"/>
      <c r="FXA2" s="24" t="n"/>
      <c r="FXB2" s="24" t="n"/>
      <c r="FXC2" s="24" t="n"/>
      <c r="FXD2" s="24" t="n"/>
      <c r="FXE2" s="24" t="n"/>
      <c r="FXF2" s="24" t="n"/>
      <c r="FXG2" s="24" t="n"/>
      <c r="FXH2" s="24" t="n"/>
      <c r="FXI2" s="24" t="n"/>
      <c r="FXJ2" s="24" t="n"/>
      <c r="FXK2" s="24" t="n"/>
      <c r="FXL2" s="24" t="n"/>
      <c r="FXM2" s="24" t="n"/>
      <c r="FXN2" s="24" t="n"/>
      <c r="FXO2" s="24" t="n"/>
      <c r="FXP2" s="24" t="n"/>
      <c r="FXQ2" s="24" t="n"/>
      <c r="FXR2" s="24" t="n"/>
      <c r="FXS2" s="24" t="n"/>
      <c r="FXT2" s="24" t="n"/>
      <c r="FXU2" s="24" t="n"/>
      <c r="FXV2" s="24" t="n"/>
      <c r="FXW2" s="24" t="n"/>
      <c r="FXX2" s="24" t="n"/>
      <c r="FXY2" s="24" t="n"/>
      <c r="FXZ2" s="24" t="n"/>
      <c r="FYA2" s="24" t="n"/>
      <c r="FYB2" s="24" t="n"/>
      <c r="FYC2" s="24" t="n"/>
      <c r="FYD2" s="24" t="n"/>
      <c r="FYE2" s="24" t="n"/>
      <c r="FYF2" s="24" t="n"/>
      <c r="FYG2" s="24" t="n"/>
      <c r="FYH2" s="24" t="n"/>
      <c r="FYI2" s="24" t="n"/>
      <c r="FYJ2" s="24" t="n"/>
      <c r="FYK2" s="24" t="n"/>
      <c r="FYL2" s="24" t="n"/>
      <c r="FYM2" s="24" t="n"/>
      <c r="FYN2" s="24" t="n"/>
      <c r="FYO2" s="24" t="n"/>
      <c r="FYP2" s="24" t="n"/>
      <c r="FYQ2" s="24" t="n"/>
      <c r="FYR2" s="24" t="n"/>
      <c r="FYS2" s="24" t="n"/>
      <c r="FYT2" s="24" t="n"/>
      <c r="FYU2" s="24" t="n"/>
      <c r="FYV2" s="24" t="n"/>
      <c r="FYW2" s="24" t="n"/>
      <c r="FYX2" s="24" t="n"/>
      <c r="FYY2" s="24" t="n"/>
      <c r="FYZ2" s="24" t="n"/>
      <c r="FZA2" s="24" t="n"/>
      <c r="FZB2" s="24" t="n"/>
      <c r="FZC2" s="24" t="n"/>
      <c r="FZD2" s="24" t="n"/>
      <c r="FZE2" s="24" t="n"/>
      <c r="FZF2" s="24" t="n"/>
      <c r="FZG2" s="24" t="n"/>
      <c r="FZH2" s="24" t="n"/>
      <c r="FZI2" s="24" t="n"/>
      <c r="FZJ2" s="24" t="n"/>
      <c r="FZK2" s="24" t="n"/>
      <c r="FZL2" s="24" t="n"/>
      <c r="FZM2" s="24" t="n"/>
      <c r="FZN2" s="24" t="n"/>
      <c r="FZO2" s="24" t="n"/>
      <c r="FZP2" s="24" t="n"/>
      <c r="FZQ2" s="24" t="n"/>
      <c r="FZR2" s="24" t="n"/>
      <c r="FZS2" s="24" t="n"/>
      <c r="FZT2" s="24" t="n"/>
      <c r="FZU2" s="24" t="n"/>
      <c r="FZV2" s="24" t="n"/>
      <c r="FZW2" s="24" t="n"/>
      <c r="FZX2" s="24" t="n"/>
      <c r="FZY2" s="24" t="n"/>
      <c r="FZZ2" s="24" t="n"/>
      <c r="GAA2" s="24" t="n"/>
      <c r="GAB2" s="24" t="n"/>
      <c r="GAC2" s="24" t="n"/>
      <c r="GAD2" s="24" t="n"/>
      <c r="GAE2" s="24" t="n"/>
      <c r="GAF2" s="24" t="n"/>
      <c r="GAG2" s="24" t="n"/>
      <c r="GAH2" s="24" t="n"/>
      <c r="GAI2" s="24" t="n"/>
      <c r="GAJ2" s="24" t="n"/>
      <c r="GAK2" s="24" t="n"/>
      <c r="GAL2" s="24" t="n"/>
      <c r="GAM2" s="24" t="n"/>
      <c r="GAN2" s="24" t="n"/>
      <c r="GAO2" s="24" t="n"/>
      <c r="GAP2" s="24" t="n"/>
      <c r="GAQ2" s="24" t="n"/>
      <c r="GAR2" s="24" t="n"/>
      <c r="GAS2" s="24" t="n"/>
      <c r="GAT2" s="24" t="n"/>
      <c r="GAU2" s="24" t="n"/>
      <c r="GAV2" s="24" t="n"/>
      <c r="GAW2" s="24" t="n"/>
      <c r="GAX2" s="24" t="n"/>
      <c r="GAY2" s="24" t="n"/>
      <c r="GAZ2" s="24" t="n"/>
      <c r="GBA2" s="24" t="n"/>
      <c r="GBB2" s="24" t="n"/>
      <c r="GBC2" s="24" t="n"/>
      <c r="GBD2" s="24" t="n"/>
      <c r="GBE2" s="24" t="n"/>
      <c r="GBF2" s="24" t="n"/>
      <c r="GBG2" s="24" t="n"/>
      <c r="GBH2" s="24" t="n"/>
      <c r="GBI2" s="24" t="n"/>
      <c r="GBJ2" s="24" t="n"/>
      <c r="GBK2" s="24" t="n"/>
      <c r="GBL2" s="24" t="n"/>
      <c r="GBM2" s="24" t="n"/>
      <c r="GBN2" s="24" t="n"/>
      <c r="GBO2" s="24" t="n"/>
      <c r="GBP2" s="24" t="n"/>
      <c r="GBQ2" s="24" t="n"/>
      <c r="GBR2" s="24" t="n"/>
      <c r="GBS2" s="24" t="n"/>
      <c r="GBT2" s="24" t="n"/>
      <c r="GBU2" s="24" t="n"/>
      <c r="GBV2" s="24" t="n"/>
      <c r="GBW2" s="24" t="n"/>
      <c r="GBX2" s="24" t="n"/>
      <c r="GBY2" s="24" t="n"/>
      <c r="GBZ2" s="24" t="n"/>
      <c r="GCA2" s="24" t="n"/>
      <c r="GCB2" s="24" t="n"/>
      <c r="GCC2" s="24" t="n"/>
      <c r="GCD2" s="24" t="n"/>
      <c r="GCE2" s="24" t="n"/>
      <c r="GCF2" s="24" t="n"/>
      <c r="GCG2" s="24" t="n"/>
      <c r="GCH2" s="24" t="n"/>
      <c r="GCI2" s="24" t="n"/>
      <c r="GCJ2" s="24" t="n"/>
      <c r="GCK2" s="24" t="n"/>
      <c r="GCL2" s="24" t="n"/>
      <c r="GCM2" s="24" t="n"/>
      <c r="GCN2" s="24" t="n"/>
      <c r="GCO2" s="24" t="n"/>
      <c r="GCP2" s="24" t="n"/>
      <c r="GCQ2" s="24" t="n"/>
      <c r="GCR2" s="24" t="n"/>
      <c r="GCS2" s="24" t="n"/>
      <c r="GCT2" s="24" t="n"/>
      <c r="GCU2" s="24" t="n"/>
      <c r="GCV2" s="24" t="n"/>
      <c r="GCW2" s="24" t="n"/>
      <c r="GCX2" s="24" t="n"/>
      <c r="GCY2" s="24" t="n"/>
      <c r="GCZ2" s="24" t="n"/>
      <c r="GDA2" s="24" t="n"/>
      <c r="GDB2" s="24" t="n"/>
      <c r="GDC2" s="24" t="n"/>
      <c r="GDD2" s="24" t="n"/>
      <c r="GDE2" s="24" t="n"/>
      <c r="GDF2" s="24" t="n"/>
      <c r="GDG2" s="24" t="n"/>
      <c r="GDH2" s="24" t="n"/>
      <c r="GDI2" s="24" t="n"/>
      <c r="GDJ2" s="24" t="n"/>
      <c r="GDK2" s="24" t="n"/>
      <c r="GDL2" s="24" t="n"/>
      <c r="GDM2" s="24" t="n"/>
      <c r="GDN2" s="24" t="n"/>
      <c r="GDO2" s="24" t="n"/>
      <c r="GDP2" s="24" t="n"/>
      <c r="GDQ2" s="24" t="n"/>
      <c r="GDR2" s="24" t="n"/>
      <c r="GDS2" s="24" t="n"/>
      <c r="GDT2" s="24" t="n"/>
      <c r="GDU2" s="24" t="n"/>
      <c r="GDV2" s="24" t="n"/>
      <c r="GDW2" s="24" t="n"/>
      <c r="GDX2" s="24" t="n"/>
      <c r="GDY2" s="24" t="n"/>
      <c r="GDZ2" s="24" t="n"/>
      <c r="GEA2" s="24" t="n"/>
      <c r="GEB2" s="24" t="n"/>
      <c r="GEC2" s="24" t="n"/>
      <c r="GED2" s="24" t="n"/>
      <c r="GEE2" s="24" t="n"/>
      <c r="GEF2" s="24" t="n"/>
      <c r="GEG2" s="24" t="n"/>
      <c r="GEH2" s="24" t="n"/>
      <c r="GEI2" s="24" t="n"/>
      <c r="GEJ2" s="24" t="n"/>
      <c r="GEK2" s="24" t="n"/>
      <c r="GEL2" s="24" t="n"/>
      <c r="GEM2" s="24" t="n"/>
      <c r="GEN2" s="24" t="n"/>
      <c r="GEO2" s="24" t="n"/>
      <c r="GEP2" s="24" t="n"/>
      <c r="GEQ2" s="24" t="n"/>
      <c r="GER2" s="24" t="n"/>
      <c r="GES2" s="24" t="n"/>
      <c r="GET2" s="24" t="n"/>
      <c r="GEU2" s="24" t="n"/>
      <c r="GEV2" s="24" t="n"/>
      <c r="GEW2" s="24" t="n"/>
      <c r="GEX2" s="24" t="n"/>
      <c r="GEY2" s="24" t="n"/>
      <c r="GEZ2" s="24" t="n"/>
      <c r="GFA2" s="24" t="n"/>
      <c r="GFB2" s="24" t="n"/>
      <c r="GFC2" s="24" t="n"/>
      <c r="GFD2" s="24" t="n"/>
      <c r="GFE2" s="24" t="n"/>
      <c r="GFF2" s="24" t="n"/>
      <c r="GFG2" s="24" t="n"/>
      <c r="GFH2" s="24" t="n"/>
      <c r="GFI2" s="24" t="n"/>
      <c r="GFJ2" s="24" t="n"/>
      <c r="GFK2" s="24" t="n"/>
      <c r="GFL2" s="24" t="n"/>
      <c r="GFM2" s="24" t="n"/>
      <c r="GFN2" s="24" t="n"/>
      <c r="GFO2" s="24" t="n"/>
      <c r="GFP2" s="24" t="n"/>
      <c r="GFQ2" s="24" t="n"/>
      <c r="GFR2" s="24" t="n"/>
      <c r="GFS2" s="24" t="n"/>
      <c r="GFT2" s="24" t="n"/>
      <c r="GFU2" s="24" t="n"/>
      <c r="GFV2" s="24" t="n"/>
      <c r="GFW2" s="24" t="n"/>
      <c r="GFX2" s="24" t="n"/>
      <c r="GFY2" s="24" t="n"/>
      <c r="GFZ2" s="24" t="n"/>
      <c r="GGA2" s="24" t="n"/>
      <c r="GGB2" s="24" t="n"/>
      <c r="GGC2" s="24" t="n"/>
      <c r="GGD2" s="24" t="n"/>
      <c r="GGE2" s="24" t="n"/>
      <c r="GGF2" s="24" t="n"/>
      <c r="GGG2" s="24" t="n"/>
      <c r="GGH2" s="24" t="n"/>
      <c r="GGI2" s="24" t="n"/>
      <c r="GGJ2" s="24" t="n"/>
      <c r="GGK2" s="24" t="n"/>
      <c r="GGL2" s="24" t="n"/>
      <c r="GGM2" s="24" t="n"/>
      <c r="GGN2" s="24" t="n"/>
      <c r="GGO2" s="24" t="n"/>
      <c r="GGP2" s="24" t="n"/>
      <c r="GGQ2" s="24" t="n"/>
      <c r="GGR2" s="24" t="n"/>
      <c r="GGS2" s="24" t="n"/>
      <c r="GGT2" s="24" t="n"/>
      <c r="GGU2" s="24" t="n"/>
      <c r="GGV2" s="24" t="n"/>
      <c r="GGW2" s="24" t="n"/>
      <c r="GGX2" s="24" t="n"/>
      <c r="GGY2" s="24" t="n"/>
      <c r="GGZ2" s="24" t="n"/>
      <c r="GHA2" s="24" t="n"/>
      <c r="GHB2" s="24" t="n"/>
      <c r="GHC2" s="24" t="n"/>
      <c r="GHD2" s="24" t="n"/>
      <c r="GHE2" s="24" t="n"/>
      <c r="GHF2" s="24" t="n"/>
      <c r="GHG2" s="24" t="n"/>
      <c r="GHH2" s="24" t="n"/>
      <c r="GHI2" s="24" t="n"/>
      <c r="GHJ2" s="24" t="n"/>
      <c r="GHK2" s="24" t="n"/>
      <c r="GHL2" s="24" t="n"/>
      <c r="GHM2" s="24" t="n"/>
      <c r="GHN2" s="24" t="n"/>
      <c r="GHO2" s="24" t="n"/>
      <c r="GHP2" s="24" t="n"/>
      <c r="GHQ2" s="24" t="n"/>
      <c r="GHR2" s="24" t="n"/>
      <c r="GHS2" s="24" t="n"/>
      <c r="GHT2" s="24" t="n"/>
      <c r="GHU2" s="24" t="n"/>
      <c r="GHV2" s="24" t="n"/>
      <c r="GHW2" s="24" t="n"/>
      <c r="GHX2" s="24" t="n"/>
      <c r="GHY2" s="24" t="n"/>
      <c r="GHZ2" s="24" t="n"/>
      <c r="GIA2" s="24" t="n"/>
      <c r="GIB2" s="24" t="n"/>
      <c r="GIC2" s="24" t="n"/>
      <c r="GID2" s="24" t="n"/>
      <c r="GIE2" s="24" t="n"/>
      <c r="GIF2" s="24" t="n"/>
      <c r="GIG2" s="24" t="n"/>
      <c r="GIH2" s="24" t="n"/>
      <c r="GII2" s="24" t="n"/>
      <c r="GIJ2" s="24" t="n"/>
      <c r="GIK2" s="24" t="n"/>
      <c r="GIL2" s="24" t="n"/>
      <c r="GIM2" s="24" t="n"/>
      <c r="GIN2" s="24" t="n"/>
      <c r="GIO2" s="24" t="n"/>
      <c r="GIP2" s="24" t="n"/>
      <c r="GIQ2" s="24" t="n"/>
      <c r="GIR2" s="24" t="n"/>
      <c r="GIS2" s="24" t="n"/>
      <c r="GIT2" s="24" t="n"/>
      <c r="GIU2" s="24" t="n"/>
      <c r="GIV2" s="24" t="n"/>
      <c r="GIW2" s="24" t="n"/>
      <c r="GIX2" s="24" t="n"/>
      <c r="GIY2" s="24" t="n"/>
      <c r="GIZ2" s="24" t="n"/>
      <c r="GJA2" s="24" t="n"/>
      <c r="GJB2" s="24" t="n"/>
      <c r="GJC2" s="24" t="n"/>
      <c r="GJD2" s="24" t="n"/>
      <c r="GJE2" s="24" t="n"/>
      <c r="GJF2" s="24" t="n"/>
      <c r="GJG2" s="24" t="n"/>
      <c r="GJH2" s="24" t="n"/>
      <c r="GJI2" s="24" t="n"/>
      <c r="GJJ2" s="24" t="n"/>
      <c r="GJK2" s="24" t="n"/>
      <c r="GJL2" s="24" t="n"/>
      <c r="GJM2" s="24" t="n"/>
      <c r="GJN2" s="24" t="n"/>
      <c r="GJO2" s="24" t="n"/>
      <c r="GJP2" s="24" t="n"/>
      <c r="GJQ2" s="24" t="n"/>
      <c r="GJR2" s="24" t="n"/>
      <c r="GJS2" s="24" t="n"/>
      <c r="GJT2" s="24" t="n"/>
      <c r="GJU2" s="24" t="n"/>
      <c r="GJV2" s="24" t="n"/>
      <c r="GJW2" s="24" t="n"/>
      <c r="GJX2" s="24" t="n"/>
      <c r="GJY2" s="24" t="n"/>
      <c r="GJZ2" s="24" t="n"/>
      <c r="GKA2" s="24" t="n"/>
      <c r="GKB2" s="24" t="n"/>
      <c r="GKC2" s="24" t="n"/>
      <c r="GKD2" s="24" t="n"/>
      <c r="GKE2" s="24" t="n"/>
      <c r="GKF2" s="24" t="n"/>
      <c r="GKG2" s="24" t="n"/>
      <c r="GKH2" s="24" t="n"/>
      <c r="GKI2" s="24" t="n"/>
      <c r="GKJ2" s="24" t="n"/>
      <c r="GKK2" s="24" t="n"/>
      <c r="GKL2" s="24" t="n"/>
      <c r="GKM2" s="24" t="n"/>
      <c r="GKN2" s="24" t="n"/>
      <c r="GKO2" s="24" t="n"/>
      <c r="GKP2" s="24" t="n"/>
      <c r="GKQ2" s="24" t="n"/>
      <c r="GKR2" s="24" t="n"/>
      <c r="GKS2" s="24" t="n"/>
      <c r="GKT2" s="24" t="n"/>
      <c r="GKU2" s="24" t="n"/>
      <c r="GKV2" s="24" t="n"/>
      <c r="GKW2" s="24" t="n"/>
      <c r="GKX2" s="24" t="n"/>
      <c r="GKY2" s="24" t="n"/>
      <c r="GKZ2" s="24" t="n"/>
      <c r="GLA2" s="24" t="n"/>
      <c r="GLB2" s="24" t="n"/>
      <c r="GLC2" s="24" t="n"/>
      <c r="GLD2" s="24" t="n"/>
      <c r="GLE2" s="24" t="n"/>
      <c r="GLF2" s="24" t="n"/>
      <c r="GLG2" s="24" t="n"/>
      <c r="GLH2" s="24" t="n"/>
      <c r="GLI2" s="24" t="n"/>
      <c r="GLJ2" s="24" t="n"/>
      <c r="GLK2" s="24" t="n"/>
      <c r="GLL2" s="24" t="n"/>
      <c r="GLM2" s="24" t="n"/>
      <c r="GLN2" s="24" t="n"/>
      <c r="GLO2" s="24" t="n"/>
      <c r="GLP2" s="24" t="n"/>
      <c r="GLQ2" s="24" t="n"/>
      <c r="GLR2" s="24" t="n"/>
      <c r="GLS2" s="24" t="n"/>
      <c r="GLT2" s="24" t="n"/>
      <c r="GLU2" s="24" t="n"/>
      <c r="GLV2" s="24" t="n"/>
      <c r="GLW2" s="24" t="n"/>
      <c r="GLX2" s="24" t="n"/>
      <c r="GLY2" s="24" t="n"/>
      <c r="GLZ2" s="24" t="n"/>
      <c r="GMA2" s="24" t="n"/>
      <c r="GMB2" s="24" t="n"/>
      <c r="GMC2" s="24" t="n"/>
      <c r="GMD2" s="24" t="n"/>
      <c r="GME2" s="24" t="n"/>
      <c r="GMF2" s="24" t="n"/>
      <c r="GMG2" s="24" t="n"/>
      <c r="GMH2" s="24" t="n"/>
      <c r="GMI2" s="24" t="n"/>
      <c r="GMJ2" s="24" t="n"/>
      <c r="GMK2" s="24" t="n"/>
      <c r="GML2" s="24" t="n"/>
      <c r="GMM2" s="24" t="n"/>
      <c r="GMN2" s="24" t="n"/>
      <c r="GMO2" s="24" t="n"/>
      <c r="GMP2" s="24" t="n"/>
      <c r="GMQ2" s="24" t="n"/>
      <c r="GMR2" s="24" t="n"/>
      <c r="GMS2" s="24" t="n"/>
      <c r="GMT2" s="24" t="n"/>
      <c r="GMU2" s="24" t="n"/>
      <c r="GMV2" s="24" t="n"/>
      <c r="GMW2" s="24" t="n"/>
      <c r="GMX2" s="24" t="n"/>
      <c r="GMY2" s="24" t="n"/>
      <c r="GMZ2" s="24" t="n"/>
      <c r="GNA2" s="24" t="n"/>
      <c r="GNB2" s="24" t="n"/>
      <c r="GNC2" s="24" t="n"/>
      <c r="GND2" s="24" t="n"/>
      <c r="GNE2" s="24" t="n"/>
      <c r="GNF2" s="24" t="n"/>
      <c r="GNG2" s="24" t="n"/>
      <c r="GNH2" s="24" t="n"/>
      <c r="GNI2" s="24" t="n"/>
      <c r="GNJ2" s="24" t="n"/>
      <c r="GNK2" s="24" t="n"/>
      <c r="GNL2" s="24" t="n"/>
      <c r="GNM2" s="24" t="n"/>
      <c r="GNN2" s="24" t="n"/>
      <c r="GNO2" s="24" t="n"/>
      <c r="GNP2" s="24" t="n"/>
      <c r="GNQ2" s="24" t="n"/>
      <c r="GNR2" s="24" t="n"/>
      <c r="GNS2" s="24" t="n"/>
      <c r="GNT2" s="24" t="n"/>
      <c r="GNU2" s="24" t="n"/>
      <c r="GNV2" s="24" t="n"/>
      <c r="GNW2" s="24" t="n"/>
      <c r="GNX2" s="24" t="n"/>
      <c r="GNY2" s="24" t="n"/>
      <c r="GNZ2" s="24" t="n"/>
      <c r="GOA2" s="24" t="n"/>
      <c r="GOB2" s="24" t="n"/>
      <c r="GOC2" s="24" t="n"/>
      <c r="GOD2" s="24" t="n"/>
      <c r="GOE2" s="24" t="n"/>
      <c r="GOF2" s="24" t="n"/>
      <c r="GOG2" s="24" t="n"/>
      <c r="GOH2" s="24" t="n"/>
      <c r="GOI2" s="24" t="n"/>
      <c r="GOJ2" s="24" t="n"/>
      <c r="GOK2" s="24" t="n"/>
      <c r="GOL2" s="24" t="n"/>
      <c r="GOM2" s="24" t="n"/>
      <c r="GON2" s="24" t="n"/>
      <c r="GOO2" s="24" t="n"/>
      <c r="GOP2" s="24" t="n"/>
      <c r="GOQ2" s="24" t="n"/>
      <c r="GOR2" s="24" t="n"/>
      <c r="GOS2" s="24" t="n"/>
      <c r="GOT2" s="24" t="n"/>
      <c r="GOU2" s="24" t="n"/>
      <c r="GOV2" s="24" t="n"/>
      <c r="GOW2" s="24" t="n"/>
      <c r="GOX2" s="24" t="n"/>
      <c r="GOY2" s="24" t="n"/>
      <c r="GOZ2" s="24" t="n"/>
      <c r="GPA2" s="24" t="n"/>
      <c r="GPB2" s="24" t="n"/>
      <c r="GPC2" s="24" t="n"/>
      <c r="GPD2" s="24" t="n"/>
      <c r="GPE2" s="24" t="n"/>
      <c r="GPF2" s="24" t="n"/>
      <c r="GPG2" s="24" t="n"/>
      <c r="GPH2" s="24" t="n"/>
      <c r="GPI2" s="24" t="n"/>
      <c r="GPJ2" s="24" t="n"/>
      <c r="GPK2" s="24" t="n"/>
      <c r="GPL2" s="24" t="n"/>
      <c r="GPM2" s="24" t="n"/>
      <c r="GPN2" s="24" t="n"/>
      <c r="GPO2" s="24" t="n"/>
      <c r="GPP2" s="24" t="n"/>
      <c r="GPQ2" s="24" t="n"/>
      <c r="GPR2" s="24" t="n"/>
      <c r="GPS2" s="24" t="n"/>
      <c r="GPT2" s="24" t="n"/>
      <c r="GPU2" s="24" t="n"/>
      <c r="GPV2" s="24" t="n"/>
      <c r="GPW2" s="24" t="n"/>
      <c r="GPX2" s="24" t="n"/>
      <c r="GPY2" s="24" t="n"/>
      <c r="GPZ2" s="24" t="n"/>
      <c r="GQA2" s="24" t="n"/>
      <c r="GQB2" s="24" t="n"/>
      <c r="GQC2" s="24" t="n"/>
      <c r="GQD2" s="24" t="n"/>
      <c r="GQE2" s="24" t="n"/>
      <c r="GQF2" s="24" t="n"/>
      <c r="GQG2" s="24" t="n"/>
      <c r="GQH2" s="24" t="n"/>
      <c r="GQI2" s="24" t="n"/>
      <c r="GQJ2" s="24" t="n"/>
      <c r="GQK2" s="24" t="n"/>
      <c r="GQL2" s="24" t="n"/>
      <c r="GQM2" s="24" t="n"/>
      <c r="GQN2" s="24" t="n"/>
      <c r="GQO2" s="24" t="n"/>
      <c r="GQP2" s="24" t="n"/>
      <c r="GQQ2" s="24" t="n"/>
      <c r="GQR2" s="24" t="n"/>
      <c r="GQS2" s="24" t="n"/>
      <c r="GQT2" s="24" t="n"/>
      <c r="GQU2" s="24" t="n"/>
      <c r="GQV2" s="24" t="n"/>
      <c r="GQW2" s="24" t="n"/>
      <c r="GQX2" s="24" t="n"/>
      <c r="GQY2" s="24" t="n"/>
      <c r="GQZ2" s="24" t="n"/>
      <c r="GRA2" s="24" t="n"/>
      <c r="GRB2" s="24" t="n"/>
      <c r="GRC2" s="24" t="n"/>
      <c r="GRD2" s="24" t="n"/>
      <c r="GRE2" s="24" t="n"/>
      <c r="GRF2" s="24" t="n"/>
      <c r="GRG2" s="24" t="n"/>
      <c r="GRH2" s="24" t="n"/>
      <c r="GRI2" s="24" t="n"/>
      <c r="GRJ2" s="24" t="n"/>
      <c r="GRK2" s="24" t="n"/>
      <c r="GRL2" s="24" t="n"/>
      <c r="GRM2" s="24" t="n"/>
      <c r="GRN2" s="24" t="n"/>
      <c r="GRO2" s="24" t="n"/>
      <c r="GRP2" s="24" t="n"/>
      <c r="GRQ2" s="24" t="n"/>
      <c r="GRR2" s="24" t="n"/>
      <c r="GRS2" s="24" t="n"/>
      <c r="GRT2" s="24" t="n"/>
      <c r="GRU2" s="24" t="n"/>
      <c r="GRV2" s="24" t="n"/>
      <c r="GRW2" s="24" t="n"/>
      <c r="GRX2" s="24" t="n"/>
      <c r="GRY2" s="24" t="n"/>
      <c r="GRZ2" s="24" t="n"/>
      <c r="GSA2" s="24" t="n"/>
      <c r="GSB2" s="24" t="n"/>
      <c r="GSC2" s="24" t="n"/>
      <c r="GSD2" s="24" t="n"/>
      <c r="GSE2" s="24" t="n"/>
      <c r="GSF2" s="24" t="n"/>
      <c r="GSG2" s="24" t="n"/>
      <c r="GSH2" s="24" t="n"/>
      <c r="GSI2" s="24" t="n"/>
      <c r="GSJ2" s="24" t="n"/>
      <c r="GSK2" s="24" t="n"/>
      <c r="GSL2" s="24" t="n"/>
      <c r="GSM2" s="24" t="n"/>
      <c r="GSN2" s="24" t="n"/>
      <c r="GSO2" s="24" t="n"/>
      <c r="GSP2" s="24" t="n"/>
      <c r="GSQ2" s="24" t="n"/>
      <c r="GSR2" s="24" t="n"/>
      <c r="GSS2" s="24" t="n"/>
      <c r="GST2" s="24" t="n"/>
      <c r="GSU2" s="24" t="n"/>
      <c r="GSV2" s="24" t="n"/>
      <c r="GSW2" s="24" t="n"/>
      <c r="GSX2" s="24" t="n"/>
      <c r="GSY2" s="24" t="n"/>
      <c r="GSZ2" s="24" t="n"/>
      <c r="GTA2" s="24" t="n"/>
      <c r="GTB2" s="24" t="n"/>
      <c r="GTC2" s="24" t="n"/>
      <c r="GTD2" s="24" t="n"/>
      <c r="GTE2" s="24" t="n"/>
      <c r="GTF2" s="24" t="n"/>
      <c r="GTG2" s="24" t="n"/>
      <c r="GTH2" s="24" t="n"/>
      <c r="GTI2" s="24" t="n"/>
      <c r="GTJ2" s="24" t="n"/>
      <c r="GTK2" s="24" t="n"/>
      <c r="GTL2" s="24" t="n"/>
      <c r="GTM2" s="24" t="n"/>
      <c r="GTN2" s="24" t="n"/>
      <c r="GTO2" s="24" t="n"/>
      <c r="GTP2" s="24" t="n"/>
      <c r="GTQ2" s="24" t="n"/>
      <c r="GTR2" s="24" t="n"/>
      <c r="GTS2" s="24" t="n"/>
      <c r="GTT2" s="24" t="n"/>
      <c r="GTU2" s="24" t="n"/>
      <c r="GTV2" s="24" t="n"/>
      <c r="GTW2" s="24" t="n"/>
      <c r="GTX2" s="24" t="n"/>
      <c r="GTY2" s="24" t="n"/>
      <c r="GTZ2" s="24" t="n"/>
      <c r="GUA2" s="24" t="n"/>
      <c r="GUB2" s="24" t="n"/>
      <c r="GUC2" s="24" t="n"/>
      <c r="GUD2" s="24" t="n"/>
      <c r="GUE2" s="24" t="n"/>
      <c r="GUF2" s="24" t="n"/>
      <c r="GUG2" s="24" t="n"/>
      <c r="GUH2" s="24" t="n"/>
      <c r="GUI2" s="24" t="n"/>
      <c r="GUJ2" s="24" t="n"/>
      <c r="GUK2" s="24" t="n"/>
      <c r="GUL2" s="24" t="n"/>
      <c r="GUM2" s="24" t="n"/>
      <c r="GUN2" s="24" t="n"/>
      <c r="GUO2" s="24" t="n"/>
      <c r="GUP2" s="24" t="n"/>
      <c r="GUQ2" s="24" t="n"/>
      <c r="GUR2" s="24" t="n"/>
      <c r="GUS2" s="24" t="n"/>
      <c r="GUT2" s="24" t="n"/>
      <c r="GUU2" s="24" t="n"/>
      <c r="GUV2" s="24" t="n"/>
      <c r="GUW2" s="24" t="n"/>
      <c r="GUX2" s="24" t="n"/>
      <c r="GUY2" s="24" t="n"/>
      <c r="GUZ2" s="24" t="n"/>
      <c r="GVA2" s="24" t="n"/>
      <c r="GVB2" s="24" t="n"/>
      <c r="GVC2" s="24" t="n"/>
      <c r="GVD2" s="24" t="n"/>
      <c r="GVE2" s="24" t="n"/>
      <c r="GVF2" s="24" t="n"/>
      <c r="GVG2" s="24" t="n"/>
      <c r="GVH2" s="24" t="n"/>
      <c r="GVI2" s="24" t="n"/>
      <c r="GVJ2" s="24" t="n"/>
      <c r="GVK2" s="24" t="n"/>
      <c r="GVL2" s="24" t="n"/>
      <c r="GVM2" s="24" t="n"/>
      <c r="GVN2" s="24" t="n"/>
      <c r="GVO2" s="24" t="n"/>
      <c r="GVP2" s="24" t="n"/>
      <c r="GVQ2" s="24" t="n"/>
      <c r="GVR2" s="24" t="n"/>
      <c r="GVS2" s="24" t="n"/>
      <c r="GVT2" s="24" t="n"/>
      <c r="GVU2" s="24" t="n"/>
      <c r="GVV2" s="24" t="n"/>
      <c r="GVW2" s="24" t="n"/>
      <c r="GVX2" s="24" t="n"/>
      <c r="GVY2" s="24" t="n"/>
      <c r="GVZ2" s="24" t="n"/>
      <c r="GWA2" s="24" t="n"/>
      <c r="GWB2" s="24" t="n"/>
      <c r="GWC2" s="24" t="n"/>
      <c r="GWD2" s="24" t="n"/>
      <c r="GWE2" s="24" t="n"/>
      <c r="GWF2" s="24" t="n"/>
      <c r="GWG2" s="24" t="n"/>
      <c r="GWH2" s="24" t="n"/>
      <c r="GWI2" s="24" t="n"/>
      <c r="GWJ2" s="24" t="n"/>
      <c r="GWK2" s="24" t="n"/>
      <c r="GWL2" s="24" t="n"/>
      <c r="GWM2" s="24" t="n"/>
      <c r="GWN2" s="24" t="n"/>
      <c r="GWO2" s="24" t="n"/>
      <c r="GWP2" s="24" t="n"/>
      <c r="GWQ2" s="24" t="n"/>
      <c r="GWR2" s="24" t="n"/>
      <c r="GWS2" s="24" t="n"/>
      <c r="GWT2" s="24" t="n"/>
      <c r="GWU2" s="24" t="n"/>
      <c r="GWV2" s="24" t="n"/>
      <c r="GWW2" s="24" t="n"/>
      <c r="GWX2" s="24" t="n"/>
      <c r="GWY2" s="24" t="n"/>
      <c r="GWZ2" s="24" t="n"/>
      <c r="GXA2" s="24" t="n"/>
      <c r="GXB2" s="24" t="n"/>
      <c r="GXC2" s="24" t="n"/>
      <c r="GXD2" s="24" t="n"/>
      <c r="GXE2" s="24" t="n"/>
      <c r="GXF2" s="24" t="n"/>
      <c r="GXG2" s="24" t="n"/>
      <c r="GXH2" s="24" t="n"/>
      <c r="GXI2" s="24" t="n"/>
      <c r="GXJ2" s="24" t="n"/>
      <c r="GXK2" s="24" t="n"/>
      <c r="GXL2" s="24" t="n"/>
      <c r="GXM2" s="24" t="n"/>
      <c r="GXN2" s="24" t="n"/>
      <c r="GXO2" s="24" t="n"/>
      <c r="GXP2" s="24" t="n"/>
      <c r="GXQ2" s="24" t="n"/>
      <c r="GXR2" s="24" t="n"/>
      <c r="GXS2" s="24" t="n"/>
      <c r="GXT2" s="24" t="n"/>
      <c r="GXU2" s="24" t="n"/>
      <c r="GXV2" s="24" t="n"/>
      <c r="GXW2" s="24" t="n"/>
      <c r="GXX2" s="24" t="n"/>
      <c r="GXY2" s="24" t="n"/>
      <c r="GXZ2" s="24" t="n"/>
      <c r="GYA2" s="24" t="n"/>
      <c r="GYB2" s="24" t="n"/>
      <c r="GYC2" s="24" t="n"/>
      <c r="GYD2" s="24" t="n"/>
      <c r="GYE2" s="24" t="n"/>
      <c r="GYF2" s="24" t="n"/>
      <c r="GYG2" s="24" t="n"/>
      <c r="GYH2" s="24" t="n"/>
      <c r="GYI2" s="24" t="n"/>
      <c r="GYJ2" s="24" t="n"/>
      <c r="GYK2" s="24" t="n"/>
      <c r="GYL2" s="24" t="n"/>
      <c r="GYM2" s="24" t="n"/>
      <c r="GYN2" s="24" t="n"/>
      <c r="GYO2" s="24" t="n"/>
      <c r="GYP2" s="24" t="n"/>
      <c r="GYQ2" s="24" t="n"/>
      <c r="GYR2" s="24" t="n"/>
      <c r="GYS2" s="24" t="n"/>
      <c r="GYT2" s="24" t="n"/>
      <c r="GYU2" s="24" t="n"/>
      <c r="GYV2" s="24" t="n"/>
      <c r="GYW2" s="24" t="n"/>
      <c r="GYX2" s="24" t="n"/>
      <c r="GYY2" s="24" t="n"/>
      <c r="GYZ2" s="24" t="n"/>
      <c r="GZA2" s="24" t="n"/>
      <c r="GZB2" s="24" t="n"/>
      <c r="GZC2" s="24" t="n"/>
      <c r="GZD2" s="24" t="n"/>
      <c r="GZE2" s="24" t="n"/>
      <c r="GZF2" s="24" t="n"/>
      <c r="GZG2" s="24" t="n"/>
      <c r="GZH2" s="24" t="n"/>
      <c r="GZI2" s="24" t="n"/>
      <c r="GZJ2" s="24" t="n"/>
      <c r="GZK2" s="24" t="n"/>
      <c r="GZL2" s="24" t="n"/>
      <c r="GZM2" s="24" t="n"/>
      <c r="GZN2" s="24" t="n"/>
      <c r="GZO2" s="24" t="n"/>
      <c r="GZP2" s="24" t="n"/>
      <c r="GZQ2" s="24" t="n"/>
      <c r="GZR2" s="24" t="n"/>
      <c r="GZS2" s="24" t="n"/>
      <c r="GZT2" s="24" t="n"/>
      <c r="GZU2" s="24" t="n"/>
      <c r="GZV2" s="24" t="n"/>
      <c r="GZW2" s="24" t="n"/>
      <c r="GZX2" s="24" t="n"/>
      <c r="GZY2" s="24" t="n"/>
      <c r="GZZ2" s="24" t="n"/>
      <c r="HAA2" s="24" t="n"/>
      <c r="HAB2" s="24" t="n"/>
      <c r="HAC2" s="24" t="n"/>
      <c r="HAD2" s="24" t="n"/>
      <c r="HAE2" s="24" t="n"/>
      <c r="HAF2" s="24" t="n"/>
      <c r="HAG2" s="24" t="n"/>
      <c r="HAH2" s="24" t="n"/>
      <c r="HAI2" s="24" t="n"/>
      <c r="HAJ2" s="24" t="n"/>
      <c r="HAK2" s="24" t="n"/>
      <c r="HAL2" s="24" t="n"/>
      <c r="HAM2" s="24" t="n"/>
      <c r="HAN2" s="24" t="n"/>
      <c r="HAO2" s="24" t="n"/>
      <c r="HAP2" s="24" t="n"/>
      <c r="HAQ2" s="24" t="n"/>
      <c r="HAR2" s="24" t="n"/>
      <c r="HAS2" s="24" t="n"/>
      <c r="HAT2" s="24" t="n"/>
      <c r="HAU2" s="24" t="n"/>
      <c r="HAV2" s="24" t="n"/>
      <c r="HAW2" s="24" t="n"/>
      <c r="HAX2" s="24" t="n"/>
      <c r="HAY2" s="24" t="n"/>
      <c r="HAZ2" s="24" t="n"/>
      <c r="HBA2" s="24" t="n"/>
      <c r="HBB2" s="24" t="n"/>
      <c r="HBC2" s="24" t="n"/>
      <c r="HBD2" s="24" t="n"/>
      <c r="HBE2" s="24" t="n"/>
      <c r="HBF2" s="24" t="n"/>
      <c r="HBG2" s="24" t="n"/>
      <c r="HBH2" s="24" t="n"/>
      <c r="HBI2" s="24" t="n"/>
      <c r="HBJ2" s="24" t="n"/>
      <c r="HBK2" s="24" t="n"/>
      <c r="HBL2" s="24" t="n"/>
      <c r="HBM2" s="24" t="n"/>
      <c r="HBN2" s="24" t="n"/>
      <c r="HBO2" s="24" t="n"/>
      <c r="HBP2" s="24" t="n"/>
      <c r="HBQ2" s="24" t="n"/>
      <c r="HBR2" s="24" t="n"/>
      <c r="HBS2" s="24" t="n"/>
      <c r="HBT2" s="24" t="n"/>
      <c r="HBU2" s="24" t="n"/>
      <c r="HBV2" s="24" t="n"/>
      <c r="HBW2" s="24" t="n"/>
      <c r="HBX2" s="24" t="n"/>
      <c r="HBY2" s="24" t="n"/>
      <c r="HBZ2" s="24" t="n"/>
      <c r="HCA2" s="24" t="n"/>
      <c r="HCB2" s="24" t="n"/>
      <c r="HCC2" s="24" t="n"/>
      <c r="HCD2" s="24" t="n"/>
      <c r="HCE2" s="24" t="n"/>
      <c r="HCF2" s="24" t="n"/>
      <c r="HCG2" s="24" t="n"/>
      <c r="HCH2" s="24" t="n"/>
      <c r="HCI2" s="24" t="n"/>
      <c r="HCJ2" s="24" t="n"/>
      <c r="HCK2" s="24" t="n"/>
      <c r="HCL2" s="24" t="n"/>
      <c r="HCM2" s="24" t="n"/>
      <c r="HCN2" s="24" t="n"/>
      <c r="HCO2" s="24" t="n"/>
      <c r="HCP2" s="24" t="n"/>
      <c r="HCQ2" s="24" t="n"/>
      <c r="HCR2" s="24" t="n"/>
      <c r="HCS2" s="24" t="n"/>
      <c r="HCT2" s="24" t="n"/>
      <c r="HCU2" s="24" t="n"/>
      <c r="HCV2" s="24" t="n"/>
      <c r="HCW2" s="24" t="n"/>
      <c r="HCX2" s="24" t="n"/>
      <c r="HCY2" s="24" t="n"/>
      <c r="HCZ2" s="24" t="n"/>
      <c r="HDA2" s="24" t="n"/>
      <c r="HDB2" s="24" t="n"/>
      <c r="HDC2" s="24" t="n"/>
      <c r="HDD2" s="24" t="n"/>
      <c r="HDE2" s="24" t="n"/>
      <c r="HDF2" s="24" t="n"/>
      <c r="HDG2" s="24" t="n"/>
      <c r="HDH2" s="24" t="n"/>
      <c r="HDI2" s="24" t="n"/>
      <c r="HDJ2" s="24" t="n"/>
      <c r="HDK2" s="24" t="n"/>
      <c r="HDL2" s="24" t="n"/>
      <c r="HDM2" s="24" t="n"/>
      <c r="HDN2" s="24" t="n"/>
      <c r="HDO2" s="24" t="n"/>
      <c r="HDP2" s="24" t="n"/>
      <c r="HDQ2" s="24" t="n"/>
      <c r="HDR2" s="24" t="n"/>
      <c r="HDS2" s="24" t="n"/>
      <c r="HDT2" s="24" t="n"/>
      <c r="HDU2" s="24" t="n"/>
      <c r="HDV2" s="24" t="n"/>
      <c r="HDW2" s="24" t="n"/>
      <c r="HDX2" s="24" t="n"/>
      <c r="HDY2" s="24" t="n"/>
      <c r="HDZ2" s="24" t="n"/>
      <c r="HEA2" s="24" t="n"/>
      <c r="HEB2" s="24" t="n"/>
      <c r="HEC2" s="24" t="n"/>
      <c r="HED2" s="24" t="n"/>
      <c r="HEE2" s="24" t="n"/>
      <c r="HEF2" s="24" t="n"/>
      <c r="HEG2" s="24" t="n"/>
      <c r="HEH2" s="24" t="n"/>
      <c r="HEI2" s="24" t="n"/>
      <c r="HEJ2" s="24" t="n"/>
      <c r="HEK2" s="24" t="n"/>
      <c r="HEL2" s="24" t="n"/>
      <c r="HEM2" s="24" t="n"/>
      <c r="HEN2" s="24" t="n"/>
      <c r="HEO2" s="24" t="n"/>
      <c r="HEP2" s="24" t="n"/>
      <c r="HEQ2" s="24" t="n"/>
      <c r="HER2" s="24" t="n"/>
      <c r="HES2" s="24" t="n"/>
      <c r="HET2" s="24" t="n"/>
      <c r="HEU2" s="24" t="n"/>
      <c r="HEV2" s="24" t="n"/>
      <c r="HEW2" s="24" t="n"/>
      <c r="HEX2" s="24" t="n"/>
      <c r="HEY2" s="24" t="n"/>
      <c r="HEZ2" s="24" t="n"/>
      <c r="HFA2" s="24" t="n"/>
      <c r="HFB2" s="24" t="n"/>
      <c r="HFC2" s="24" t="n"/>
      <c r="HFD2" s="24" t="n"/>
      <c r="HFE2" s="24" t="n"/>
      <c r="HFF2" s="24" t="n"/>
      <c r="HFG2" s="24" t="n"/>
      <c r="HFH2" s="24" t="n"/>
      <c r="HFI2" s="24" t="n"/>
      <c r="HFJ2" s="24" t="n"/>
      <c r="HFK2" s="24" t="n"/>
      <c r="HFL2" s="24" t="n"/>
      <c r="HFM2" s="24" t="n"/>
      <c r="HFN2" s="24" t="n"/>
      <c r="HFO2" s="24" t="n"/>
      <c r="HFP2" s="24" t="n"/>
      <c r="HFQ2" s="24" t="n"/>
      <c r="HFR2" s="24" t="n"/>
      <c r="HFS2" s="24" t="n"/>
      <c r="HFT2" s="24" t="n"/>
      <c r="HFU2" s="24" t="n"/>
      <c r="HFV2" s="24" t="n"/>
      <c r="HFW2" s="24" t="n"/>
      <c r="HFX2" s="24" t="n"/>
      <c r="HFY2" s="24" t="n"/>
      <c r="HFZ2" s="24" t="n"/>
      <c r="HGA2" s="24" t="n"/>
      <c r="HGB2" s="24" t="n"/>
      <c r="HGC2" s="24" t="n"/>
      <c r="HGD2" s="24" t="n"/>
      <c r="HGE2" s="24" t="n"/>
      <c r="HGF2" s="24" t="n"/>
      <c r="HGG2" s="24" t="n"/>
      <c r="HGH2" s="24" t="n"/>
      <c r="HGI2" s="24" t="n"/>
      <c r="HGJ2" s="24" t="n"/>
      <c r="HGK2" s="24" t="n"/>
      <c r="HGL2" s="24" t="n"/>
      <c r="HGM2" s="24" t="n"/>
      <c r="HGN2" s="24" t="n"/>
      <c r="HGO2" s="24" t="n"/>
      <c r="HGP2" s="24" t="n"/>
      <c r="HGQ2" s="24" t="n"/>
      <c r="HGR2" s="24" t="n"/>
      <c r="HGS2" s="24" t="n"/>
      <c r="HGT2" s="24" t="n"/>
      <c r="HGU2" s="24" t="n"/>
      <c r="HGV2" s="24" t="n"/>
      <c r="HGW2" s="24" t="n"/>
      <c r="HGX2" s="24" t="n"/>
      <c r="HGY2" s="24" t="n"/>
      <c r="HGZ2" s="24" t="n"/>
      <c r="HHA2" s="24" t="n"/>
      <c r="HHB2" s="24" t="n"/>
      <c r="HHC2" s="24" t="n"/>
      <c r="HHD2" s="24" t="n"/>
      <c r="HHE2" s="24" t="n"/>
      <c r="HHF2" s="24" t="n"/>
      <c r="HHG2" s="24" t="n"/>
      <c r="HHH2" s="24" t="n"/>
      <c r="HHI2" s="24" t="n"/>
      <c r="HHJ2" s="24" t="n"/>
      <c r="HHK2" s="24" t="n"/>
      <c r="HHL2" s="24" t="n"/>
      <c r="HHM2" s="24" t="n"/>
      <c r="HHN2" s="24" t="n"/>
      <c r="HHO2" s="24" t="n"/>
      <c r="HHP2" s="24" t="n"/>
      <c r="HHQ2" s="24" t="n"/>
      <c r="HHR2" s="24" t="n"/>
      <c r="HHS2" s="24" t="n"/>
      <c r="HHT2" s="24" t="n"/>
      <c r="HHU2" s="24" t="n"/>
      <c r="HHV2" s="24" t="n"/>
      <c r="HHW2" s="24" t="n"/>
      <c r="HHX2" s="24" t="n"/>
      <c r="HHY2" s="24" t="n"/>
      <c r="HHZ2" s="24" t="n"/>
      <c r="HIA2" s="24" t="n"/>
      <c r="HIB2" s="24" t="n"/>
      <c r="HIC2" s="24" t="n"/>
      <c r="HID2" s="24" t="n"/>
      <c r="HIE2" s="24" t="n"/>
      <c r="HIF2" s="24" t="n"/>
      <c r="HIG2" s="24" t="n"/>
      <c r="HIH2" s="24" t="n"/>
      <c r="HII2" s="24" t="n"/>
      <c r="HIJ2" s="24" t="n"/>
      <c r="HIK2" s="24" t="n"/>
      <c r="HIL2" s="24" t="n"/>
      <c r="HIM2" s="24" t="n"/>
      <c r="HIN2" s="24" t="n"/>
      <c r="HIO2" s="24" t="n"/>
      <c r="HIP2" s="24" t="n"/>
      <c r="HIQ2" s="24" t="n"/>
      <c r="HIR2" s="24" t="n"/>
      <c r="HIS2" s="24" t="n"/>
      <c r="HIT2" s="24" t="n"/>
      <c r="HIU2" s="24" t="n"/>
      <c r="HIV2" s="24" t="n"/>
      <c r="HIW2" s="24" t="n"/>
      <c r="HIX2" s="24" t="n"/>
      <c r="HIY2" s="24" t="n"/>
      <c r="HIZ2" s="24" t="n"/>
      <c r="HJA2" s="24" t="n"/>
      <c r="HJB2" s="24" t="n"/>
      <c r="HJC2" s="24" t="n"/>
      <c r="HJD2" s="24" t="n"/>
      <c r="HJE2" s="24" t="n"/>
      <c r="HJF2" s="24" t="n"/>
      <c r="HJG2" s="24" t="n"/>
      <c r="HJH2" s="24" t="n"/>
      <c r="HJI2" s="24" t="n"/>
      <c r="HJJ2" s="24" t="n"/>
      <c r="HJK2" s="24" t="n"/>
      <c r="HJL2" s="24" t="n"/>
      <c r="HJM2" s="24" t="n"/>
      <c r="HJN2" s="24" t="n"/>
      <c r="HJO2" s="24" t="n"/>
      <c r="HJP2" s="24" t="n"/>
      <c r="HJQ2" s="24" t="n"/>
      <c r="HJR2" s="24" t="n"/>
      <c r="HJS2" s="24" t="n"/>
      <c r="HJT2" s="24" t="n"/>
      <c r="HJU2" s="24" t="n"/>
      <c r="HJV2" s="24" t="n"/>
      <c r="HJW2" s="24" t="n"/>
      <c r="HJX2" s="24" t="n"/>
      <c r="HJY2" s="24" t="n"/>
      <c r="HJZ2" s="24" t="n"/>
      <c r="HKA2" s="24" t="n"/>
      <c r="HKB2" s="24" t="n"/>
      <c r="HKC2" s="24" t="n"/>
      <c r="HKD2" s="24" t="n"/>
      <c r="HKE2" s="24" t="n"/>
      <c r="HKF2" s="24" t="n"/>
      <c r="HKG2" s="24" t="n"/>
      <c r="HKH2" s="24" t="n"/>
      <c r="HKI2" s="24" t="n"/>
      <c r="HKJ2" s="24" t="n"/>
      <c r="HKK2" s="24" t="n"/>
      <c r="HKL2" s="24" t="n"/>
      <c r="HKM2" s="24" t="n"/>
      <c r="HKN2" s="24" t="n"/>
      <c r="HKO2" s="24" t="n"/>
      <c r="HKP2" s="24" t="n"/>
      <c r="HKQ2" s="24" t="n"/>
      <c r="HKR2" s="24" t="n"/>
      <c r="HKS2" s="24" t="n"/>
      <c r="HKT2" s="24" t="n"/>
      <c r="HKU2" s="24" t="n"/>
      <c r="HKV2" s="24" t="n"/>
      <c r="HKW2" s="24" t="n"/>
      <c r="HKX2" s="24" t="n"/>
      <c r="HKY2" s="24" t="n"/>
      <c r="HKZ2" s="24" t="n"/>
      <c r="HLA2" s="24" t="n"/>
      <c r="HLB2" s="24" t="n"/>
      <c r="HLC2" s="24" t="n"/>
      <c r="HLD2" s="24" t="n"/>
      <c r="HLE2" s="24" t="n"/>
      <c r="HLF2" s="24" t="n"/>
      <c r="HLG2" s="24" t="n"/>
      <c r="HLH2" s="24" t="n"/>
      <c r="HLI2" s="24" t="n"/>
      <c r="HLJ2" s="24" t="n"/>
      <c r="HLK2" s="24" t="n"/>
      <c r="HLL2" s="24" t="n"/>
      <c r="HLM2" s="24" t="n"/>
      <c r="HLN2" s="24" t="n"/>
      <c r="HLO2" s="24" t="n"/>
      <c r="HLP2" s="24" t="n"/>
      <c r="HLQ2" s="24" t="n"/>
      <c r="HLR2" s="24" t="n"/>
      <c r="HLS2" s="24" t="n"/>
      <c r="HLT2" s="24" t="n"/>
      <c r="HLU2" s="24" t="n"/>
      <c r="HLV2" s="24" t="n"/>
      <c r="HLW2" s="24" t="n"/>
      <c r="HLX2" s="24" t="n"/>
      <c r="HLY2" s="24" t="n"/>
      <c r="HLZ2" s="24" t="n"/>
      <c r="HMA2" s="24" t="n"/>
      <c r="HMB2" s="24" t="n"/>
      <c r="HMC2" s="24" t="n"/>
      <c r="HMD2" s="24" t="n"/>
      <c r="HME2" s="24" t="n"/>
      <c r="HMF2" s="24" t="n"/>
      <c r="HMG2" s="24" t="n"/>
      <c r="HMH2" s="24" t="n"/>
      <c r="HMI2" s="24" t="n"/>
      <c r="HMJ2" s="24" t="n"/>
      <c r="HMK2" s="24" t="n"/>
      <c r="HML2" s="24" t="n"/>
      <c r="HMM2" s="24" t="n"/>
      <c r="HMN2" s="24" t="n"/>
      <c r="HMO2" s="24" t="n"/>
      <c r="HMP2" s="24" t="n"/>
      <c r="HMQ2" s="24" t="n"/>
      <c r="HMR2" s="24" t="n"/>
      <c r="HMS2" s="24" t="n"/>
      <c r="HMT2" s="24" t="n"/>
      <c r="HMU2" s="24" t="n"/>
      <c r="HMV2" s="24" t="n"/>
      <c r="HMW2" s="24" t="n"/>
      <c r="HMX2" s="24" t="n"/>
      <c r="HMY2" s="24" t="n"/>
      <c r="HMZ2" s="24" t="n"/>
      <c r="HNA2" s="24" t="n"/>
      <c r="HNB2" s="24" t="n"/>
      <c r="HNC2" s="24" t="n"/>
      <c r="HND2" s="24" t="n"/>
      <c r="HNE2" s="24" t="n"/>
      <c r="HNF2" s="24" t="n"/>
      <c r="HNG2" s="24" t="n"/>
      <c r="HNH2" s="24" t="n"/>
      <c r="HNI2" s="24" t="n"/>
      <c r="HNJ2" s="24" t="n"/>
      <c r="HNK2" s="24" t="n"/>
      <c r="HNL2" s="24" t="n"/>
      <c r="HNM2" s="24" t="n"/>
      <c r="HNN2" s="24" t="n"/>
      <c r="HNO2" s="24" t="n"/>
      <c r="HNP2" s="24" t="n"/>
      <c r="HNQ2" s="24" t="n"/>
      <c r="HNR2" s="24" t="n"/>
      <c r="HNS2" s="24" t="n"/>
      <c r="HNT2" s="24" t="n"/>
      <c r="HNU2" s="24" t="n"/>
      <c r="HNV2" s="24" t="n"/>
      <c r="HNW2" s="24" t="n"/>
      <c r="HNX2" s="24" t="n"/>
      <c r="HNY2" s="24" t="n"/>
      <c r="HNZ2" s="24" t="n"/>
      <c r="HOA2" s="24" t="n"/>
      <c r="HOB2" s="24" t="n"/>
      <c r="HOC2" s="24" t="n"/>
      <c r="HOD2" s="24" t="n"/>
      <c r="HOE2" s="24" t="n"/>
      <c r="HOF2" s="24" t="n"/>
      <c r="HOG2" s="24" t="n"/>
      <c r="HOH2" s="24" t="n"/>
      <c r="HOI2" s="24" t="n"/>
      <c r="HOJ2" s="24" t="n"/>
      <c r="HOK2" s="24" t="n"/>
      <c r="HOL2" s="24" t="n"/>
      <c r="HOM2" s="24" t="n"/>
      <c r="HON2" s="24" t="n"/>
      <c r="HOO2" s="24" t="n"/>
      <c r="HOP2" s="24" t="n"/>
      <c r="HOQ2" s="24" t="n"/>
      <c r="HOR2" s="24" t="n"/>
      <c r="HOS2" s="24" t="n"/>
      <c r="HOT2" s="24" t="n"/>
      <c r="HOU2" s="24" t="n"/>
      <c r="HOV2" s="24" t="n"/>
      <c r="HOW2" s="24" t="n"/>
      <c r="HOX2" s="24" t="n"/>
      <c r="HOY2" s="24" t="n"/>
      <c r="HOZ2" s="24" t="n"/>
      <c r="HPA2" s="24" t="n"/>
      <c r="HPB2" s="24" t="n"/>
      <c r="HPC2" s="24" t="n"/>
      <c r="HPD2" s="24" t="n"/>
      <c r="HPE2" s="24" t="n"/>
      <c r="HPF2" s="24" t="n"/>
      <c r="HPG2" s="24" t="n"/>
      <c r="HPH2" s="24" t="n"/>
      <c r="HPI2" s="24" t="n"/>
      <c r="HPJ2" s="24" t="n"/>
      <c r="HPK2" s="24" t="n"/>
      <c r="HPL2" s="24" t="n"/>
      <c r="HPM2" s="24" t="n"/>
      <c r="HPN2" s="24" t="n"/>
      <c r="HPO2" s="24" t="n"/>
      <c r="HPP2" s="24" t="n"/>
      <c r="HPQ2" s="24" t="n"/>
      <c r="HPR2" s="24" t="n"/>
      <c r="HPS2" s="24" t="n"/>
      <c r="HPT2" s="24" t="n"/>
      <c r="HPU2" s="24" t="n"/>
      <c r="HPV2" s="24" t="n"/>
      <c r="HPW2" s="24" t="n"/>
      <c r="HPX2" s="24" t="n"/>
      <c r="HPY2" s="24" t="n"/>
      <c r="HPZ2" s="24" t="n"/>
      <c r="HQA2" s="24" t="n"/>
      <c r="HQB2" s="24" t="n"/>
      <c r="HQC2" s="24" t="n"/>
      <c r="HQD2" s="24" t="n"/>
      <c r="HQE2" s="24" t="n"/>
      <c r="HQF2" s="24" t="n"/>
      <c r="HQG2" s="24" t="n"/>
      <c r="HQH2" s="24" t="n"/>
      <c r="HQI2" s="24" t="n"/>
      <c r="HQJ2" s="24" t="n"/>
      <c r="HQK2" s="24" t="n"/>
      <c r="HQL2" s="24" t="n"/>
      <c r="HQM2" s="24" t="n"/>
      <c r="HQN2" s="24" t="n"/>
      <c r="HQO2" s="24" t="n"/>
      <c r="HQP2" s="24" t="n"/>
      <c r="HQQ2" s="24" t="n"/>
      <c r="HQR2" s="24" t="n"/>
      <c r="HQS2" s="24" t="n"/>
      <c r="HQT2" s="24" t="n"/>
      <c r="HQU2" s="24" t="n"/>
      <c r="HQV2" s="24" t="n"/>
      <c r="HQW2" s="24" t="n"/>
      <c r="HQX2" s="24" t="n"/>
      <c r="HQY2" s="24" t="n"/>
      <c r="HQZ2" s="24" t="n"/>
      <c r="HRA2" s="24" t="n"/>
      <c r="HRB2" s="24" t="n"/>
      <c r="HRC2" s="24" t="n"/>
      <c r="HRD2" s="24" t="n"/>
      <c r="HRE2" s="24" t="n"/>
      <c r="HRF2" s="24" t="n"/>
      <c r="HRG2" s="24" t="n"/>
      <c r="HRH2" s="24" t="n"/>
      <c r="HRI2" s="24" t="n"/>
      <c r="HRJ2" s="24" t="n"/>
      <c r="HRK2" s="24" t="n"/>
      <c r="HRL2" s="24" t="n"/>
      <c r="HRM2" s="24" t="n"/>
      <c r="HRN2" s="24" t="n"/>
      <c r="HRO2" s="24" t="n"/>
      <c r="HRP2" s="24" t="n"/>
      <c r="HRQ2" s="24" t="n"/>
      <c r="HRR2" s="24" t="n"/>
      <c r="HRS2" s="24" t="n"/>
      <c r="HRT2" s="24" t="n"/>
      <c r="HRU2" s="24" t="n"/>
      <c r="HRV2" s="24" t="n"/>
      <c r="HRW2" s="24" t="n"/>
      <c r="HRX2" s="24" t="n"/>
      <c r="HRY2" s="24" t="n"/>
      <c r="HRZ2" s="24" t="n"/>
      <c r="HSA2" s="24" t="n"/>
      <c r="HSB2" s="24" t="n"/>
      <c r="HSC2" s="24" t="n"/>
      <c r="HSD2" s="24" t="n"/>
      <c r="HSE2" s="24" t="n"/>
      <c r="HSF2" s="24" t="n"/>
      <c r="HSG2" s="24" t="n"/>
      <c r="HSH2" s="24" t="n"/>
      <c r="HSI2" s="24" t="n"/>
      <c r="HSJ2" s="24" t="n"/>
      <c r="HSK2" s="24" t="n"/>
      <c r="HSL2" s="24" t="n"/>
      <c r="HSM2" s="24" t="n"/>
      <c r="HSN2" s="24" t="n"/>
      <c r="HSO2" s="24" t="n"/>
      <c r="HSP2" s="24" t="n"/>
      <c r="HSQ2" s="24" t="n"/>
      <c r="HSR2" s="24" t="n"/>
      <c r="HSS2" s="24" t="n"/>
      <c r="HST2" s="24" t="n"/>
      <c r="HSU2" s="24" t="n"/>
      <c r="HSV2" s="24" t="n"/>
      <c r="HSW2" s="24" t="n"/>
      <c r="HSX2" s="24" t="n"/>
      <c r="HSY2" s="24" t="n"/>
      <c r="HSZ2" s="24" t="n"/>
      <c r="HTA2" s="24" t="n"/>
      <c r="HTB2" s="24" t="n"/>
      <c r="HTC2" s="24" t="n"/>
      <c r="HTD2" s="24" t="n"/>
      <c r="HTE2" s="24" t="n"/>
      <c r="HTF2" s="24" t="n"/>
      <c r="HTG2" s="24" t="n"/>
      <c r="HTH2" s="24" t="n"/>
      <c r="HTI2" s="24" t="n"/>
      <c r="HTJ2" s="24" t="n"/>
      <c r="HTK2" s="24" t="n"/>
      <c r="HTL2" s="24" t="n"/>
      <c r="HTM2" s="24" t="n"/>
      <c r="HTN2" s="24" t="n"/>
      <c r="HTO2" s="24" t="n"/>
      <c r="HTP2" s="24" t="n"/>
      <c r="HTQ2" s="24" t="n"/>
      <c r="HTR2" s="24" t="n"/>
      <c r="HTS2" s="24" t="n"/>
      <c r="HTT2" s="24" t="n"/>
      <c r="HTU2" s="24" t="n"/>
      <c r="HTV2" s="24" t="n"/>
      <c r="HTW2" s="24" t="n"/>
      <c r="HTX2" s="24" t="n"/>
      <c r="HTY2" s="24" t="n"/>
      <c r="HTZ2" s="24" t="n"/>
      <c r="HUA2" s="24" t="n"/>
      <c r="HUB2" s="24" t="n"/>
      <c r="HUC2" s="24" t="n"/>
      <c r="HUD2" s="24" t="n"/>
      <c r="HUE2" s="24" t="n"/>
      <c r="HUF2" s="24" t="n"/>
      <c r="HUG2" s="24" t="n"/>
      <c r="HUH2" s="24" t="n"/>
      <c r="HUI2" s="24" t="n"/>
      <c r="HUJ2" s="24" t="n"/>
      <c r="HUK2" s="24" t="n"/>
      <c r="HUL2" s="24" t="n"/>
      <c r="HUM2" s="24" t="n"/>
      <c r="HUN2" s="24" t="n"/>
      <c r="HUO2" s="24" t="n"/>
      <c r="HUP2" s="24" t="n"/>
      <c r="HUQ2" s="24" t="n"/>
      <c r="HUR2" s="24" t="n"/>
      <c r="HUS2" s="24" t="n"/>
      <c r="HUT2" s="24" t="n"/>
      <c r="HUU2" s="24" t="n"/>
      <c r="HUV2" s="24" t="n"/>
      <c r="HUW2" s="24" t="n"/>
      <c r="HUX2" s="24" t="n"/>
      <c r="HUY2" s="24" t="n"/>
      <c r="HUZ2" s="24" t="n"/>
      <c r="HVA2" s="24" t="n"/>
      <c r="HVB2" s="24" t="n"/>
      <c r="HVC2" s="24" t="n"/>
      <c r="HVD2" s="24" t="n"/>
      <c r="HVE2" s="24" t="n"/>
      <c r="HVF2" s="24" t="n"/>
      <c r="HVG2" s="24" t="n"/>
      <c r="HVH2" s="24" t="n"/>
      <c r="HVI2" s="24" t="n"/>
      <c r="HVJ2" s="24" t="n"/>
      <c r="HVK2" s="24" t="n"/>
      <c r="HVL2" s="24" t="n"/>
      <c r="HVM2" s="24" t="n"/>
      <c r="HVN2" s="24" t="n"/>
      <c r="HVO2" s="24" t="n"/>
      <c r="HVP2" s="24" t="n"/>
      <c r="HVQ2" s="24" t="n"/>
      <c r="HVR2" s="24" t="n"/>
      <c r="HVS2" s="24" t="n"/>
      <c r="HVT2" s="24" t="n"/>
      <c r="HVU2" s="24" t="n"/>
      <c r="HVV2" s="24" t="n"/>
      <c r="HVW2" s="24" t="n"/>
      <c r="HVX2" s="24" t="n"/>
      <c r="HVY2" s="24" t="n"/>
      <c r="HVZ2" s="24" t="n"/>
      <c r="HWA2" s="24" t="n"/>
      <c r="HWB2" s="24" t="n"/>
      <c r="HWC2" s="24" t="n"/>
      <c r="HWD2" s="24" t="n"/>
      <c r="HWE2" s="24" t="n"/>
      <c r="HWF2" s="24" t="n"/>
      <c r="HWG2" s="24" t="n"/>
      <c r="HWH2" s="24" t="n"/>
      <c r="HWI2" s="24" t="n"/>
      <c r="HWJ2" s="24" t="n"/>
      <c r="HWK2" s="24" t="n"/>
      <c r="HWL2" s="24" t="n"/>
      <c r="HWM2" s="24" t="n"/>
      <c r="HWN2" s="24" t="n"/>
      <c r="HWO2" s="24" t="n"/>
      <c r="HWP2" s="24" t="n"/>
      <c r="HWQ2" s="24" t="n"/>
      <c r="HWR2" s="24" t="n"/>
      <c r="HWS2" s="24" t="n"/>
      <c r="HWT2" s="24" t="n"/>
      <c r="HWU2" s="24" t="n"/>
      <c r="HWV2" s="24" t="n"/>
      <c r="HWW2" s="24" t="n"/>
      <c r="HWX2" s="24" t="n"/>
      <c r="HWY2" s="24" t="n"/>
      <c r="HWZ2" s="24" t="n"/>
      <c r="HXA2" s="24" t="n"/>
      <c r="HXB2" s="24" t="n"/>
      <c r="HXC2" s="24" t="n"/>
      <c r="HXD2" s="24" t="n"/>
      <c r="HXE2" s="24" t="n"/>
      <c r="HXF2" s="24" t="n"/>
      <c r="HXG2" s="24" t="n"/>
      <c r="HXH2" s="24" t="n"/>
      <c r="HXI2" s="24" t="n"/>
      <c r="HXJ2" s="24" t="n"/>
      <c r="HXK2" s="24" t="n"/>
      <c r="HXL2" s="24" t="n"/>
      <c r="HXM2" s="24" t="n"/>
      <c r="HXN2" s="24" t="n"/>
      <c r="HXO2" s="24" t="n"/>
      <c r="HXP2" s="24" t="n"/>
      <c r="HXQ2" s="24" t="n"/>
      <c r="HXR2" s="24" t="n"/>
      <c r="HXS2" s="24" t="n"/>
      <c r="HXT2" s="24" t="n"/>
      <c r="HXU2" s="24" t="n"/>
      <c r="HXV2" s="24" t="n"/>
      <c r="HXW2" s="24" t="n"/>
      <c r="HXX2" s="24" t="n"/>
      <c r="HXY2" s="24" t="n"/>
      <c r="HXZ2" s="24" t="n"/>
      <c r="HYA2" s="24" t="n"/>
      <c r="HYB2" s="24" t="n"/>
      <c r="HYC2" s="24" t="n"/>
      <c r="HYD2" s="24" t="n"/>
      <c r="HYE2" s="24" t="n"/>
      <c r="HYF2" s="24" t="n"/>
      <c r="HYG2" s="24" t="n"/>
      <c r="HYH2" s="24" t="n"/>
      <c r="HYI2" s="24" t="n"/>
      <c r="HYJ2" s="24" t="n"/>
      <c r="HYK2" s="24" t="n"/>
      <c r="HYL2" s="24" t="n"/>
      <c r="HYM2" s="24" t="n"/>
      <c r="HYN2" s="24" t="n"/>
      <c r="HYO2" s="24" t="n"/>
      <c r="HYP2" s="24" t="n"/>
      <c r="HYQ2" s="24" t="n"/>
      <c r="HYR2" s="24" t="n"/>
      <c r="HYS2" s="24" t="n"/>
      <c r="HYT2" s="24" t="n"/>
      <c r="HYU2" s="24" t="n"/>
      <c r="HYV2" s="24" t="n"/>
      <c r="HYW2" s="24" t="n"/>
      <c r="HYX2" s="24" t="n"/>
      <c r="HYY2" s="24" t="n"/>
      <c r="HYZ2" s="24" t="n"/>
      <c r="HZA2" s="24" t="n"/>
      <c r="HZB2" s="24" t="n"/>
      <c r="HZC2" s="24" t="n"/>
      <c r="HZD2" s="24" t="n"/>
      <c r="HZE2" s="24" t="n"/>
      <c r="HZF2" s="24" t="n"/>
      <c r="HZG2" s="24" t="n"/>
      <c r="HZH2" s="24" t="n"/>
      <c r="HZI2" s="24" t="n"/>
      <c r="HZJ2" s="24" t="n"/>
      <c r="HZK2" s="24" t="n"/>
      <c r="HZL2" s="24" t="n"/>
      <c r="HZM2" s="24" t="n"/>
      <c r="HZN2" s="24" t="n"/>
      <c r="HZO2" s="24" t="n"/>
      <c r="HZP2" s="24" t="n"/>
      <c r="HZQ2" s="24" t="n"/>
      <c r="HZR2" s="24" t="n"/>
      <c r="HZS2" s="24" t="n"/>
      <c r="HZT2" s="24" t="n"/>
      <c r="HZU2" s="24" t="n"/>
      <c r="HZV2" s="24" t="n"/>
      <c r="HZW2" s="24" t="n"/>
      <c r="HZX2" s="24" t="n"/>
      <c r="HZY2" s="24" t="n"/>
      <c r="HZZ2" s="24" t="n"/>
      <c r="IAA2" s="24" t="n"/>
      <c r="IAB2" s="24" t="n"/>
      <c r="IAC2" s="24" t="n"/>
      <c r="IAD2" s="24" t="n"/>
      <c r="IAE2" s="24" t="n"/>
      <c r="IAF2" s="24" t="n"/>
      <c r="IAG2" s="24" t="n"/>
      <c r="IAH2" s="24" t="n"/>
      <c r="IAI2" s="24" t="n"/>
      <c r="IAJ2" s="24" t="n"/>
      <c r="IAK2" s="24" t="n"/>
      <c r="IAL2" s="24" t="n"/>
      <c r="IAM2" s="24" t="n"/>
      <c r="IAN2" s="24" t="n"/>
      <c r="IAO2" s="24" t="n"/>
      <c r="IAP2" s="24" t="n"/>
      <c r="IAQ2" s="24" t="n"/>
      <c r="IAR2" s="24" t="n"/>
      <c r="IAS2" s="24" t="n"/>
      <c r="IAT2" s="24" t="n"/>
      <c r="IAU2" s="24" t="n"/>
      <c r="IAV2" s="24" t="n"/>
      <c r="IAW2" s="24" t="n"/>
      <c r="IAX2" s="24" t="n"/>
      <c r="IAY2" s="24" t="n"/>
      <c r="IAZ2" s="24" t="n"/>
      <c r="IBA2" s="24" t="n"/>
      <c r="IBB2" s="24" t="n"/>
      <c r="IBC2" s="24" t="n"/>
      <c r="IBD2" s="24" t="n"/>
      <c r="IBE2" s="24" t="n"/>
      <c r="IBF2" s="24" t="n"/>
      <c r="IBG2" s="24" t="n"/>
      <c r="IBH2" s="24" t="n"/>
      <c r="IBI2" s="24" t="n"/>
      <c r="IBJ2" s="24" t="n"/>
      <c r="IBK2" s="24" t="n"/>
      <c r="IBL2" s="24" t="n"/>
      <c r="IBM2" s="24" t="n"/>
      <c r="IBN2" s="24" t="n"/>
      <c r="IBO2" s="24" t="n"/>
      <c r="IBP2" s="24" t="n"/>
      <c r="IBQ2" s="24" t="n"/>
      <c r="IBR2" s="24" t="n"/>
      <c r="IBS2" s="24" t="n"/>
      <c r="IBT2" s="24" t="n"/>
      <c r="IBU2" s="24" t="n"/>
      <c r="IBV2" s="24" t="n"/>
      <c r="IBW2" s="24" t="n"/>
      <c r="IBX2" s="24" t="n"/>
      <c r="IBY2" s="24" t="n"/>
      <c r="IBZ2" s="24" t="n"/>
      <c r="ICA2" s="24" t="n"/>
      <c r="ICB2" s="24" t="n"/>
      <c r="ICC2" s="24" t="n"/>
      <c r="ICD2" s="24" t="n"/>
      <c r="ICE2" s="24" t="n"/>
      <c r="ICF2" s="24" t="n"/>
      <c r="ICG2" s="24" t="n"/>
      <c r="ICH2" s="24" t="n"/>
      <c r="ICI2" s="24" t="n"/>
      <c r="ICJ2" s="24" t="n"/>
      <c r="ICK2" s="24" t="n"/>
      <c r="ICL2" s="24" t="n"/>
      <c r="ICM2" s="24" t="n"/>
      <c r="ICN2" s="24" t="n"/>
      <c r="ICO2" s="24" t="n"/>
      <c r="ICP2" s="24" t="n"/>
      <c r="ICQ2" s="24" t="n"/>
      <c r="ICR2" s="24" t="n"/>
      <c r="ICS2" s="24" t="n"/>
      <c r="ICT2" s="24" t="n"/>
      <c r="ICU2" s="24" t="n"/>
      <c r="ICV2" s="24" t="n"/>
      <c r="ICW2" s="24" t="n"/>
      <c r="ICX2" s="24" t="n"/>
      <c r="ICY2" s="24" t="n"/>
      <c r="ICZ2" s="24" t="n"/>
      <c r="IDA2" s="24" t="n"/>
      <c r="IDB2" s="24" t="n"/>
      <c r="IDC2" s="24" t="n"/>
      <c r="IDD2" s="24" t="n"/>
      <c r="IDE2" s="24" t="n"/>
      <c r="IDF2" s="24" t="n"/>
      <c r="IDG2" s="24" t="n"/>
      <c r="IDH2" s="24" t="n"/>
      <c r="IDI2" s="24" t="n"/>
      <c r="IDJ2" s="24" t="n"/>
      <c r="IDK2" s="24" t="n"/>
      <c r="IDL2" s="24" t="n"/>
      <c r="IDM2" s="24" t="n"/>
      <c r="IDN2" s="24" t="n"/>
      <c r="IDO2" s="24" t="n"/>
      <c r="IDP2" s="24" t="n"/>
      <c r="IDQ2" s="24" t="n"/>
      <c r="IDR2" s="24" t="n"/>
      <c r="IDS2" s="24" t="n"/>
      <c r="IDT2" s="24" t="n"/>
      <c r="IDU2" s="24" t="n"/>
      <c r="IDV2" s="24" t="n"/>
      <c r="IDW2" s="24" t="n"/>
      <c r="IDX2" s="24" t="n"/>
      <c r="IDY2" s="24" t="n"/>
      <c r="IDZ2" s="24" t="n"/>
      <c r="IEA2" s="24" t="n"/>
      <c r="IEB2" s="24" t="n"/>
      <c r="IEC2" s="24" t="n"/>
      <c r="IED2" s="24" t="n"/>
      <c r="IEE2" s="24" t="n"/>
      <c r="IEF2" s="24" t="n"/>
      <c r="IEG2" s="24" t="n"/>
      <c r="IEH2" s="24" t="n"/>
      <c r="IEI2" s="24" t="n"/>
      <c r="IEJ2" s="24" t="n"/>
      <c r="IEK2" s="24" t="n"/>
      <c r="IEL2" s="24" t="n"/>
      <c r="IEM2" s="24" t="n"/>
      <c r="IEN2" s="24" t="n"/>
      <c r="IEO2" s="24" t="n"/>
      <c r="IEP2" s="24" t="n"/>
      <c r="IEQ2" s="24" t="n"/>
      <c r="IER2" s="24" t="n"/>
      <c r="IES2" s="24" t="n"/>
      <c r="IET2" s="24" t="n"/>
      <c r="IEU2" s="24" t="n"/>
      <c r="IEV2" s="24" t="n"/>
      <c r="IEW2" s="24" t="n"/>
      <c r="IEX2" s="24" t="n"/>
      <c r="IEY2" s="24" t="n"/>
      <c r="IEZ2" s="24" t="n"/>
      <c r="IFA2" s="24" t="n"/>
      <c r="IFB2" s="24" t="n"/>
      <c r="IFC2" s="24" t="n"/>
      <c r="IFD2" s="24" t="n"/>
      <c r="IFE2" s="24" t="n"/>
      <c r="IFF2" s="24" t="n"/>
      <c r="IFG2" s="24" t="n"/>
      <c r="IFH2" s="24" t="n"/>
      <c r="IFI2" s="24" t="n"/>
      <c r="IFJ2" s="24" t="n"/>
      <c r="IFK2" s="24" t="n"/>
      <c r="IFL2" s="24" t="n"/>
      <c r="IFM2" s="24" t="n"/>
      <c r="IFN2" s="24" t="n"/>
      <c r="IFO2" s="24" t="n"/>
      <c r="IFP2" s="24" t="n"/>
      <c r="IFQ2" s="24" t="n"/>
      <c r="IFR2" s="24" t="n"/>
      <c r="IFS2" s="24" t="n"/>
      <c r="IFT2" s="24" t="n"/>
      <c r="IFU2" s="24" t="n"/>
      <c r="IFV2" s="24" t="n"/>
      <c r="IFW2" s="24" t="n"/>
      <c r="IFX2" s="24" t="n"/>
      <c r="IFY2" s="24" t="n"/>
      <c r="IFZ2" s="24" t="n"/>
      <c r="IGA2" s="24" t="n"/>
      <c r="IGB2" s="24" t="n"/>
      <c r="IGC2" s="24" t="n"/>
      <c r="IGD2" s="24" t="n"/>
      <c r="IGE2" s="24" t="n"/>
      <c r="IGF2" s="24" t="n"/>
      <c r="IGG2" s="24" t="n"/>
      <c r="IGH2" s="24" t="n"/>
      <c r="IGI2" s="24" t="n"/>
      <c r="IGJ2" s="24" t="n"/>
      <c r="IGK2" s="24" t="n"/>
      <c r="IGL2" s="24" t="n"/>
      <c r="IGM2" s="24" t="n"/>
      <c r="IGN2" s="24" t="n"/>
      <c r="IGO2" s="24" t="n"/>
      <c r="IGP2" s="24" t="n"/>
      <c r="IGQ2" s="24" t="n"/>
      <c r="IGR2" s="24" t="n"/>
      <c r="IGS2" s="24" t="n"/>
      <c r="IGT2" s="24" t="n"/>
      <c r="IGU2" s="24" t="n"/>
      <c r="IGV2" s="24" t="n"/>
      <c r="IGW2" s="24" t="n"/>
      <c r="IGX2" s="24" t="n"/>
      <c r="IGY2" s="24" t="n"/>
      <c r="IGZ2" s="24" t="n"/>
      <c r="IHA2" s="24" t="n"/>
      <c r="IHB2" s="24" t="n"/>
      <c r="IHC2" s="24" t="n"/>
      <c r="IHD2" s="24" t="n"/>
      <c r="IHE2" s="24" t="n"/>
      <c r="IHF2" s="24" t="n"/>
      <c r="IHG2" s="24" t="n"/>
      <c r="IHH2" s="24" t="n"/>
      <c r="IHI2" s="24" t="n"/>
      <c r="IHJ2" s="24" t="n"/>
      <c r="IHK2" s="24" t="n"/>
      <c r="IHL2" s="24" t="n"/>
      <c r="IHM2" s="24" t="n"/>
      <c r="IHN2" s="24" t="n"/>
      <c r="IHO2" s="24" t="n"/>
      <c r="IHP2" s="24" t="n"/>
      <c r="IHQ2" s="24" t="n"/>
      <c r="IHR2" s="24" t="n"/>
      <c r="IHS2" s="24" t="n"/>
      <c r="IHT2" s="24" t="n"/>
      <c r="IHU2" s="24" t="n"/>
      <c r="IHV2" s="24" t="n"/>
      <c r="IHW2" s="24" t="n"/>
      <c r="IHX2" s="24" t="n"/>
      <c r="IHY2" s="24" t="n"/>
      <c r="IHZ2" s="24" t="n"/>
      <c r="IIA2" s="24" t="n"/>
      <c r="IIB2" s="24" t="n"/>
      <c r="IIC2" s="24" t="n"/>
      <c r="IID2" s="24" t="n"/>
      <c r="IIE2" s="24" t="n"/>
      <c r="IIF2" s="24" t="n"/>
      <c r="IIG2" s="24" t="n"/>
      <c r="IIH2" s="24" t="n"/>
      <c r="III2" s="24" t="n"/>
      <c r="IIJ2" s="24" t="n"/>
      <c r="IIK2" s="24" t="n"/>
      <c r="IIL2" s="24" t="n"/>
      <c r="IIM2" s="24" t="n"/>
      <c r="IIN2" s="24" t="n"/>
      <c r="IIO2" s="24" t="n"/>
      <c r="IIP2" s="24" t="n"/>
      <c r="IIQ2" s="24" t="n"/>
      <c r="IIR2" s="24" t="n"/>
      <c r="IIS2" s="24" t="n"/>
      <c r="IIT2" s="24" t="n"/>
      <c r="IIU2" s="24" t="n"/>
      <c r="IIV2" s="24" t="n"/>
      <c r="IIW2" s="24" t="n"/>
      <c r="IIX2" s="24" t="n"/>
      <c r="IIY2" s="24" t="n"/>
      <c r="IIZ2" s="24" t="n"/>
      <c r="IJA2" s="24" t="n"/>
      <c r="IJB2" s="24" t="n"/>
      <c r="IJC2" s="24" t="n"/>
      <c r="IJD2" s="24" t="n"/>
      <c r="IJE2" s="24" t="n"/>
      <c r="IJF2" s="24" t="n"/>
      <c r="IJG2" s="24" t="n"/>
      <c r="IJH2" s="24" t="n"/>
      <c r="IJI2" s="24" t="n"/>
      <c r="IJJ2" s="24" t="n"/>
      <c r="IJK2" s="24" t="n"/>
      <c r="IJL2" s="24" t="n"/>
      <c r="IJM2" s="24" t="n"/>
      <c r="IJN2" s="24" t="n"/>
      <c r="IJO2" s="24" t="n"/>
      <c r="IJP2" s="24" t="n"/>
      <c r="IJQ2" s="24" t="n"/>
      <c r="IJR2" s="24" t="n"/>
      <c r="IJS2" s="24" t="n"/>
      <c r="IJT2" s="24" t="n"/>
      <c r="IJU2" s="24" t="n"/>
      <c r="IJV2" s="24" t="n"/>
      <c r="IJW2" s="24" t="n"/>
      <c r="IJX2" s="24" t="n"/>
      <c r="IJY2" s="24" t="n"/>
      <c r="IJZ2" s="24" t="n"/>
      <c r="IKA2" s="24" t="n"/>
      <c r="IKB2" s="24" t="n"/>
      <c r="IKC2" s="24" t="n"/>
      <c r="IKD2" s="24" t="n"/>
      <c r="IKE2" s="24" t="n"/>
      <c r="IKF2" s="24" t="n"/>
      <c r="IKG2" s="24" t="n"/>
      <c r="IKH2" s="24" t="n"/>
      <c r="IKI2" s="24" t="n"/>
      <c r="IKJ2" s="24" t="n"/>
      <c r="IKK2" s="24" t="n"/>
      <c r="IKL2" s="24" t="n"/>
      <c r="IKM2" s="24" t="n"/>
      <c r="IKN2" s="24" t="n"/>
      <c r="IKO2" s="24" t="n"/>
      <c r="IKP2" s="24" t="n"/>
      <c r="IKQ2" s="24" t="n"/>
      <c r="IKR2" s="24" t="n"/>
      <c r="IKS2" s="24" t="n"/>
      <c r="IKT2" s="24" t="n"/>
      <c r="IKU2" s="24" t="n"/>
      <c r="IKV2" s="24" t="n"/>
      <c r="IKW2" s="24" t="n"/>
      <c r="IKX2" s="24" t="n"/>
      <c r="IKY2" s="24" t="n"/>
      <c r="IKZ2" s="24" t="n"/>
      <c r="ILA2" s="24" t="n"/>
      <c r="ILB2" s="24" t="n"/>
      <c r="ILC2" s="24" t="n"/>
      <c r="ILD2" s="24" t="n"/>
      <c r="ILE2" s="24" t="n"/>
      <c r="ILF2" s="24" t="n"/>
      <c r="ILG2" s="24" t="n"/>
      <c r="ILH2" s="24" t="n"/>
      <c r="ILI2" s="24" t="n"/>
      <c r="ILJ2" s="24" t="n"/>
      <c r="ILK2" s="24" t="n"/>
      <c r="ILL2" s="24" t="n"/>
      <c r="ILM2" s="24" t="n"/>
      <c r="ILN2" s="24" t="n"/>
      <c r="ILO2" s="24" t="n"/>
      <c r="ILP2" s="24" t="n"/>
      <c r="ILQ2" s="24" t="n"/>
      <c r="ILR2" s="24" t="n"/>
      <c r="ILS2" s="24" t="n"/>
      <c r="ILT2" s="24" t="n"/>
      <c r="ILU2" s="24" t="n"/>
      <c r="ILV2" s="24" t="n"/>
      <c r="ILW2" s="24" t="n"/>
      <c r="ILX2" s="24" t="n"/>
      <c r="ILY2" s="24" t="n"/>
      <c r="ILZ2" s="24" t="n"/>
      <c r="IMA2" s="24" t="n"/>
      <c r="IMB2" s="24" t="n"/>
      <c r="IMC2" s="24" t="n"/>
      <c r="IMD2" s="24" t="n"/>
      <c r="IME2" s="24" t="n"/>
      <c r="IMF2" s="24" t="n"/>
      <c r="IMG2" s="24" t="n"/>
      <c r="IMH2" s="24" t="n"/>
      <c r="IMI2" s="24" t="n"/>
      <c r="IMJ2" s="24" t="n"/>
      <c r="IMK2" s="24" t="n"/>
      <c r="IML2" s="24" t="n"/>
      <c r="IMM2" s="24" t="n"/>
      <c r="IMN2" s="24" t="n"/>
      <c r="IMO2" s="24" t="n"/>
      <c r="IMP2" s="24" t="n"/>
      <c r="IMQ2" s="24" t="n"/>
      <c r="IMR2" s="24" t="n"/>
      <c r="IMS2" s="24" t="n"/>
      <c r="IMT2" s="24" t="n"/>
      <c r="IMU2" s="24" t="n"/>
      <c r="IMV2" s="24" t="n"/>
      <c r="IMW2" s="24" t="n"/>
      <c r="IMX2" s="24" t="n"/>
      <c r="IMY2" s="24" t="n"/>
      <c r="IMZ2" s="24" t="n"/>
      <c r="INA2" s="24" t="n"/>
      <c r="INB2" s="24" t="n"/>
      <c r="INC2" s="24" t="n"/>
      <c r="IND2" s="24" t="n"/>
      <c r="INE2" s="24" t="n"/>
      <c r="INF2" s="24" t="n"/>
      <c r="ING2" s="24" t="n"/>
      <c r="INH2" s="24" t="n"/>
      <c r="INI2" s="24" t="n"/>
      <c r="INJ2" s="24" t="n"/>
      <c r="INK2" s="24" t="n"/>
      <c r="INL2" s="24" t="n"/>
      <c r="INM2" s="24" t="n"/>
      <c r="INN2" s="24" t="n"/>
      <c r="INO2" s="24" t="n"/>
      <c r="INP2" s="24" t="n"/>
      <c r="INQ2" s="24" t="n"/>
      <c r="INR2" s="24" t="n"/>
      <c r="INS2" s="24" t="n"/>
      <c r="INT2" s="24" t="n"/>
      <c r="INU2" s="24" t="n"/>
      <c r="INV2" s="24" t="n"/>
      <c r="INW2" s="24" t="n"/>
      <c r="INX2" s="24" t="n"/>
      <c r="INY2" s="24" t="n"/>
      <c r="INZ2" s="24" t="n"/>
      <c r="IOA2" s="24" t="n"/>
      <c r="IOB2" s="24" t="n"/>
      <c r="IOC2" s="24" t="n"/>
      <c r="IOD2" s="24" t="n"/>
      <c r="IOE2" s="24" t="n"/>
      <c r="IOF2" s="24" t="n"/>
      <c r="IOG2" s="24" t="n"/>
      <c r="IOH2" s="24" t="n"/>
      <c r="IOI2" s="24" t="n"/>
      <c r="IOJ2" s="24" t="n"/>
      <c r="IOK2" s="24" t="n"/>
      <c r="IOL2" s="24" t="n"/>
      <c r="IOM2" s="24" t="n"/>
      <c r="ION2" s="24" t="n"/>
      <c r="IOO2" s="24" t="n"/>
      <c r="IOP2" s="24" t="n"/>
      <c r="IOQ2" s="24" t="n"/>
      <c r="IOR2" s="24" t="n"/>
      <c r="IOS2" s="24" t="n"/>
      <c r="IOT2" s="24" t="n"/>
      <c r="IOU2" s="24" t="n"/>
      <c r="IOV2" s="24" t="n"/>
      <c r="IOW2" s="24" t="n"/>
      <c r="IOX2" s="24" t="n"/>
      <c r="IOY2" s="24" t="n"/>
      <c r="IOZ2" s="24" t="n"/>
      <c r="IPA2" s="24" t="n"/>
      <c r="IPB2" s="24" t="n"/>
      <c r="IPC2" s="24" t="n"/>
      <c r="IPD2" s="24" t="n"/>
      <c r="IPE2" s="24" t="n"/>
      <c r="IPF2" s="24" t="n"/>
      <c r="IPG2" s="24" t="n"/>
      <c r="IPH2" s="24" t="n"/>
      <c r="IPI2" s="24" t="n"/>
      <c r="IPJ2" s="24" t="n"/>
      <c r="IPK2" s="24" t="n"/>
      <c r="IPL2" s="24" t="n"/>
      <c r="IPM2" s="24" t="n"/>
      <c r="IPN2" s="24" t="n"/>
      <c r="IPO2" s="24" t="n"/>
      <c r="IPP2" s="24" t="n"/>
      <c r="IPQ2" s="24" t="n"/>
      <c r="IPR2" s="24" t="n"/>
      <c r="IPS2" s="24" t="n"/>
      <c r="IPT2" s="24" t="n"/>
      <c r="IPU2" s="24" t="n"/>
      <c r="IPV2" s="24" t="n"/>
      <c r="IPW2" s="24" t="n"/>
      <c r="IPX2" s="24" t="n"/>
      <c r="IPY2" s="24" t="n"/>
      <c r="IPZ2" s="24" t="n"/>
      <c r="IQA2" s="24" t="n"/>
      <c r="IQB2" s="24" t="n"/>
      <c r="IQC2" s="24" t="n"/>
      <c r="IQD2" s="24" t="n"/>
      <c r="IQE2" s="24" t="n"/>
      <c r="IQF2" s="24" t="n"/>
      <c r="IQG2" s="24" t="n"/>
      <c r="IQH2" s="24" t="n"/>
      <c r="IQI2" s="24" t="n"/>
      <c r="IQJ2" s="24" t="n"/>
      <c r="IQK2" s="24" t="n"/>
      <c r="IQL2" s="24" t="n"/>
      <c r="IQM2" s="24" t="n"/>
      <c r="IQN2" s="24" t="n"/>
      <c r="IQO2" s="24" t="n"/>
      <c r="IQP2" s="24" t="n"/>
      <c r="IQQ2" s="24" t="n"/>
      <c r="IQR2" s="24" t="n"/>
      <c r="IQS2" s="24" t="n"/>
      <c r="IQT2" s="24" t="n"/>
      <c r="IQU2" s="24" t="n"/>
      <c r="IQV2" s="24" t="n"/>
      <c r="IQW2" s="24" t="n"/>
      <c r="IQX2" s="24" t="n"/>
      <c r="IQY2" s="24" t="n"/>
      <c r="IQZ2" s="24" t="n"/>
      <c r="IRA2" s="24" t="n"/>
      <c r="IRB2" s="24" t="n"/>
      <c r="IRC2" s="24" t="n"/>
      <c r="IRD2" s="24" t="n"/>
      <c r="IRE2" s="24" t="n"/>
      <c r="IRF2" s="24" t="n"/>
      <c r="IRG2" s="24" t="n"/>
      <c r="IRH2" s="24" t="n"/>
      <c r="IRI2" s="24" t="n"/>
      <c r="IRJ2" s="24" t="n"/>
      <c r="IRK2" s="24" t="n"/>
      <c r="IRL2" s="24" t="n"/>
      <c r="IRM2" s="24" t="n"/>
      <c r="IRN2" s="24" t="n"/>
      <c r="IRO2" s="24" t="n"/>
      <c r="IRP2" s="24" t="n"/>
      <c r="IRQ2" s="24" t="n"/>
      <c r="IRR2" s="24" t="n"/>
      <c r="IRS2" s="24" t="n"/>
      <c r="IRT2" s="24" t="n"/>
      <c r="IRU2" s="24" t="n"/>
      <c r="IRV2" s="24" t="n"/>
      <c r="IRW2" s="24" t="n"/>
      <c r="IRX2" s="24" t="n"/>
      <c r="IRY2" s="24" t="n"/>
      <c r="IRZ2" s="24" t="n"/>
      <c r="ISA2" s="24" t="n"/>
      <c r="ISB2" s="24" t="n"/>
      <c r="ISC2" s="24" t="n"/>
      <c r="ISD2" s="24" t="n"/>
      <c r="ISE2" s="24" t="n"/>
      <c r="ISF2" s="24" t="n"/>
      <c r="ISG2" s="24" t="n"/>
      <c r="ISH2" s="24" t="n"/>
      <c r="ISI2" s="24" t="n"/>
      <c r="ISJ2" s="24" t="n"/>
      <c r="ISK2" s="24" t="n"/>
      <c r="ISL2" s="24" t="n"/>
      <c r="ISM2" s="24" t="n"/>
      <c r="ISN2" s="24" t="n"/>
      <c r="ISO2" s="24" t="n"/>
      <c r="ISP2" s="24" t="n"/>
      <c r="ISQ2" s="24" t="n"/>
      <c r="ISR2" s="24" t="n"/>
      <c r="ISS2" s="24" t="n"/>
      <c r="IST2" s="24" t="n"/>
      <c r="ISU2" s="24" t="n"/>
      <c r="ISV2" s="24" t="n"/>
      <c r="ISW2" s="24" t="n"/>
      <c r="ISX2" s="24" t="n"/>
      <c r="ISY2" s="24" t="n"/>
      <c r="ISZ2" s="24" t="n"/>
      <c r="ITA2" s="24" t="n"/>
      <c r="ITB2" s="24" t="n"/>
      <c r="ITC2" s="24" t="n"/>
      <c r="ITD2" s="24" t="n"/>
      <c r="ITE2" s="24" t="n"/>
      <c r="ITF2" s="24" t="n"/>
      <c r="ITG2" s="24" t="n"/>
      <c r="ITH2" s="24" t="n"/>
      <c r="ITI2" s="24" t="n"/>
      <c r="ITJ2" s="24" t="n"/>
      <c r="ITK2" s="24" t="n"/>
      <c r="ITL2" s="24" t="n"/>
      <c r="ITM2" s="24" t="n"/>
      <c r="ITN2" s="24" t="n"/>
      <c r="ITO2" s="24" t="n"/>
      <c r="ITP2" s="24" t="n"/>
      <c r="ITQ2" s="24" t="n"/>
      <c r="ITR2" s="24" t="n"/>
      <c r="ITS2" s="24" t="n"/>
      <c r="ITT2" s="24" t="n"/>
      <c r="ITU2" s="24" t="n"/>
      <c r="ITV2" s="24" t="n"/>
      <c r="ITW2" s="24" t="n"/>
      <c r="ITX2" s="24" t="n"/>
      <c r="ITY2" s="24" t="n"/>
      <c r="ITZ2" s="24" t="n"/>
      <c r="IUA2" s="24" t="n"/>
      <c r="IUB2" s="24" t="n"/>
      <c r="IUC2" s="24" t="n"/>
      <c r="IUD2" s="24" t="n"/>
      <c r="IUE2" s="24" t="n"/>
      <c r="IUF2" s="24" t="n"/>
      <c r="IUG2" s="24" t="n"/>
      <c r="IUH2" s="24" t="n"/>
      <c r="IUI2" s="24" t="n"/>
      <c r="IUJ2" s="24" t="n"/>
      <c r="IUK2" s="24" t="n"/>
      <c r="IUL2" s="24" t="n"/>
      <c r="IUM2" s="24" t="n"/>
      <c r="IUN2" s="24" t="n"/>
      <c r="IUO2" s="24" t="n"/>
      <c r="IUP2" s="24" t="n"/>
      <c r="IUQ2" s="24" t="n"/>
      <c r="IUR2" s="24" t="n"/>
      <c r="IUS2" s="24" t="n"/>
      <c r="IUT2" s="24" t="n"/>
      <c r="IUU2" s="24" t="n"/>
      <c r="IUV2" s="24" t="n"/>
      <c r="IUW2" s="24" t="n"/>
      <c r="IUX2" s="24" t="n"/>
      <c r="IUY2" s="24" t="n"/>
      <c r="IUZ2" s="24" t="n"/>
      <c r="IVA2" s="24" t="n"/>
      <c r="IVB2" s="24" t="n"/>
      <c r="IVC2" s="24" t="n"/>
      <c r="IVD2" s="24" t="n"/>
      <c r="IVE2" s="24" t="n"/>
      <c r="IVF2" s="24" t="n"/>
      <c r="IVG2" s="24" t="n"/>
      <c r="IVH2" s="24" t="n"/>
      <c r="IVI2" s="24" t="n"/>
      <c r="IVJ2" s="24" t="n"/>
      <c r="IVK2" s="24" t="n"/>
      <c r="IVL2" s="24" t="n"/>
      <c r="IVM2" s="24" t="n"/>
      <c r="IVN2" s="24" t="n"/>
      <c r="IVO2" s="24" t="n"/>
      <c r="IVP2" s="24" t="n"/>
      <c r="IVQ2" s="24" t="n"/>
      <c r="IVR2" s="24" t="n"/>
      <c r="IVS2" s="24" t="n"/>
      <c r="IVT2" s="24" t="n"/>
      <c r="IVU2" s="24" t="n"/>
      <c r="IVV2" s="24" t="n"/>
      <c r="IVW2" s="24" t="n"/>
      <c r="IVX2" s="24" t="n"/>
      <c r="IVY2" s="24" t="n"/>
      <c r="IVZ2" s="24" t="n"/>
      <c r="IWA2" s="24" t="n"/>
      <c r="IWB2" s="24" t="n"/>
      <c r="IWC2" s="24" t="n"/>
      <c r="IWD2" s="24" t="n"/>
      <c r="IWE2" s="24" t="n"/>
      <c r="IWF2" s="24" t="n"/>
      <c r="IWG2" s="24" t="n"/>
      <c r="IWH2" s="24" t="n"/>
      <c r="IWI2" s="24" t="n"/>
      <c r="IWJ2" s="24" t="n"/>
      <c r="IWK2" s="24" t="n"/>
      <c r="IWL2" s="24" t="n"/>
      <c r="IWM2" s="24" t="n"/>
      <c r="IWN2" s="24" t="n"/>
      <c r="IWO2" s="24" t="n"/>
      <c r="IWP2" s="24" t="n"/>
      <c r="IWQ2" s="24" t="n"/>
      <c r="IWR2" s="24" t="n"/>
      <c r="IWS2" s="24" t="n"/>
      <c r="IWT2" s="24" t="n"/>
      <c r="IWU2" s="24" t="n"/>
      <c r="IWV2" s="24" t="n"/>
      <c r="IWW2" s="24" t="n"/>
      <c r="IWX2" s="24" t="n"/>
      <c r="IWY2" s="24" t="n"/>
      <c r="IWZ2" s="24" t="n"/>
      <c r="IXA2" s="24" t="n"/>
      <c r="IXB2" s="24" t="n"/>
      <c r="IXC2" s="24" t="n"/>
      <c r="IXD2" s="24" t="n"/>
      <c r="IXE2" s="24" t="n"/>
      <c r="IXF2" s="24" t="n"/>
      <c r="IXG2" s="24" t="n"/>
      <c r="IXH2" s="24" t="n"/>
      <c r="IXI2" s="24" t="n"/>
      <c r="IXJ2" s="24" t="n"/>
      <c r="IXK2" s="24" t="n"/>
      <c r="IXL2" s="24" t="n"/>
      <c r="IXM2" s="24" t="n"/>
      <c r="IXN2" s="24" t="n"/>
      <c r="IXO2" s="24" t="n"/>
      <c r="IXP2" s="24" t="n"/>
      <c r="IXQ2" s="24" t="n"/>
      <c r="IXR2" s="24" t="n"/>
      <c r="IXS2" s="24" t="n"/>
      <c r="IXT2" s="24" t="n"/>
      <c r="IXU2" s="24" t="n"/>
      <c r="IXV2" s="24" t="n"/>
      <c r="IXW2" s="24" t="n"/>
      <c r="IXX2" s="24" t="n"/>
      <c r="IXY2" s="24" t="n"/>
      <c r="IXZ2" s="24" t="n"/>
      <c r="IYA2" s="24" t="n"/>
      <c r="IYB2" s="24" t="n"/>
      <c r="IYC2" s="24" t="n"/>
      <c r="IYD2" s="24" t="n"/>
      <c r="IYE2" s="24" t="n"/>
      <c r="IYF2" s="24" t="n"/>
      <c r="IYG2" s="24" t="n"/>
      <c r="IYH2" s="24" t="n"/>
      <c r="IYI2" s="24" t="n"/>
      <c r="IYJ2" s="24" t="n"/>
      <c r="IYK2" s="24" t="n"/>
      <c r="IYL2" s="24" t="n"/>
      <c r="IYM2" s="24" t="n"/>
      <c r="IYN2" s="24" t="n"/>
      <c r="IYO2" s="24" t="n"/>
      <c r="IYP2" s="24" t="n"/>
      <c r="IYQ2" s="24" t="n"/>
      <c r="IYR2" s="24" t="n"/>
      <c r="IYS2" s="24" t="n"/>
      <c r="IYT2" s="24" t="n"/>
      <c r="IYU2" s="24" t="n"/>
      <c r="IYV2" s="24" t="n"/>
      <c r="IYW2" s="24" t="n"/>
      <c r="IYX2" s="24" t="n"/>
      <c r="IYY2" s="24" t="n"/>
      <c r="IYZ2" s="24" t="n"/>
      <c r="IZA2" s="24" t="n"/>
      <c r="IZB2" s="24" t="n"/>
      <c r="IZC2" s="24" t="n"/>
      <c r="IZD2" s="24" t="n"/>
      <c r="IZE2" s="24" t="n"/>
      <c r="IZF2" s="24" t="n"/>
      <c r="IZG2" s="24" t="n"/>
      <c r="IZH2" s="24" t="n"/>
      <c r="IZI2" s="24" t="n"/>
      <c r="IZJ2" s="24" t="n"/>
      <c r="IZK2" s="24" t="n"/>
      <c r="IZL2" s="24" t="n"/>
      <c r="IZM2" s="24" t="n"/>
      <c r="IZN2" s="24" t="n"/>
      <c r="IZO2" s="24" t="n"/>
      <c r="IZP2" s="24" t="n"/>
      <c r="IZQ2" s="24" t="n"/>
      <c r="IZR2" s="24" t="n"/>
      <c r="IZS2" s="24" t="n"/>
      <c r="IZT2" s="24" t="n"/>
      <c r="IZU2" s="24" t="n"/>
      <c r="IZV2" s="24" t="n"/>
      <c r="IZW2" s="24" t="n"/>
      <c r="IZX2" s="24" t="n"/>
      <c r="IZY2" s="24" t="n"/>
      <c r="IZZ2" s="24" t="n"/>
      <c r="JAA2" s="24" t="n"/>
      <c r="JAB2" s="24" t="n"/>
      <c r="JAC2" s="24" t="n"/>
      <c r="JAD2" s="24" t="n"/>
      <c r="JAE2" s="24" t="n"/>
      <c r="JAF2" s="24" t="n"/>
      <c r="JAG2" s="24" t="n"/>
      <c r="JAH2" s="24" t="n"/>
      <c r="JAI2" s="24" t="n"/>
      <c r="JAJ2" s="24" t="n"/>
      <c r="JAK2" s="24" t="n"/>
      <c r="JAL2" s="24" t="n"/>
      <c r="JAM2" s="24" t="n"/>
      <c r="JAN2" s="24" t="n"/>
      <c r="JAO2" s="24" t="n"/>
      <c r="JAP2" s="24" t="n"/>
      <c r="JAQ2" s="24" t="n"/>
      <c r="JAR2" s="24" t="n"/>
      <c r="JAS2" s="24" t="n"/>
      <c r="JAT2" s="24" t="n"/>
      <c r="JAU2" s="24" t="n"/>
      <c r="JAV2" s="24" t="n"/>
      <c r="JAW2" s="24" t="n"/>
      <c r="JAX2" s="24" t="n"/>
      <c r="JAY2" s="24" t="n"/>
      <c r="JAZ2" s="24" t="n"/>
      <c r="JBA2" s="24" t="n"/>
      <c r="JBB2" s="24" t="n"/>
      <c r="JBC2" s="24" t="n"/>
      <c r="JBD2" s="24" t="n"/>
      <c r="JBE2" s="24" t="n"/>
      <c r="JBF2" s="24" t="n"/>
      <c r="JBG2" s="24" t="n"/>
      <c r="JBH2" s="24" t="n"/>
      <c r="JBI2" s="24" t="n"/>
      <c r="JBJ2" s="24" t="n"/>
      <c r="JBK2" s="24" t="n"/>
      <c r="JBL2" s="24" t="n"/>
      <c r="JBM2" s="24" t="n"/>
      <c r="JBN2" s="24" t="n"/>
      <c r="JBO2" s="24" t="n"/>
      <c r="JBP2" s="24" t="n"/>
      <c r="JBQ2" s="24" t="n"/>
      <c r="JBR2" s="24" t="n"/>
      <c r="JBS2" s="24" t="n"/>
      <c r="JBT2" s="24" t="n"/>
      <c r="JBU2" s="24" t="n"/>
      <c r="JBV2" s="24" t="n"/>
      <c r="JBW2" s="24" t="n"/>
      <c r="JBX2" s="24" t="n"/>
      <c r="JBY2" s="24" t="n"/>
      <c r="JBZ2" s="24" t="n"/>
      <c r="JCA2" s="24" t="n"/>
      <c r="JCB2" s="24" t="n"/>
      <c r="JCC2" s="24" t="n"/>
      <c r="JCD2" s="24" t="n"/>
      <c r="JCE2" s="24" t="n"/>
      <c r="JCF2" s="24" t="n"/>
      <c r="JCG2" s="24" t="n"/>
      <c r="JCH2" s="24" t="n"/>
      <c r="JCI2" s="24" t="n"/>
      <c r="JCJ2" s="24" t="n"/>
      <c r="JCK2" s="24" t="n"/>
      <c r="JCL2" s="24" t="n"/>
      <c r="JCM2" s="24" t="n"/>
      <c r="JCN2" s="24" t="n"/>
      <c r="JCO2" s="24" t="n"/>
      <c r="JCP2" s="24" t="n"/>
      <c r="JCQ2" s="24" t="n"/>
      <c r="JCR2" s="24" t="n"/>
      <c r="JCS2" s="24" t="n"/>
      <c r="JCT2" s="24" t="n"/>
      <c r="JCU2" s="24" t="n"/>
      <c r="JCV2" s="24" t="n"/>
      <c r="JCW2" s="24" t="n"/>
      <c r="JCX2" s="24" t="n"/>
      <c r="JCY2" s="24" t="n"/>
      <c r="JCZ2" s="24" t="n"/>
      <c r="JDA2" s="24" t="n"/>
      <c r="JDB2" s="24" t="n"/>
      <c r="JDC2" s="24" t="n"/>
      <c r="JDD2" s="24" t="n"/>
      <c r="JDE2" s="24" t="n"/>
      <c r="JDF2" s="24" t="n"/>
      <c r="JDG2" s="24" t="n"/>
      <c r="JDH2" s="24" t="n"/>
      <c r="JDI2" s="24" t="n"/>
      <c r="JDJ2" s="24" t="n"/>
      <c r="JDK2" s="24" t="n"/>
      <c r="JDL2" s="24" t="n"/>
      <c r="JDM2" s="24" t="n"/>
      <c r="JDN2" s="24" t="n"/>
      <c r="JDO2" s="24" t="n"/>
      <c r="JDP2" s="24" t="n"/>
      <c r="JDQ2" s="24" t="n"/>
      <c r="JDR2" s="24" t="n"/>
      <c r="JDS2" s="24" t="n"/>
      <c r="JDT2" s="24" t="n"/>
      <c r="JDU2" s="24" t="n"/>
      <c r="JDV2" s="24" t="n"/>
      <c r="JDW2" s="24" t="n"/>
      <c r="JDX2" s="24" t="n"/>
      <c r="JDY2" s="24" t="n"/>
      <c r="JDZ2" s="24" t="n"/>
      <c r="JEA2" s="24" t="n"/>
      <c r="JEB2" s="24" t="n"/>
      <c r="JEC2" s="24" t="n"/>
      <c r="JED2" s="24" t="n"/>
      <c r="JEE2" s="24" t="n"/>
      <c r="JEF2" s="24" t="n"/>
      <c r="JEG2" s="24" t="n"/>
      <c r="JEH2" s="24" t="n"/>
      <c r="JEI2" s="24" t="n"/>
      <c r="JEJ2" s="24" t="n"/>
      <c r="JEK2" s="24" t="n"/>
      <c r="JEL2" s="24" t="n"/>
      <c r="JEM2" s="24" t="n"/>
      <c r="JEN2" s="24" t="n"/>
      <c r="JEO2" s="24" t="n"/>
      <c r="JEP2" s="24" t="n"/>
      <c r="JEQ2" s="24" t="n"/>
      <c r="JER2" s="24" t="n"/>
      <c r="JES2" s="24" t="n"/>
      <c r="JET2" s="24" t="n"/>
      <c r="JEU2" s="24" t="n"/>
      <c r="JEV2" s="24" t="n"/>
      <c r="JEW2" s="24" t="n"/>
      <c r="JEX2" s="24" t="n"/>
      <c r="JEY2" s="24" t="n"/>
      <c r="JEZ2" s="24" t="n"/>
      <c r="JFA2" s="24" t="n"/>
      <c r="JFB2" s="24" t="n"/>
      <c r="JFC2" s="24" t="n"/>
      <c r="JFD2" s="24" t="n"/>
      <c r="JFE2" s="24" t="n"/>
      <c r="JFF2" s="24" t="n"/>
      <c r="JFG2" s="24" t="n"/>
      <c r="JFH2" s="24" t="n"/>
      <c r="JFI2" s="24" t="n"/>
      <c r="JFJ2" s="24" t="n"/>
      <c r="JFK2" s="24" t="n"/>
      <c r="JFL2" s="24" t="n"/>
      <c r="JFM2" s="24" t="n"/>
      <c r="JFN2" s="24" t="n"/>
      <c r="JFO2" s="24" t="n"/>
      <c r="JFP2" s="24" t="n"/>
      <c r="JFQ2" s="24" t="n"/>
      <c r="JFR2" s="24" t="n"/>
      <c r="JFS2" s="24" t="n"/>
      <c r="JFT2" s="24" t="n"/>
      <c r="JFU2" s="24" t="n"/>
      <c r="JFV2" s="24" t="n"/>
      <c r="JFW2" s="24" t="n"/>
      <c r="JFX2" s="24" t="n"/>
      <c r="JFY2" s="24" t="n"/>
      <c r="JFZ2" s="24" t="n"/>
      <c r="JGA2" s="24" t="n"/>
      <c r="JGB2" s="24" t="n"/>
      <c r="JGC2" s="24" t="n"/>
      <c r="JGD2" s="24" t="n"/>
      <c r="JGE2" s="24" t="n"/>
      <c r="JGF2" s="24" t="n"/>
      <c r="JGG2" s="24" t="n"/>
      <c r="JGH2" s="24" t="n"/>
      <c r="JGI2" s="24" t="n"/>
      <c r="JGJ2" s="24" t="n"/>
      <c r="JGK2" s="24" t="n"/>
      <c r="JGL2" s="24" t="n"/>
      <c r="JGM2" s="24" t="n"/>
      <c r="JGN2" s="24" t="n"/>
      <c r="JGO2" s="24" t="n"/>
      <c r="JGP2" s="24" t="n"/>
      <c r="JGQ2" s="24" t="n"/>
      <c r="JGR2" s="24" t="n"/>
      <c r="JGS2" s="24" t="n"/>
      <c r="JGT2" s="24" t="n"/>
      <c r="JGU2" s="24" t="n"/>
      <c r="JGV2" s="24" t="n"/>
      <c r="JGW2" s="24" t="n"/>
      <c r="JGX2" s="24" t="n"/>
      <c r="JGY2" s="24" t="n"/>
      <c r="JGZ2" s="24" t="n"/>
      <c r="JHA2" s="24" t="n"/>
      <c r="JHB2" s="24" t="n"/>
      <c r="JHC2" s="24" t="n"/>
      <c r="JHD2" s="24" t="n"/>
      <c r="JHE2" s="24" t="n"/>
      <c r="JHF2" s="24" t="n"/>
      <c r="JHG2" s="24" t="n"/>
      <c r="JHH2" s="24" t="n"/>
      <c r="JHI2" s="24" t="n"/>
      <c r="JHJ2" s="24" t="n"/>
      <c r="JHK2" s="24" t="n"/>
      <c r="JHL2" s="24" t="n"/>
      <c r="JHM2" s="24" t="n"/>
      <c r="JHN2" s="24" t="n"/>
      <c r="JHO2" s="24" t="n"/>
      <c r="JHP2" s="24" t="n"/>
      <c r="JHQ2" s="24" t="n"/>
      <c r="JHR2" s="24" t="n"/>
      <c r="JHS2" s="24" t="n"/>
      <c r="JHT2" s="24" t="n"/>
      <c r="JHU2" s="24" t="n"/>
      <c r="JHV2" s="24" t="n"/>
      <c r="JHW2" s="24" t="n"/>
      <c r="JHX2" s="24" t="n"/>
      <c r="JHY2" s="24" t="n"/>
      <c r="JHZ2" s="24" t="n"/>
      <c r="JIA2" s="24" t="n"/>
      <c r="JIB2" s="24" t="n"/>
      <c r="JIC2" s="24" t="n"/>
      <c r="JID2" s="24" t="n"/>
      <c r="JIE2" s="24" t="n"/>
      <c r="JIF2" s="24" t="n"/>
      <c r="JIG2" s="24" t="n"/>
      <c r="JIH2" s="24" t="n"/>
      <c r="JII2" s="24" t="n"/>
      <c r="JIJ2" s="24" t="n"/>
      <c r="JIK2" s="24" t="n"/>
      <c r="JIL2" s="24" t="n"/>
      <c r="JIM2" s="24" t="n"/>
      <c r="JIN2" s="24" t="n"/>
      <c r="JIO2" s="24" t="n"/>
      <c r="JIP2" s="24" t="n"/>
      <c r="JIQ2" s="24" t="n"/>
      <c r="JIR2" s="24" t="n"/>
      <c r="JIS2" s="24" t="n"/>
      <c r="JIT2" s="24" t="n"/>
      <c r="JIU2" s="24" t="n"/>
      <c r="JIV2" s="24" t="n"/>
      <c r="JIW2" s="24" t="n"/>
      <c r="JIX2" s="24" t="n"/>
      <c r="JIY2" s="24" t="n"/>
      <c r="JIZ2" s="24" t="n"/>
      <c r="JJA2" s="24" t="n"/>
      <c r="JJB2" s="24" t="n"/>
      <c r="JJC2" s="24" t="n"/>
      <c r="JJD2" s="24" t="n"/>
      <c r="JJE2" s="24" t="n"/>
      <c r="JJF2" s="24" t="n"/>
      <c r="JJG2" s="24" t="n"/>
      <c r="JJH2" s="24" t="n"/>
      <c r="JJI2" s="24" t="n"/>
      <c r="JJJ2" s="24" t="n"/>
      <c r="JJK2" s="24" t="n"/>
      <c r="JJL2" s="24" t="n"/>
      <c r="JJM2" s="24" t="n"/>
      <c r="JJN2" s="24" t="n"/>
      <c r="JJO2" s="24" t="n"/>
      <c r="JJP2" s="24" t="n"/>
      <c r="JJQ2" s="24" t="n"/>
      <c r="JJR2" s="24" t="n"/>
      <c r="JJS2" s="24" t="n"/>
      <c r="JJT2" s="24" t="n"/>
      <c r="JJU2" s="24" t="n"/>
      <c r="JJV2" s="24" t="n"/>
      <c r="JJW2" s="24" t="n"/>
      <c r="JJX2" s="24" t="n"/>
      <c r="JJY2" s="24" t="n"/>
      <c r="JJZ2" s="24" t="n"/>
      <c r="JKA2" s="24" t="n"/>
      <c r="JKB2" s="24" t="n"/>
      <c r="JKC2" s="24" t="n"/>
      <c r="JKD2" s="24" t="n"/>
      <c r="JKE2" s="24" t="n"/>
      <c r="JKF2" s="24" t="n"/>
      <c r="JKG2" s="24" t="n"/>
      <c r="JKH2" s="24" t="n"/>
      <c r="JKI2" s="24" t="n"/>
      <c r="JKJ2" s="24" t="n"/>
      <c r="JKK2" s="24" t="n"/>
      <c r="JKL2" s="24" t="n"/>
      <c r="JKM2" s="24" t="n"/>
      <c r="JKN2" s="24" t="n"/>
      <c r="JKO2" s="24" t="n"/>
      <c r="JKP2" s="24" t="n"/>
      <c r="JKQ2" s="24" t="n"/>
      <c r="JKR2" s="24" t="n"/>
      <c r="JKS2" s="24" t="n"/>
      <c r="JKT2" s="24" t="n"/>
      <c r="JKU2" s="24" t="n"/>
      <c r="JKV2" s="24" t="n"/>
      <c r="JKW2" s="24" t="n"/>
      <c r="JKX2" s="24" t="n"/>
      <c r="JKY2" s="24" t="n"/>
      <c r="JKZ2" s="24" t="n"/>
      <c r="JLA2" s="24" t="n"/>
      <c r="JLB2" s="24" t="n"/>
      <c r="JLC2" s="24" t="n"/>
      <c r="JLD2" s="24" t="n"/>
      <c r="JLE2" s="24" t="n"/>
      <c r="JLF2" s="24" t="n"/>
      <c r="JLG2" s="24" t="n"/>
      <c r="JLH2" s="24" t="n"/>
      <c r="JLI2" s="24" t="n"/>
      <c r="JLJ2" s="24" t="n"/>
      <c r="JLK2" s="24" t="n"/>
      <c r="JLL2" s="24" t="n"/>
      <c r="JLM2" s="24" t="n"/>
      <c r="JLN2" s="24" t="n"/>
      <c r="JLO2" s="24" t="n"/>
      <c r="JLP2" s="24" t="n"/>
      <c r="JLQ2" s="24" t="n"/>
      <c r="JLR2" s="24" t="n"/>
      <c r="JLS2" s="24" t="n"/>
      <c r="JLT2" s="24" t="n"/>
      <c r="JLU2" s="24" t="n"/>
      <c r="JLV2" s="24" t="n"/>
      <c r="JLW2" s="24" t="n"/>
      <c r="JLX2" s="24" t="n"/>
      <c r="JLY2" s="24" t="n"/>
      <c r="JLZ2" s="24" t="n"/>
      <c r="JMA2" s="24" t="n"/>
      <c r="JMB2" s="24" t="n"/>
      <c r="JMC2" s="24" t="n"/>
      <c r="JMD2" s="24" t="n"/>
      <c r="JME2" s="24" t="n"/>
      <c r="JMF2" s="24" t="n"/>
      <c r="JMG2" s="24" t="n"/>
      <c r="JMH2" s="24" t="n"/>
      <c r="JMI2" s="24" t="n"/>
      <c r="JMJ2" s="24" t="n"/>
      <c r="JMK2" s="24" t="n"/>
      <c r="JML2" s="24" t="n"/>
      <c r="JMM2" s="24" t="n"/>
      <c r="JMN2" s="24" t="n"/>
      <c r="JMO2" s="24" t="n"/>
      <c r="JMP2" s="24" t="n"/>
      <c r="JMQ2" s="24" t="n"/>
      <c r="JMR2" s="24" t="n"/>
      <c r="JMS2" s="24" t="n"/>
      <c r="JMT2" s="24" t="n"/>
      <c r="JMU2" s="24" t="n"/>
      <c r="JMV2" s="24" t="n"/>
      <c r="JMW2" s="24" t="n"/>
      <c r="JMX2" s="24" t="n"/>
      <c r="JMY2" s="24" t="n"/>
      <c r="JMZ2" s="24" t="n"/>
      <c r="JNA2" s="24" t="n"/>
      <c r="JNB2" s="24" t="n"/>
      <c r="JNC2" s="24" t="n"/>
      <c r="JND2" s="24" t="n"/>
      <c r="JNE2" s="24" t="n"/>
      <c r="JNF2" s="24" t="n"/>
      <c r="JNG2" s="24" t="n"/>
      <c r="JNH2" s="24" t="n"/>
      <c r="JNI2" s="24" t="n"/>
      <c r="JNJ2" s="24" t="n"/>
      <c r="JNK2" s="24" t="n"/>
      <c r="JNL2" s="24" t="n"/>
      <c r="JNM2" s="24" t="n"/>
      <c r="JNN2" s="24" t="n"/>
      <c r="JNO2" s="24" t="n"/>
      <c r="JNP2" s="24" t="n"/>
      <c r="JNQ2" s="24" t="n"/>
      <c r="JNR2" s="24" t="n"/>
      <c r="JNS2" s="24" t="n"/>
      <c r="JNT2" s="24" t="n"/>
      <c r="JNU2" s="24" t="n"/>
      <c r="JNV2" s="24" t="n"/>
      <c r="JNW2" s="24" t="n"/>
      <c r="JNX2" s="24" t="n"/>
      <c r="JNY2" s="24" t="n"/>
      <c r="JNZ2" s="24" t="n"/>
      <c r="JOA2" s="24" t="n"/>
      <c r="JOB2" s="24" t="n"/>
      <c r="JOC2" s="24" t="n"/>
      <c r="JOD2" s="24" t="n"/>
      <c r="JOE2" s="24" t="n"/>
      <c r="JOF2" s="24" t="n"/>
      <c r="JOG2" s="24" t="n"/>
      <c r="JOH2" s="24" t="n"/>
      <c r="JOI2" s="24" t="n"/>
      <c r="JOJ2" s="24" t="n"/>
      <c r="JOK2" s="24" t="n"/>
      <c r="JOL2" s="24" t="n"/>
      <c r="JOM2" s="24" t="n"/>
      <c r="JON2" s="24" t="n"/>
      <c r="JOO2" s="24" t="n"/>
      <c r="JOP2" s="24" t="n"/>
      <c r="JOQ2" s="24" t="n"/>
      <c r="JOR2" s="24" t="n"/>
      <c r="JOS2" s="24" t="n"/>
      <c r="JOT2" s="24" t="n"/>
      <c r="JOU2" s="24" t="n"/>
      <c r="JOV2" s="24" t="n"/>
      <c r="JOW2" s="24" t="n"/>
      <c r="JOX2" s="24" t="n"/>
      <c r="JOY2" s="24" t="n"/>
      <c r="JOZ2" s="24" t="n"/>
      <c r="JPA2" s="24" t="n"/>
      <c r="JPB2" s="24" t="n"/>
      <c r="JPC2" s="24" t="n"/>
      <c r="JPD2" s="24" t="n"/>
      <c r="JPE2" s="24" t="n"/>
      <c r="JPF2" s="24" t="n"/>
      <c r="JPG2" s="24" t="n"/>
      <c r="JPH2" s="24" t="n"/>
      <c r="JPI2" s="24" t="n"/>
      <c r="JPJ2" s="24" t="n"/>
      <c r="JPK2" s="24" t="n"/>
      <c r="JPL2" s="24" t="n"/>
      <c r="JPM2" s="24" t="n"/>
      <c r="JPN2" s="24" t="n"/>
      <c r="JPO2" s="24" t="n"/>
      <c r="JPP2" s="24" t="n"/>
      <c r="JPQ2" s="24" t="n"/>
      <c r="JPR2" s="24" t="n"/>
      <c r="JPS2" s="24" t="n"/>
      <c r="JPT2" s="24" t="n"/>
      <c r="JPU2" s="24" t="n"/>
      <c r="JPV2" s="24" t="n"/>
      <c r="JPW2" s="24" t="n"/>
      <c r="JPX2" s="24" t="n"/>
      <c r="JPY2" s="24" t="n"/>
      <c r="JPZ2" s="24" t="n"/>
      <c r="JQA2" s="24" t="n"/>
      <c r="JQB2" s="24" t="n"/>
      <c r="JQC2" s="24" t="n"/>
      <c r="JQD2" s="24" t="n"/>
      <c r="JQE2" s="24" t="n"/>
      <c r="JQF2" s="24" t="n"/>
      <c r="JQG2" s="24" t="n"/>
      <c r="JQH2" s="24" t="n"/>
      <c r="JQI2" s="24" t="n"/>
      <c r="JQJ2" s="24" t="n"/>
      <c r="JQK2" s="24" t="n"/>
      <c r="JQL2" s="24" t="n"/>
      <c r="JQM2" s="24" t="n"/>
      <c r="JQN2" s="24" t="n"/>
      <c r="JQO2" s="24" t="n"/>
      <c r="JQP2" s="24" t="n"/>
      <c r="JQQ2" s="24" t="n"/>
      <c r="JQR2" s="24" t="n"/>
      <c r="JQS2" s="24" t="n"/>
      <c r="JQT2" s="24" t="n"/>
      <c r="JQU2" s="24" t="n"/>
      <c r="JQV2" s="24" t="n"/>
      <c r="JQW2" s="24" t="n"/>
      <c r="JQX2" s="24" t="n"/>
      <c r="JQY2" s="24" t="n"/>
      <c r="JQZ2" s="24" t="n"/>
      <c r="JRA2" s="24" t="n"/>
      <c r="JRB2" s="24" t="n"/>
      <c r="JRC2" s="24" t="n"/>
      <c r="JRD2" s="24" t="n"/>
      <c r="JRE2" s="24" t="n"/>
      <c r="JRF2" s="24" t="n"/>
      <c r="JRG2" s="24" t="n"/>
      <c r="JRH2" s="24" t="n"/>
      <c r="JRI2" s="24" t="n"/>
      <c r="JRJ2" s="24" t="n"/>
      <c r="JRK2" s="24" t="n"/>
      <c r="JRL2" s="24" t="n"/>
      <c r="JRM2" s="24" t="n"/>
      <c r="JRN2" s="24" t="n"/>
      <c r="JRO2" s="24" t="n"/>
      <c r="JRP2" s="24" t="n"/>
      <c r="JRQ2" s="24" t="n"/>
      <c r="JRR2" s="24" t="n"/>
      <c r="JRS2" s="24" t="n"/>
      <c r="JRT2" s="24" t="n"/>
      <c r="JRU2" s="24" t="n"/>
      <c r="JRV2" s="24" t="n"/>
      <c r="JRW2" s="24" t="n"/>
      <c r="JRX2" s="24" t="n"/>
      <c r="JRY2" s="24" t="n"/>
      <c r="JRZ2" s="24" t="n"/>
      <c r="JSA2" s="24" t="n"/>
      <c r="JSB2" s="24" t="n"/>
      <c r="JSC2" s="24" t="n"/>
      <c r="JSD2" s="24" t="n"/>
      <c r="JSE2" s="24" t="n"/>
      <c r="JSF2" s="24" t="n"/>
      <c r="JSG2" s="24" t="n"/>
      <c r="JSH2" s="24" t="n"/>
      <c r="JSI2" s="24" t="n"/>
      <c r="JSJ2" s="24" t="n"/>
      <c r="JSK2" s="24" t="n"/>
      <c r="JSL2" s="24" t="n"/>
      <c r="JSM2" s="24" t="n"/>
      <c r="JSN2" s="24" t="n"/>
      <c r="JSO2" s="24" t="n"/>
      <c r="JSP2" s="24" t="n"/>
      <c r="JSQ2" s="24" t="n"/>
      <c r="JSR2" s="24" t="n"/>
      <c r="JSS2" s="24" t="n"/>
      <c r="JST2" s="24" t="n"/>
      <c r="JSU2" s="24" t="n"/>
      <c r="JSV2" s="24" t="n"/>
      <c r="JSW2" s="24" t="n"/>
      <c r="JSX2" s="24" t="n"/>
      <c r="JSY2" s="24" t="n"/>
      <c r="JSZ2" s="24" t="n"/>
      <c r="JTA2" s="24" t="n"/>
      <c r="JTB2" s="24" t="n"/>
      <c r="JTC2" s="24" t="n"/>
      <c r="JTD2" s="24" t="n"/>
      <c r="JTE2" s="24" t="n"/>
      <c r="JTF2" s="24" t="n"/>
      <c r="JTG2" s="24" t="n"/>
      <c r="JTH2" s="24" t="n"/>
      <c r="JTI2" s="24" t="n"/>
      <c r="JTJ2" s="24" t="n"/>
      <c r="JTK2" s="24" t="n"/>
      <c r="JTL2" s="24" t="n"/>
      <c r="JTM2" s="24" t="n"/>
      <c r="JTN2" s="24" t="n"/>
      <c r="JTO2" s="24" t="n"/>
      <c r="JTP2" s="24" t="n"/>
      <c r="JTQ2" s="24" t="n"/>
      <c r="JTR2" s="24" t="n"/>
      <c r="JTS2" s="24" t="n"/>
      <c r="JTT2" s="24" t="n"/>
      <c r="JTU2" s="24" t="n"/>
      <c r="JTV2" s="24" t="n"/>
      <c r="JTW2" s="24" t="n"/>
      <c r="JTX2" s="24" t="n"/>
      <c r="JTY2" s="24" t="n"/>
      <c r="JTZ2" s="24" t="n"/>
      <c r="JUA2" s="24" t="n"/>
      <c r="JUB2" s="24" t="n"/>
      <c r="JUC2" s="24" t="n"/>
      <c r="JUD2" s="24" t="n"/>
      <c r="JUE2" s="24" t="n"/>
      <c r="JUF2" s="24" t="n"/>
      <c r="JUG2" s="24" t="n"/>
      <c r="JUH2" s="24" t="n"/>
      <c r="JUI2" s="24" t="n"/>
      <c r="JUJ2" s="24" t="n"/>
      <c r="JUK2" s="24" t="n"/>
      <c r="JUL2" s="24" t="n"/>
      <c r="JUM2" s="24" t="n"/>
      <c r="JUN2" s="24" t="n"/>
      <c r="JUO2" s="24" t="n"/>
      <c r="JUP2" s="24" t="n"/>
      <c r="JUQ2" s="24" t="n"/>
      <c r="JUR2" s="24" t="n"/>
      <c r="JUS2" s="24" t="n"/>
      <c r="JUT2" s="24" t="n"/>
      <c r="JUU2" s="24" t="n"/>
      <c r="JUV2" s="24" t="n"/>
      <c r="JUW2" s="24" t="n"/>
      <c r="JUX2" s="24" t="n"/>
      <c r="JUY2" s="24" t="n"/>
      <c r="JUZ2" s="24" t="n"/>
      <c r="JVA2" s="24" t="n"/>
      <c r="JVB2" s="24" t="n"/>
      <c r="JVC2" s="24" t="n"/>
      <c r="JVD2" s="24" t="n"/>
      <c r="JVE2" s="24" t="n"/>
      <c r="JVF2" s="24" t="n"/>
      <c r="JVG2" s="24" t="n"/>
      <c r="JVH2" s="24" t="n"/>
      <c r="JVI2" s="24" t="n"/>
      <c r="JVJ2" s="24" t="n"/>
      <c r="JVK2" s="24" t="n"/>
      <c r="JVL2" s="24" t="n"/>
      <c r="JVM2" s="24" t="n"/>
      <c r="JVN2" s="24" t="n"/>
      <c r="JVO2" s="24" t="n"/>
      <c r="JVP2" s="24" t="n"/>
      <c r="JVQ2" s="24" t="n"/>
      <c r="JVR2" s="24" t="n"/>
      <c r="JVS2" s="24" t="n"/>
      <c r="JVT2" s="24" t="n"/>
      <c r="JVU2" s="24" t="n"/>
      <c r="JVV2" s="24" t="n"/>
      <c r="JVW2" s="24" t="n"/>
      <c r="JVX2" s="24" t="n"/>
      <c r="JVY2" s="24" t="n"/>
      <c r="JVZ2" s="24" t="n"/>
      <c r="JWA2" s="24" t="n"/>
      <c r="JWB2" s="24" t="n"/>
      <c r="JWC2" s="24" t="n"/>
      <c r="JWD2" s="24" t="n"/>
      <c r="JWE2" s="24" t="n"/>
      <c r="JWF2" s="24" t="n"/>
      <c r="JWG2" s="24" t="n"/>
      <c r="JWH2" s="24" t="n"/>
      <c r="JWI2" s="24" t="n"/>
      <c r="JWJ2" s="24" t="n"/>
      <c r="JWK2" s="24" t="n"/>
      <c r="JWL2" s="24" t="n"/>
      <c r="JWM2" s="24" t="n"/>
      <c r="JWN2" s="24" t="n"/>
      <c r="JWO2" s="24" t="n"/>
      <c r="JWP2" s="24" t="n"/>
      <c r="JWQ2" s="24" t="n"/>
      <c r="JWR2" s="24" t="n"/>
      <c r="JWS2" s="24" t="n"/>
      <c r="JWT2" s="24" t="n"/>
      <c r="JWU2" s="24" t="n"/>
      <c r="JWV2" s="24" t="n"/>
      <c r="JWW2" s="24" t="n"/>
      <c r="JWX2" s="24" t="n"/>
      <c r="JWY2" s="24" t="n"/>
      <c r="JWZ2" s="24" t="n"/>
      <c r="JXA2" s="24" t="n"/>
      <c r="JXB2" s="24" t="n"/>
      <c r="JXC2" s="24" t="n"/>
      <c r="JXD2" s="24" t="n"/>
      <c r="JXE2" s="24" t="n"/>
      <c r="JXF2" s="24" t="n"/>
      <c r="JXG2" s="24" t="n"/>
      <c r="JXH2" s="24" t="n"/>
      <c r="JXI2" s="24" t="n"/>
      <c r="JXJ2" s="24" t="n"/>
      <c r="JXK2" s="24" t="n"/>
      <c r="JXL2" s="24" t="n"/>
      <c r="JXM2" s="24" t="n"/>
      <c r="JXN2" s="24" t="n"/>
      <c r="JXO2" s="24" t="n"/>
      <c r="JXP2" s="24" t="n"/>
      <c r="JXQ2" s="24" t="n"/>
      <c r="JXR2" s="24" t="n"/>
      <c r="JXS2" s="24" t="n"/>
      <c r="JXT2" s="24" t="n"/>
      <c r="JXU2" s="24" t="n"/>
      <c r="JXV2" s="24" t="n"/>
      <c r="JXW2" s="24" t="n"/>
      <c r="JXX2" s="24" t="n"/>
      <c r="JXY2" s="24" t="n"/>
      <c r="JXZ2" s="24" t="n"/>
      <c r="JYA2" s="24" t="n"/>
      <c r="JYB2" s="24" t="n"/>
      <c r="JYC2" s="24" t="n"/>
      <c r="JYD2" s="24" t="n"/>
      <c r="JYE2" s="24" t="n"/>
      <c r="JYF2" s="24" t="n"/>
      <c r="JYG2" s="24" t="n"/>
      <c r="JYH2" s="24" t="n"/>
      <c r="JYI2" s="24" t="n"/>
      <c r="JYJ2" s="24" t="n"/>
      <c r="JYK2" s="24" t="n"/>
      <c r="JYL2" s="24" t="n"/>
      <c r="JYM2" s="24" t="n"/>
      <c r="JYN2" s="24" t="n"/>
      <c r="JYO2" s="24" t="n"/>
      <c r="JYP2" s="24" t="n"/>
      <c r="JYQ2" s="24" t="n"/>
      <c r="JYR2" s="24" t="n"/>
      <c r="JYS2" s="24" t="n"/>
      <c r="JYT2" s="24" t="n"/>
      <c r="JYU2" s="24" t="n"/>
      <c r="JYV2" s="24" t="n"/>
      <c r="JYW2" s="24" t="n"/>
      <c r="JYX2" s="24" t="n"/>
      <c r="JYY2" s="24" t="n"/>
      <c r="JYZ2" s="24" t="n"/>
      <c r="JZA2" s="24" t="n"/>
      <c r="JZB2" s="24" t="n"/>
      <c r="JZC2" s="24" t="n"/>
      <c r="JZD2" s="24" t="n"/>
      <c r="JZE2" s="24" t="n"/>
      <c r="JZF2" s="24" t="n"/>
      <c r="JZG2" s="24" t="n"/>
      <c r="JZH2" s="24" t="n"/>
      <c r="JZI2" s="24" t="n"/>
      <c r="JZJ2" s="24" t="n"/>
      <c r="JZK2" s="24" t="n"/>
      <c r="JZL2" s="24" t="n"/>
      <c r="JZM2" s="24" t="n"/>
      <c r="JZN2" s="24" t="n"/>
      <c r="JZO2" s="24" t="n"/>
      <c r="JZP2" s="24" t="n"/>
      <c r="JZQ2" s="24" t="n"/>
      <c r="JZR2" s="24" t="n"/>
      <c r="JZS2" s="24" t="n"/>
      <c r="JZT2" s="24" t="n"/>
      <c r="JZU2" s="24" t="n"/>
      <c r="JZV2" s="24" t="n"/>
      <c r="JZW2" s="24" t="n"/>
      <c r="JZX2" s="24" t="n"/>
      <c r="JZY2" s="24" t="n"/>
      <c r="JZZ2" s="24" t="n"/>
      <c r="KAA2" s="24" t="n"/>
      <c r="KAB2" s="24" t="n"/>
      <c r="KAC2" s="24" t="n"/>
      <c r="KAD2" s="24" t="n"/>
      <c r="KAE2" s="24" t="n"/>
      <c r="KAF2" s="24" t="n"/>
      <c r="KAG2" s="24" t="n"/>
      <c r="KAH2" s="24" t="n"/>
      <c r="KAI2" s="24" t="n"/>
      <c r="KAJ2" s="24" t="n"/>
      <c r="KAK2" s="24" t="n"/>
      <c r="KAL2" s="24" t="n"/>
      <c r="KAM2" s="24" t="n"/>
      <c r="KAN2" s="24" t="n"/>
      <c r="KAO2" s="24" t="n"/>
      <c r="KAP2" s="24" t="n"/>
      <c r="KAQ2" s="24" t="n"/>
      <c r="KAR2" s="24" t="n"/>
      <c r="KAS2" s="24" t="n"/>
      <c r="KAT2" s="24" t="n"/>
      <c r="KAU2" s="24" t="n"/>
      <c r="KAV2" s="24" t="n"/>
      <c r="KAW2" s="24" t="n"/>
      <c r="KAX2" s="24" t="n"/>
      <c r="KAY2" s="24" t="n"/>
      <c r="KAZ2" s="24" t="n"/>
      <c r="KBA2" s="24" t="n"/>
      <c r="KBB2" s="24" t="n"/>
      <c r="KBC2" s="24" t="n"/>
      <c r="KBD2" s="24" t="n"/>
      <c r="KBE2" s="24" t="n"/>
      <c r="KBF2" s="24" t="n"/>
      <c r="KBG2" s="24" t="n"/>
      <c r="KBH2" s="24" t="n"/>
      <c r="KBI2" s="24" t="n"/>
      <c r="KBJ2" s="24" t="n"/>
      <c r="KBK2" s="24" t="n"/>
      <c r="KBL2" s="24" t="n"/>
      <c r="KBM2" s="24" t="n"/>
      <c r="KBN2" s="24" t="n"/>
      <c r="KBO2" s="24" t="n"/>
      <c r="KBP2" s="24" t="n"/>
      <c r="KBQ2" s="24" t="n"/>
      <c r="KBR2" s="24" t="n"/>
      <c r="KBS2" s="24" t="n"/>
      <c r="KBT2" s="24" t="n"/>
      <c r="KBU2" s="24" t="n"/>
      <c r="KBV2" s="24" t="n"/>
      <c r="KBW2" s="24" t="n"/>
      <c r="KBX2" s="24" t="n"/>
      <c r="KBY2" s="24" t="n"/>
      <c r="KBZ2" s="24" t="n"/>
      <c r="KCA2" s="24" t="n"/>
      <c r="KCB2" s="24" t="n"/>
      <c r="KCC2" s="24" t="n"/>
      <c r="KCD2" s="24" t="n"/>
      <c r="KCE2" s="24" t="n"/>
      <c r="KCF2" s="24" t="n"/>
      <c r="KCG2" s="24" t="n"/>
      <c r="KCH2" s="24" t="n"/>
      <c r="KCI2" s="24" t="n"/>
      <c r="KCJ2" s="24" t="n"/>
      <c r="KCK2" s="24" t="n"/>
      <c r="KCL2" s="24" t="n"/>
      <c r="KCM2" s="24" t="n"/>
      <c r="KCN2" s="24" t="n"/>
      <c r="KCO2" s="24" t="n"/>
      <c r="KCP2" s="24" t="n"/>
      <c r="KCQ2" s="24" t="n"/>
      <c r="KCR2" s="24" t="n"/>
      <c r="KCS2" s="24" t="n"/>
      <c r="KCT2" s="24" t="n"/>
      <c r="KCU2" s="24" t="n"/>
      <c r="KCV2" s="24" t="n"/>
      <c r="KCW2" s="24" t="n"/>
      <c r="KCX2" s="24" t="n"/>
      <c r="KCY2" s="24" t="n"/>
      <c r="KCZ2" s="24" t="n"/>
      <c r="KDA2" s="24" t="n"/>
      <c r="KDB2" s="24" t="n"/>
      <c r="KDC2" s="24" t="n"/>
      <c r="KDD2" s="24" t="n"/>
      <c r="KDE2" s="24" t="n"/>
      <c r="KDF2" s="24" t="n"/>
      <c r="KDG2" s="24" t="n"/>
      <c r="KDH2" s="24" t="n"/>
      <c r="KDI2" s="24" t="n"/>
      <c r="KDJ2" s="24" t="n"/>
      <c r="KDK2" s="24" t="n"/>
      <c r="KDL2" s="24" t="n"/>
      <c r="KDM2" s="24" t="n"/>
      <c r="KDN2" s="24" t="n"/>
      <c r="KDO2" s="24" t="n"/>
      <c r="KDP2" s="24" t="n"/>
      <c r="KDQ2" s="24" t="n"/>
      <c r="KDR2" s="24" t="n"/>
      <c r="KDS2" s="24" t="n"/>
      <c r="KDT2" s="24" t="n"/>
      <c r="KDU2" s="24" t="n"/>
      <c r="KDV2" s="24" t="n"/>
      <c r="KDW2" s="24" t="n"/>
      <c r="KDX2" s="24" t="n"/>
      <c r="KDY2" s="24" t="n"/>
      <c r="KDZ2" s="24" t="n"/>
      <c r="KEA2" s="24" t="n"/>
      <c r="KEB2" s="24" t="n"/>
      <c r="KEC2" s="24" t="n"/>
      <c r="KED2" s="24" t="n"/>
      <c r="KEE2" s="24" t="n"/>
      <c r="KEF2" s="24" t="n"/>
      <c r="KEG2" s="24" t="n"/>
      <c r="KEH2" s="24" t="n"/>
      <c r="KEI2" s="24" t="n"/>
      <c r="KEJ2" s="24" t="n"/>
      <c r="KEK2" s="24" t="n"/>
      <c r="KEL2" s="24" t="n"/>
      <c r="KEM2" s="24" t="n"/>
      <c r="KEN2" s="24" t="n"/>
      <c r="KEO2" s="24" t="n"/>
      <c r="KEP2" s="24" t="n"/>
      <c r="KEQ2" s="24" t="n"/>
      <c r="KER2" s="24" t="n"/>
      <c r="KES2" s="24" t="n"/>
      <c r="KET2" s="24" t="n"/>
      <c r="KEU2" s="24" t="n"/>
      <c r="KEV2" s="24" t="n"/>
      <c r="KEW2" s="24" t="n"/>
      <c r="KEX2" s="24" t="n"/>
      <c r="KEY2" s="24" t="n"/>
      <c r="KEZ2" s="24" t="n"/>
      <c r="KFA2" s="24" t="n"/>
      <c r="KFB2" s="24" t="n"/>
      <c r="KFC2" s="24" t="n"/>
      <c r="KFD2" s="24" t="n"/>
      <c r="KFE2" s="24" t="n"/>
      <c r="KFF2" s="24" t="n"/>
      <c r="KFG2" s="24" t="n"/>
      <c r="KFH2" s="24" t="n"/>
      <c r="KFI2" s="24" t="n"/>
      <c r="KFJ2" s="24" t="n"/>
      <c r="KFK2" s="24" t="n"/>
      <c r="KFL2" s="24" t="n"/>
      <c r="KFM2" s="24" t="n"/>
      <c r="KFN2" s="24" t="n"/>
      <c r="KFO2" s="24" t="n"/>
      <c r="KFP2" s="24" t="n"/>
      <c r="KFQ2" s="24" t="n"/>
      <c r="KFR2" s="24" t="n"/>
      <c r="KFS2" s="24" t="n"/>
      <c r="KFT2" s="24" t="n"/>
      <c r="KFU2" s="24" t="n"/>
      <c r="KFV2" s="24" t="n"/>
      <c r="KFW2" s="24" t="n"/>
      <c r="KFX2" s="24" t="n"/>
      <c r="KFY2" s="24" t="n"/>
      <c r="KFZ2" s="24" t="n"/>
      <c r="KGA2" s="24" t="n"/>
      <c r="KGB2" s="24" t="n"/>
      <c r="KGC2" s="24" t="n"/>
      <c r="KGD2" s="24" t="n"/>
      <c r="KGE2" s="24" t="n"/>
      <c r="KGF2" s="24" t="n"/>
      <c r="KGG2" s="24" t="n"/>
      <c r="KGH2" s="24" t="n"/>
      <c r="KGI2" s="24" t="n"/>
      <c r="KGJ2" s="24" t="n"/>
      <c r="KGK2" s="24" t="n"/>
      <c r="KGL2" s="24" t="n"/>
      <c r="KGM2" s="24" t="n"/>
      <c r="KGN2" s="24" t="n"/>
      <c r="KGO2" s="24" t="n"/>
      <c r="KGP2" s="24" t="n"/>
      <c r="KGQ2" s="24" t="n"/>
      <c r="KGR2" s="24" t="n"/>
      <c r="KGS2" s="24" t="n"/>
      <c r="KGT2" s="24" t="n"/>
      <c r="KGU2" s="24" t="n"/>
      <c r="KGV2" s="24" t="n"/>
      <c r="KGW2" s="24" t="n"/>
      <c r="KGX2" s="24" t="n"/>
      <c r="KGY2" s="24" t="n"/>
      <c r="KGZ2" s="24" t="n"/>
      <c r="KHA2" s="24" t="n"/>
      <c r="KHB2" s="24" t="n"/>
      <c r="KHC2" s="24" t="n"/>
      <c r="KHD2" s="24" t="n"/>
      <c r="KHE2" s="24" t="n"/>
      <c r="KHF2" s="24" t="n"/>
      <c r="KHG2" s="24" t="n"/>
      <c r="KHH2" s="24" t="n"/>
      <c r="KHI2" s="24" t="n"/>
      <c r="KHJ2" s="24" t="n"/>
      <c r="KHK2" s="24" t="n"/>
      <c r="KHL2" s="24" t="n"/>
      <c r="KHM2" s="24" t="n"/>
      <c r="KHN2" s="24" t="n"/>
      <c r="KHO2" s="24" t="n"/>
      <c r="KHP2" s="24" t="n"/>
      <c r="KHQ2" s="24" t="n"/>
      <c r="KHR2" s="24" t="n"/>
      <c r="KHS2" s="24" t="n"/>
      <c r="KHT2" s="24" t="n"/>
      <c r="KHU2" s="24" t="n"/>
      <c r="KHV2" s="24" t="n"/>
      <c r="KHW2" s="24" t="n"/>
      <c r="KHX2" s="24" t="n"/>
      <c r="KHY2" s="24" t="n"/>
      <c r="KHZ2" s="24" t="n"/>
      <c r="KIA2" s="24" t="n"/>
      <c r="KIB2" s="24" t="n"/>
      <c r="KIC2" s="24" t="n"/>
      <c r="KID2" s="24" t="n"/>
      <c r="KIE2" s="24" t="n"/>
      <c r="KIF2" s="24" t="n"/>
      <c r="KIG2" s="24" t="n"/>
      <c r="KIH2" s="24" t="n"/>
      <c r="KII2" s="24" t="n"/>
      <c r="KIJ2" s="24" t="n"/>
      <c r="KIK2" s="24" t="n"/>
      <c r="KIL2" s="24" t="n"/>
      <c r="KIM2" s="24" t="n"/>
      <c r="KIN2" s="24" t="n"/>
      <c r="KIO2" s="24" t="n"/>
      <c r="KIP2" s="24" t="n"/>
      <c r="KIQ2" s="24" t="n"/>
      <c r="KIR2" s="24" t="n"/>
      <c r="KIS2" s="24" t="n"/>
      <c r="KIT2" s="24" t="n"/>
      <c r="KIU2" s="24" t="n"/>
      <c r="KIV2" s="24" t="n"/>
      <c r="KIW2" s="24" t="n"/>
      <c r="KIX2" s="24" t="n"/>
      <c r="KIY2" s="24" t="n"/>
      <c r="KIZ2" s="24" t="n"/>
      <c r="KJA2" s="24" t="n"/>
      <c r="KJB2" s="24" t="n"/>
      <c r="KJC2" s="24" t="n"/>
      <c r="KJD2" s="24" t="n"/>
      <c r="KJE2" s="24" t="n"/>
      <c r="KJF2" s="24" t="n"/>
      <c r="KJG2" s="24" t="n"/>
      <c r="KJH2" s="24" t="n"/>
      <c r="KJI2" s="24" t="n"/>
      <c r="KJJ2" s="24" t="n"/>
      <c r="KJK2" s="24" t="n"/>
      <c r="KJL2" s="24" t="n"/>
      <c r="KJM2" s="24" t="n"/>
      <c r="KJN2" s="24" t="n"/>
      <c r="KJO2" s="24" t="n"/>
      <c r="KJP2" s="24" t="n"/>
      <c r="KJQ2" s="24" t="n"/>
      <c r="KJR2" s="24" t="n"/>
      <c r="KJS2" s="24" t="n"/>
      <c r="KJT2" s="24" t="n"/>
      <c r="KJU2" s="24" t="n"/>
      <c r="KJV2" s="24" t="n"/>
      <c r="KJW2" s="24" t="n"/>
      <c r="KJX2" s="24" t="n"/>
      <c r="KJY2" s="24" t="n"/>
      <c r="KJZ2" s="24" t="n"/>
      <c r="KKA2" s="24" t="n"/>
      <c r="KKB2" s="24" t="n"/>
      <c r="KKC2" s="24" t="n"/>
      <c r="KKD2" s="24" t="n"/>
      <c r="KKE2" s="24" t="n"/>
      <c r="KKF2" s="24" t="n"/>
      <c r="KKG2" s="24" t="n"/>
      <c r="KKH2" s="24" t="n"/>
      <c r="KKI2" s="24" t="n"/>
      <c r="KKJ2" s="24" t="n"/>
      <c r="KKK2" s="24" t="n"/>
      <c r="KKL2" s="24" t="n"/>
      <c r="KKM2" s="24" t="n"/>
      <c r="KKN2" s="24" t="n"/>
      <c r="KKO2" s="24" t="n"/>
      <c r="KKP2" s="24" t="n"/>
      <c r="KKQ2" s="24" t="n"/>
      <c r="KKR2" s="24" t="n"/>
      <c r="KKS2" s="24" t="n"/>
      <c r="KKT2" s="24" t="n"/>
      <c r="KKU2" s="24" t="n"/>
      <c r="KKV2" s="24" t="n"/>
      <c r="KKW2" s="24" t="n"/>
      <c r="KKX2" s="24" t="n"/>
      <c r="KKY2" s="24" t="n"/>
      <c r="KKZ2" s="24" t="n"/>
      <c r="KLA2" s="24" t="n"/>
      <c r="KLB2" s="24" t="n"/>
      <c r="KLC2" s="24" t="n"/>
      <c r="KLD2" s="24" t="n"/>
      <c r="KLE2" s="24" t="n"/>
      <c r="KLF2" s="24" t="n"/>
      <c r="KLG2" s="24" t="n"/>
      <c r="KLH2" s="24" t="n"/>
      <c r="KLI2" s="24" t="n"/>
      <c r="KLJ2" s="24" t="n"/>
      <c r="KLK2" s="24" t="n"/>
      <c r="KLL2" s="24" t="n"/>
      <c r="KLM2" s="24" t="n"/>
      <c r="KLN2" s="24" t="n"/>
      <c r="KLO2" s="24" t="n"/>
      <c r="KLP2" s="24" t="n"/>
      <c r="KLQ2" s="24" t="n"/>
      <c r="KLR2" s="24" t="n"/>
      <c r="KLS2" s="24" t="n"/>
      <c r="KLT2" s="24" t="n"/>
      <c r="KLU2" s="24" t="n"/>
      <c r="KLV2" s="24" t="n"/>
      <c r="KLW2" s="24" t="n"/>
      <c r="KLX2" s="24" t="n"/>
      <c r="KLY2" s="24" t="n"/>
      <c r="KLZ2" s="24" t="n"/>
      <c r="KMA2" s="24" t="n"/>
      <c r="KMB2" s="24" t="n"/>
      <c r="KMC2" s="24" t="n"/>
      <c r="KMD2" s="24" t="n"/>
      <c r="KME2" s="24" t="n"/>
      <c r="KMF2" s="24" t="n"/>
      <c r="KMG2" s="24" t="n"/>
      <c r="KMH2" s="24" t="n"/>
      <c r="KMI2" s="24" t="n"/>
      <c r="KMJ2" s="24" t="n"/>
      <c r="KMK2" s="24" t="n"/>
      <c r="KML2" s="24" t="n"/>
      <c r="KMM2" s="24" t="n"/>
      <c r="KMN2" s="24" t="n"/>
      <c r="KMO2" s="24" t="n"/>
      <c r="KMP2" s="24" t="n"/>
      <c r="KMQ2" s="24" t="n"/>
      <c r="KMR2" s="24" t="n"/>
      <c r="KMS2" s="24" t="n"/>
      <c r="KMT2" s="24" t="n"/>
      <c r="KMU2" s="24" t="n"/>
      <c r="KMV2" s="24" t="n"/>
      <c r="KMW2" s="24" t="n"/>
      <c r="KMX2" s="24" t="n"/>
      <c r="KMY2" s="24" t="n"/>
      <c r="KMZ2" s="24" t="n"/>
      <c r="KNA2" s="24" t="n"/>
      <c r="KNB2" s="24" t="n"/>
      <c r="KNC2" s="24" t="n"/>
      <c r="KND2" s="24" t="n"/>
      <c r="KNE2" s="24" t="n"/>
      <c r="KNF2" s="24" t="n"/>
      <c r="KNG2" s="24" t="n"/>
      <c r="KNH2" s="24" t="n"/>
      <c r="KNI2" s="24" t="n"/>
      <c r="KNJ2" s="24" t="n"/>
      <c r="KNK2" s="24" t="n"/>
      <c r="KNL2" s="24" t="n"/>
      <c r="KNM2" s="24" t="n"/>
      <c r="KNN2" s="24" t="n"/>
      <c r="KNO2" s="24" t="n"/>
      <c r="KNP2" s="24" t="n"/>
      <c r="KNQ2" s="24" t="n"/>
      <c r="KNR2" s="24" t="n"/>
      <c r="KNS2" s="24" t="n"/>
      <c r="KNT2" s="24" t="n"/>
      <c r="KNU2" s="24" t="n"/>
      <c r="KNV2" s="24" t="n"/>
      <c r="KNW2" s="24" t="n"/>
      <c r="KNX2" s="24" t="n"/>
      <c r="KNY2" s="24" t="n"/>
      <c r="KNZ2" s="24" t="n"/>
      <c r="KOA2" s="24" t="n"/>
      <c r="KOB2" s="24" t="n"/>
      <c r="KOC2" s="24" t="n"/>
      <c r="KOD2" s="24" t="n"/>
      <c r="KOE2" s="24" t="n"/>
      <c r="KOF2" s="24" t="n"/>
      <c r="KOG2" s="24" t="n"/>
      <c r="KOH2" s="24" t="n"/>
      <c r="KOI2" s="24" t="n"/>
      <c r="KOJ2" s="24" t="n"/>
      <c r="KOK2" s="24" t="n"/>
      <c r="KOL2" s="24" t="n"/>
      <c r="KOM2" s="24" t="n"/>
      <c r="KON2" s="24" t="n"/>
      <c r="KOO2" s="24" t="n"/>
      <c r="KOP2" s="24" t="n"/>
      <c r="KOQ2" s="24" t="n"/>
      <c r="KOR2" s="24" t="n"/>
      <c r="KOS2" s="24" t="n"/>
      <c r="KOT2" s="24" t="n"/>
      <c r="KOU2" s="24" t="n"/>
      <c r="KOV2" s="24" t="n"/>
      <c r="KOW2" s="24" t="n"/>
      <c r="KOX2" s="24" t="n"/>
      <c r="KOY2" s="24" t="n"/>
      <c r="KOZ2" s="24" t="n"/>
      <c r="KPA2" s="24" t="n"/>
      <c r="KPB2" s="24" t="n"/>
      <c r="KPC2" s="24" t="n"/>
      <c r="KPD2" s="24" t="n"/>
      <c r="KPE2" s="24" t="n"/>
      <c r="KPF2" s="24" t="n"/>
      <c r="KPG2" s="24" t="n"/>
      <c r="KPH2" s="24" t="n"/>
      <c r="KPI2" s="24" t="n"/>
      <c r="KPJ2" s="24" t="n"/>
      <c r="KPK2" s="24" t="n"/>
      <c r="KPL2" s="24" t="n"/>
      <c r="KPM2" s="24" t="n"/>
      <c r="KPN2" s="24" t="n"/>
      <c r="KPO2" s="24" t="n"/>
      <c r="KPP2" s="24" t="n"/>
      <c r="KPQ2" s="24" t="n"/>
      <c r="KPR2" s="24" t="n"/>
      <c r="KPS2" s="24" t="n"/>
      <c r="KPT2" s="24" t="n"/>
      <c r="KPU2" s="24" t="n"/>
      <c r="KPV2" s="24" t="n"/>
      <c r="KPW2" s="24" t="n"/>
      <c r="KPX2" s="24" t="n"/>
      <c r="KPY2" s="24" t="n"/>
      <c r="KPZ2" s="24" t="n"/>
      <c r="KQA2" s="24" t="n"/>
      <c r="KQB2" s="24" t="n"/>
      <c r="KQC2" s="24" t="n"/>
      <c r="KQD2" s="24" t="n"/>
      <c r="KQE2" s="24" t="n"/>
      <c r="KQF2" s="24" t="n"/>
      <c r="KQG2" s="24" t="n"/>
      <c r="KQH2" s="24" t="n"/>
      <c r="KQI2" s="24" t="n"/>
      <c r="KQJ2" s="24" t="n"/>
      <c r="KQK2" s="24" t="n"/>
      <c r="KQL2" s="24" t="n"/>
      <c r="KQM2" s="24" t="n"/>
      <c r="KQN2" s="24" t="n"/>
      <c r="KQO2" s="24" t="n"/>
      <c r="KQP2" s="24" t="n"/>
      <c r="KQQ2" s="24" t="n"/>
      <c r="KQR2" s="24" t="n"/>
      <c r="KQS2" s="24" t="n"/>
      <c r="KQT2" s="24" t="n"/>
      <c r="KQU2" s="24" t="n"/>
      <c r="KQV2" s="24" t="n"/>
      <c r="KQW2" s="24" t="n"/>
      <c r="KQX2" s="24" t="n"/>
      <c r="KQY2" s="24" t="n"/>
      <c r="KQZ2" s="24" t="n"/>
      <c r="KRA2" s="24" t="n"/>
      <c r="KRB2" s="24" t="n"/>
      <c r="KRC2" s="24" t="n"/>
      <c r="KRD2" s="24" t="n"/>
      <c r="KRE2" s="24" t="n"/>
      <c r="KRF2" s="24" t="n"/>
      <c r="KRG2" s="24" t="n"/>
      <c r="KRH2" s="24" t="n"/>
      <c r="KRI2" s="24" t="n"/>
      <c r="KRJ2" s="24" t="n"/>
      <c r="KRK2" s="24" t="n"/>
      <c r="KRL2" s="24" t="n"/>
      <c r="KRM2" s="24" t="n"/>
      <c r="KRN2" s="24" t="n"/>
      <c r="KRO2" s="24" t="n"/>
      <c r="KRP2" s="24" t="n"/>
      <c r="KRQ2" s="24" t="n"/>
      <c r="KRR2" s="24" t="n"/>
      <c r="KRS2" s="24" t="n"/>
      <c r="KRT2" s="24" t="n"/>
      <c r="KRU2" s="24" t="n"/>
      <c r="KRV2" s="24" t="n"/>
      <c r="KRW2" s="24" t="n"/>
      <c r="KRX2" s="24" t="n"/>
      <c r="KRY2" s="24" t="n"/>
      <c r="KRZ2" s="24" t="n"/>
      <c r="KSA2" s="24" t="n"/>
      <c r="KSB2" s="24" t="n"/>
      <c r="KSC2" s="24" t="n"/>
      <c r="KSD2" s="24" t="n"/>
      <c r="KSE2" s="24" t="n"/>
      <c r="KSF2" s="24" t="n"/>
      <c r="KSG2" s="24" t="n"/>
      <c r="KSH2" s="24" t="n"/>
      <c r="KSI2" s="24" t="n"/>
      <c r="KSJ2" s="24" t="n"/>
      <c r="KSK2" s="24" t="n"/>
      <c r="KSL2" s="24" t="n"/>
      <c r="KSM2" s="24" t="n"/>
      <c r="KSN2" s="24" t="n"/>
      <c r="KSO2" s="24" t="n"/>
      <c r="KSP2" s="24" t="n"/>
      <c r="KSQ2" s="24" t="n"/>
      <c r="KSR2" s="24" t="n"/>
      <c r="KSS2" s="24" t="n"/>
      <c r="KST2" s="24" t="n"/>
      <c r="KSU2" s="24" t="n"/>
      <c r="KSV2" s="24" t="n"/>
      <c r="KSW2" s="24" t="n"/>
      <c r="KSX2" s="24" t="n"/>
      <c r="KSY2" s="24" t="n"/>
      <c r="KSZ2" s="24" t="n"/>
      <c r="KTA2" s="24" t="n"/>
      <c r="KTB2" s="24" t="n"/>
      <c r="KTC2" s="24" t="n"/>
      <c r="KTD2" s="24" t="n"/>
      <c r="KTE2" s="24" t="n"/>
      <c r="KTF2" s="24" t="n"/>
      <c r="KTG2" s="24" t="n"/>
      <c r="KTH2" s="24" t="n"/>
      <c r="KTI2" s="24" t="n"/>
      <c r="KTJ2" s="24" t="n"/>
      <c r="KTK2" s="24" t="n"/>
      <c r="KTL2" s="24" t="n"/>
      <c r="KTM2" s="24" t="n"/>
      <c r="KTN2" s="24" t="n"/>
      <c r="KTO2" s="24" t="n"/>
      <c r="KTP2" s="24" t="n"/>
      <c r="KTQ2" s="24" t="n"/>
      <c r="KTR2" s="24" t="n"/>
      <c r="KTS2" s="24" t="n"/>
      <c r="KTT2" s="24" t="n"/>
      <c r="KTU2" s="24" t="n"/>
      <c r="KTV2" s="24" t="n"/>
      <c r="KTW2" s="24" t="n"/>
      <c r="KTX2" s="24" t="n"/>
      <c r="KTY2" s="24" t="n"/>
      <c r="KTZ2" s="24" t="n"/>
      <c r="KUA2" s="24" t="n"/>
      <c r="KUB2" s="24" t="n"/>
      <c r="KUC2" s="24" t="n"/>
      <c r="KUD2" s="24" t="n"/>
      <c r="KUE2" s="24" t="n"/>
      <c r="KUF2" s="24" t="n"/>
      <c r="KUG2" s="24" t="n"/>
      <c r="KUH2" s="24" t="n"/>
      <c r="KUI2" s="24" t="n"/>
      <c r="KUJ2" s="24" t="n"/>
      <c r="KUK2" s="24" t="n"/>
      <c r="KUL2" s="24" t="n"/>
      <c r="KUM2" s="24" t="n"/>
      <c r="KUN2" s="24" t="n"/>
      <c r="KUO2" s="24" t="n"/>
      <c r="KUP2" s="24" t="n"/>
      <c r="KUQ2" s="24" t="n"/>
      <c r="KUR2" s="24" t="n"/>
      <c r="KUS2" s="24" t="n"/>
      <c r="KUT2" s="24" t="n"/>
      <c r="KUU2" s="24" t="n"/>
      <c r="KUV2" s="24" t="n"/>
      <c r="KUW2" s="24" t="n"/>
      <c r="KUX2" s="24" t="n"/>
      <c r="KUY2" s="24" t="n"/>
      <c r="KUZ2" s="24" t="n"/>
      <c r="KVA2" s="24" t="n"/>
      <c r="KVB2" s="24" t="n"/>
      <c r="KVC2" s="24" t="n"/>
      <c r="KVD2" s="24" t="n"/>
      <c r="KVE2" s="24" t="n"/>
      <c r="KVF2" s="24" t="n"/>
      <c r="KVG2" s="24" t="n"/>
      <c r="KVH2" s="24" t="n"/>
      <c r="KVI2" s="24" t="n"/>
      <c r="KVJ2" s="24" t="n"/>
      <c r="KVK2" s="24" t="n"/>
      <c r="KVL2" s="24" t="n"/>
      <c r="KVM2" s="24" t="n"/>
      <c r="KVN2" s="24" t="n"/>
      <c r="KVO2" s="24" t="n"/>
      <c r="KVP2" s="24" t="n"/>
      <c r="KVQ2" s="24" t="n"/>
      <c r="KVR2" s="24" t="n"/>
      <c r="KVS2" s="24" t="n"/>
      <c r="KVT2" s="24" t="n"/>
      <c r="KVU2" s="24" t="n"/>
      <c r="KVV2" s="24" t="n"/>
      <c r="KVW2" s="24" t="n"/>
      <c r="KVX2" s="24" t="n"/>
      <c r="KVY2" s="24" t="n"/>
      <c r="KVZ2" s="24" t="n"/>
      <c r="KWA2" s="24" t="n"/>
      <c r="KWB2" s="24" t="n"/>
      <c r="KWC2" s="24" t="n"/>
      <c r="KWD2" s="24" t="n"/>
      <c r="KWE2" s="24" t="n"/>
      <c r="KWF2" s="24" t="n"/>
      <c r="KWG2" s="24" t="n"/>
      <c r="KWH2" s="24" t="n"/>
      <c r="KWI2" s="24" t="n"/>
      <c r="KWJ2" s="24" t="n"/>
      <c r="KWK2" s="24" t="n"/>
      <c r="KWL2" s="24" t="n"/>
      <c r="KWM2" s="24" t="n"/>
      <c r="KWN2" s="24" t="n"/>
      <c r="KWO2" s="24" t="n"/>
      <c r="KWP2" s="24" t="n"/>
      <c r="KWQ2" s="24" t="n"/>
      <c r="KWR2" s="24" t="n"/>
      <c r="KWS2" s="24" t="n"/>
      <c r="KWT2" s="24" t="n"/>
      <c r="KWU2" s="24" t="n"/>
      <c r="KWV2" s="24" t="n"/>
      <c r="KWW2" s="24" t="n"/>
      <c r="KWX2" s="24" t="n"/>
      <c r="KWY2" s="24" t="n"/>
      <c r="KWZ2" s="24" t="n"/>
      <c r="KXA2" s="24" t="n"/>
      <c r="KXB2" s="24" t="n"/>
      <c r="KXC2" s="24" t="n"/>
      <c r="KXD2" s="24" t="n"/>
      <c r="KXE2" s="24" t="n"/>
      <c r="KXF2" s="24" t="n"/>
      <c r="KXG2" s="24" t="n"/>
      <c r="KXH2" s="24" t="n"/>
      <c r="KXI2" s="24" t="n"/>
      <c r="KXJ2" s="24" t="n"/>
      <c r="KXK2" s="24" t="n"/>
      <c r="KXL2" s="24" t="n"/>
      <c r="KXM2" s="24" t="n"/>
      <c r="KXN2" s="24" t="n"/>
      <c r="KXO2" s="24" t="n"/>
      <c r="KXP2" s="24" t="n"/>
      <c r="KXQ2" s="24" t="n"/>
      <c r="KXR2" s="24" t="n"/>
      <c r="KXS2" s="24" t="n"/>
      <c r="KXT2" s="24" t="n"/>
      <c r="KXU2" s="24" t="n"/>
      <c r="KXV2" s="24" t="n"/>
      <c r="KXW2" s="24" t="n"/>
      <c r="KXX2" s="24" t="n"/>
      <c r="KXY2" s="24" t="n"/>
      <c r="KXZ2" s="24" t="n"/>
      <c r="KYA2" s="24" t="n"/>
      <c r="KYB2" s="24" t="n"/>
      <c r="KYC2" s="24" t="n"/>
      <c r="KYD2" s="24" t="n"/>
      <c r="KYE2" s="24" t="n"/>
      <c r="KYF2" s="24" t="n"/>
      <c r="KYG2" s="24" t="n"/>
      <c r="KYH2" s="24" t="n"/>
      <c r="KYI2" s="24" t="n"/>
      <c r="KYJ2" s="24" t="n"/>
      <c r="KYK2" s="24" t="n"/>
      <c r="KYL2" s="24" t="n"/>
      <c r="KYM2" s="24" t="n"/>
      <c r="KYN2" s="24" t="n"/>
      <c r="KYO2" s="24" t="n"/>
      <c r="KYP2" s="24" t="n"/>
      <c r="KYQ2" s="24" t="n"/>
      <c r="KYR2" s="24" t="n"/>
      <c r="KYS2" s="24" t="n"/>
      <c r="KYT2" s="24" t="n"/>
      <c r="KYU2" s="24" t="n"/>
      <c r="KYV2" s="24" t="n"/>
      <c r="KYW2" s="24" t="n"/>
      <c r="KYX2" s="24" t="n"/>
      <c r="KYY2" s="24" t="n"/>
      <c r="KYZ2" s="24" t="n"/>
      <c r="KZA2" s="24" t="n"/>
      <c r="KZB2" s="24" t="n"/>
      <c r="KZC2" s="24" t="n"/>
      <c r="KZD2" s="24" t="n"/>
      <c r="KZE2" s="24" t="n"/>
      <c r="KZF2" s="24" t="n"/>
      <c r="KZG2" s="24" t="n"/>
      <c r="KZH2" s="24" t="n"/>
      <c r="KZI2" s="24" t="n"/>
      <c r="KZJ2" s="24" t="n"/>
      <c r="KZK2" s="24" t="n"/>
      <c r="KZL2" s="24" t="n"/>
      <c r="KZM2" s="24" t="n"/>
      <c r="KZN2" s="24" t="n"/>
      <c r="KZO2" s="24" t="n"/>
      <c r="KZP2" s="24" t="n"/>
      <c r="KZQ2" s="24" t="n"/>
      <c r="KZR2" s="24" t="n"/>
      <c r="KZS2" s="24" t="n"/>
      <c r="KZT2" s="24" t="n"/>
      <c r="KZU2" s="24" t="n"/>
      <c r="KZV2" s="24" t="n"/>
      <c r="KZW2" s="24" t="n"/>
      <c r="KZX2" s="24" t="n"/>
      <c r="KZY2" s="24" t="n"/>
      <c r="KZZ2" s="24" t="n"/>
      <c r="LAA2" s="24" t="n"/>
      <c r="LAB2" s="24" t="n"/>
      <c r="LAC2" s="24" t="n"/>
      <c r="LAD2" s="24" t="n"/>
      <c r="LAE2" s="24" t="n"/>
      <c r="LAF2" s="24" t="n"/>
      <c r="LAG2" s="24" t="n"/>
      <c r="LAH2" s="24" t="n"/>
      <c r="LAI2" s="24" t="n"/>
      <c r="LAJ2" s="24" t="n"/>
      <c r="LAK2" s="24" t="n"/>
      <c r="LAL2" s="24" t="n"/>
      <c r="LAM2" s="24" t="n"/>
      <c r="LAN2" s="24" t="n"/>
      <c r="LAO2" s="24" t="n"/>
      <c r="LAP2" s="24" t="n"/>
      <c r="LAQ2" s="24" t="n"/>
      <c r="LAR2" s="24" t="n"/>
      <c r="LAS2" s="24" t="n"/>
      <c r="LAT2" s="24" t="n"/>
      <c r="LAU2" s="24" t="n"/>
      <c r="LAV2" s="24" t="n"/>
      <c r="LAW2" s="24" t="n"/>
      <c r="LAX2" s="24" t="n"/>
      <c r="LAY2" s="24" t="n"/>
      <c r="LAZ2" s="24" t="n"/>
      <c r="LBA2" s="24" t="n"/>
      <c r="LBB2" s="24" t="n"/>
      <c r="LBC2" s="24" t="n"/>
      <c r="LBD2" s="24" t="n"/>
      <c r="LBE2" s="24" t="n"/>
      <c r="LBF2" s="24" t="n"/>
      <c r="LBG2" s="24" t="n"/>
      <c r="LBH2" s="24" t="n"/>
      <c r="LBI2" s="24" t="n"/>
      <c r="LBJ2" s="24" t="n"/>
      <c r="LBK2" s="24" t="n"/>
      <c r="LBL2" s="24" t="n"/>
      <c r="LBM2" s="24" t="n"/>
      <c r="LBN2" s="24" t="n"/>
      <c r="LBO2" s="24" t="n"/>
      <c r="LBP2" s="24" t="n"/>
      <c r="LBQ2" s="24" t="n"/>
      <c r="LBR2" s="24" t="n"/>
      <c r="LBS2" s="24" t="n"/>
      <c r="LBT2" s="24" t="n"/>
      <c r="LBU2" s="24" t="n"/>
      <c r="LBV2" s="24" t="n"/>
      <c r="LBW2" s="24" t="n"/>
      <c r="LBX2" s="24" t="n"/>
      <c r="LBY2" s="24" t="n"/>
      <c r="LBZ2" s="24" t="n"/>
      <c r="LCA2" s="24" t="n"/>
      <c r="LCB2" s="24" t="n"/>
      <c r="LCC2" s="24" t="n"/>
      <c r="LCD2" s="24" t="n"/>
      <c r="LCE2" s="24" t="n"/>
      <c r="LCF2" s="24" t="n"/>
      <c r="LCG2" s="24" t="n"/>
      <c r="LCH2" s="24" t="n"/>
      <c r="LCI2" s="24" t="n"/>
      <c r="LCJ2" s="24" t="n"/>
      <c r="LCK2" s="24" t="n"/>
      <c r="LCL2" s="24" t="n"/>
      <c r="LCM2" s="24" t="n"/>
      <c r="LCN2" s="24" t="n"/>
      <c r="LCO2" s="24" t="n"/>
      <c r="LCP2" s="24" t="n"/>
      <c r="LCQ2" s="24" t="n"/>
      <c r="LCR2" s="24" t="n"/>
      <c r="LCS2" s="24" t="n"/>
      <c r="LCT2" s="24" t="n"/>
      <c r="LCU2" s="24" t="n"/>
      <c r="LCV2" s="24" t="n"/>
      <c r="LCW2" s="24" t="n"/>
      <c r="LCX2" s="24" t="n"/>
      <c r="LCY2" s="24" t="n"/>
      <c r="LCZ2" s="24" t="n"/>
      <c r="LDA2" s="24" t="n"/>
      <c r="LDB2" s="24" t="n"/>
      <c r="LDC2" s="24" t="n"/>
      <c r="LDD2" s="24" t="n"/>
      <c r="LDE2" s="24" t="n"/>
      <c r="LDF2" s="24" t="n"/>
      <c r="LDG2" s="24" t="n"/>
      <c r="LDH2" s="24" t="n"/>
      <c r="LDI2" s="24" t="n"/>
      <c r="LDJ2" s="24" t="n"/>
      <c r="LDK2" s="24" t="n"/>
      <c r="LDL2" s="24" t="n"/>
      <c r="LDM2" s="24" t="n"/>
      <c r="LDN2" s="24" t="n"/>
      <c r="LDO2" s="24" t="n"/>
      <c r="LDP2" s="24" t="n"/>
      <c r="LDQ2" s="24" t="n"/>
      <c r="LDR2" s="24" t="n"/>
      <c r="LDS2" s="24" t="n"/>
      <c r="LDT2" s="24" t="n"/>
      <c r="LDU2" s="24" t="n"/>
      <c r="LDV2" s="24" t="n"/>
      <c r="LDW2" s="24" t="n"/>
      <c r="LDX2" s="24" t="n"/>
      <c r="LDY2" s="24" t="n"/>
      <c r="LDZ2" s="24" t="n"/>
      <c r="LEA2" s="24" t="n"/>
      <c r="LEB2" s="24" t="n"/>
      <c r="LEC2" s="24" t="n"/>
      <c r="LED2" s="24" t="n"/>
      <c r="LEE2" s="24" t="n"/>
      <c r="LEF2" s="24" t="n"/>
      <c r="LEG2" s="24" t="n"/>
      <c r="LEH2" s="24" t="n"/>
      <c r="LEI2" s="24" t="n"/>
      <c r="LEJ2" s="24" t="n"/>
      <c r="LEK2" s="24" t="n"/>
      <c r="LEL2" s="24" t="n"/>
      <c r="LEM2" s="24" t="n"/>
      <c r="LEN2" s="24" t="n"/>
      <c r="LEO2" s="24" t="n"/>
      <c r="LEP2" s="24" t="n"/>
      <c r="LEQ2" s="24" t="n"/>
      <c r="LER2" s="24" t="n"/>
      <c r="LES2" s="24" t="n"/>
      <c r="LET2" s="24" t="n"/>
      <c r="LEU2" s="24" t="n"/>
      <c r="LEV2" s="24" t="n"/>
      <c r="LEW2" s="24" t="n"/>
      <c r="LEX2" s="24" t="n"/>
      <c r="LEY2" s="24" t="n"/>
      <c r="LEZ2" s="24" t="n"/>
      <c r="LFA2" s="24" t="n"/>
      <c r="LFB2" s="24" t="n"/>
      <c r="LFC2" s="24" t="n"/>
      <c r="LFD2" s="24" t="n"/>
      <c r="LFE2" s="24" t="n"/>
      <c r="LFF2" s="24" t="n"/>
      <c r="LFG2" s="24" t="n"/>
      <c r="LFH2" s="24" t="n"/>
      <c r="LFI2" s="24" t="n"/>
      <c r="LFJ2" s="24" t="n"/>
      <c r="LFK2" s="24" t="n"/>
      <c r="LFL2" s="24" t="n"/>
      <c r="LFM2" s="24" t="n"/>
      <c r="LFN2" s="24" t="n"/>
      <c r="LFO2" s="24" t="n"/>
      <c r="LFP2" s="24" t="n"/>
      <c r="LFQ2" s="24" t="n"/>
      <c r="LFR2" s="24" t="n"/>
      <c r="LFS2" s="24" t="n"/>
      <c r="LFT2" s="24" t="n"/>
      <c r="LFU2" s="24" t="n"/>
      <c r="LFV2" s="24" t="n"/>
      <c r="LFW2" s="24" t="n"/>
      <c r="LFX2" s="24" t="n"/>
      <c r="LFY2" s="24" t="n"/>
      <c r="LFZ2" s="24" t="n"/>
      <c r="LGA2" s="24" t="n"/>
      <c r="LGB2" s="24" t="n"/>
      <c r="LGC2" s="24" t="n"/>
      <c r="LGD2" s="24" t="n"/>
      <c r="LGE2" s="24" t="n"/>
      <c r="LGF2" s="24" t="n"/>
      <c r="LGG2" s="24" t="n"/>
      <c r="LGH2" s="24" t="n"/>
      <c r="LGI2" s="24" t="n"/>
      <c r="LGJ2" s="24" t="n"/>
      <c r="LGK2" s="24" t="n"/>
      <c r="LGL2" s="24" t="n"/>
      <c r="LGM2" s="24" t="n"/>
      <c r="LGN2" s="24" t="n"/>
      <c r="LGO2" s="24" t="n"/>
      <c r="LGP2" s="24" t="n"/>
      <c r="LGQ2" s="24" t="n"/>
      <c r="LGR2" s="24" t="n"/>
      <c r="LGS2" s="24" t="n"/>
      <c r="LGT2" s="24" t="n"/>
      <c r="LGU2" s="24" t="n"/>
      <c r="LGV2" s="24" t="n"/>
      <c r="LGW2" s="24" t="n"/>
      <c r="LGX2" s="24" t="n"/>
      <c r="LGY2" s="24" t="n"/>
      <c r="LGZ2" s="24" t="n"/>
      <c r="LHA2" s="24" t="n"/>
      <c r="LHB2" s="24" t="n"/>
      <c r="LHC2" s="24" t="n"/>
      <c r="LHD2" s="24" t="n"/>
      <c r="LHE2" s="24" t="n"/>
      <c r="LHF2" s="24" t="n"/>
      <c r="LHG2" s="24" t="n"/>
      <c r="LHH2" s="24" t="n"/>
      <c r="LHI2" s="24" t="n"/>
      <c r="LHJ2" s="24" t="n"/>
      <c r="LHK2" s="24" t="n"/>
      <c r="LHL2" s="24" t="n"/>
      <c r="LHM2" s="24" t="n"/>
      <c r="LHN2" s="24" t="n"/>
      <c r="LHO2" s="24" t="n"/>
      <c r="LHP2" s="24" t="n"/>
      <c r="LHQ2" s="24" t="n"/>
      <c r="LHR2" s="24" t="n"/>
      <c r="LHS2" s="24" t="n"/>
      <c r="LHT2" s="24" t="n"/>
      <c r="LHU2" s="24" t="n"/>
      <c r="LHV2" s="24" t="n"/>
      <c r="LHW2" s="24" t="n"/>
      <c r="LHX2" s="24" t="n"/>
      <c r="LHY2" s="24" t="n"/>
      <c r="LHZ2" s="24" t="n"/>
      <c r="LIA2" s="24" t="n"/>
      <c r="LIB2" s="24" t="n"/>
      <c r="LIC2" s="24" t="n"/>
      <c r="LID2" s="24" t="n"/>
      <c r="LIE2" s="24" t="n"/>
      <c r="LIF2" s="24" t="n"/>
      <c r="LIG2" s="24" t="n"/>
      <c r="LIH2" s="24" t="n"/>
      <c r="LII2" s="24" t="n"/>
      <c r="LIJ2" s="24" t="n"/>
      <c r="LIK2" s="24" t="n"/>
      <c r="LIL2" s="24" t="n"/>
      <c r="LIM2" s="24" t="n"/>
      <c r="LIN2" s="24" t="n"/>
      <c r="LIO2" s="24" t="n"/>
      <c r="LIP2" s="24" t="n"/>
      <c r="LIQ2" s="24" t="n"/>
      <c r="LIR2" s="24" t="n"/>
      <c r="LIS2" s="24" t="n"/>
      <c r="LIT2" s="24" t="n"/>
      <c r="LIU2" s="24" t="n"/>
      <c r="LIV2" s="24" t="n"/>
      <c r="LIW2" s="24" t="n"/>
      <c r="LIX2" s="24" t="n"/>
      <c r="LIY2" s="24" t="n"/>
      <c r="LIZ2" s="24" t="n"/>
      <c r="LJA2" s="24" t="n"/>
      <c r="LJB2" s="24" t="n"/>
      <c r="LJC2" s="24" t="n"/>
      <c r="LJD2" s="24" t="n"/>
      <c r="LJE2" s="24" t="n"/>
      <c r="LJF2" s="24" t="n"/>
      <c r="LJG2" s="24" t="n"/>
      <c r="LJH2" s="24" t="n"/>
      <c r="LJI2" s="24" t="n"/>
      <c r="LJJ2" s="24" t="n"/>
      <c r="LJK2" s="24" t="n"/>
      <c r="LJL2" s="24" t="n"/>
      <c r="LJM2" s="24" t="n"/>
      <c r="LJN2" s="24" t="n"/>
      <c r="LJO2" s="24" t="n"/>
      <c r="LJP2" s="24" t="n"/>
      <c r="LJQ2" s="24" t="n"/>
      <c r="LJR2" s="24" t="n"/>
      <c r="LJS2" s="24" t="n"/>
      <c r="LJT2" s="24" t="n"/>
      <c r="LJU2" s="24" t="n"/>
      <c r="LJV2" s="24" t="n"/>
      <c r="LJW2" s="24" t="n"/>
      <c r="LJX2" s="24" t="n"/>
      <c r="LJY2" s="24" t="n"/>
      <c r="LJZ2" s="24" t="n"/>
      <c r="LKA2" s="24" t="n"/>
      <c r="LKB2" s="24" t="n"/>
      <c r="LKC2" s="24" t="n"/>
      <c r="LKD2" s="24" t="n"/>
      <c r="LKE2" s="24" t="n"/>
      <c r="LKF2" s="24" t="n"/>
      <c r="LKG2" s="24" t="n"/>
      <c r="LKH2" s="24" t="n"/>
      <c r="LKI2" s="24" t="n"/>
      <c r="LKJ2" s="24" t="n"/>
      <c r="LKK2" s="24" t="n"/>
      <c r="LKL2" s="24" t="n"/>
      <c r="LKM2" s="24" t="n"/>
      <c r="LKN2" s="24" t="n"/>
      <c r="LKO2" s="24" t="n"/>
      <c r="LKP2" s="24" t="n"/>
      <c r="LKQ2" s="24" t="n"/>
      <c r="LKR2" s="24" t="n"/>
      <c r="LKS2" s="24" t="n"/>
      <c r="LKT2" s="24" t="n"/>
      <c r="LKU2" s="24" t="n"/>
      <c r="LKV2" s="24" t="n"/>
      <c r="LKW2" s="24" t="n"/>
      <c r="LKX2" s="24" t="n"/>
      <c r="LKY2" s="24" t="n"/>
      <c r="LKZ2" s="24" t="n"/>
      <c r="LLA2" s="24" t="n"/>
      <c r="LLB2" s="24" t="n"/>
      <c r="LLC2" s="24" t="n"/>
      <c r="LLD2" s="24" t="n"/>
      <c r="LLE2" s="24" t="n"/>
      <c r="LLF2" s="24" t="n"/>
      <c r="LLG2" s="24" t="n"/>
      <c r="LLH2" s="24" t="n"/>
      <c r="LLI2" s="24" t="n"/>
      <c r="LLJ2" s="24" t="n"/>
      <c r="LLK2" s="24" t="n"/>
      <c r="LLL2" s="24" t="n"/>
      <c r="LLM2" s="24" t="n"/>
      <c r="LLN2" s="24" t="n"/>
      <c r="LLO2" s="24" t="n"/>
      <c r="LLP2" s="24" t="n"/>
      <c r="LLQ2" s="24" t="n"/>
      <c r="LLR2" s="24" t="n"/>
      <c r="LLS2" s="24" t="n"/>
      <c r="LLT2" s="24" t="n"/>
      <c r="LLU2" s="24" t="n"/>
      <c r="LLV2" s="24" t="n"/>
      <c r="LLW2" s="24" t="n"/>
      <c r="LLX2" s="24" t="n"/>
      <c r="LLY2" s="24" t="n"/>
      <c r="LLZ2" s="24" t="n"/>
      <c r="LMA2" s="24" t="n"/>
      <c r="LMB2" s="24" t="n"/>
      <c r="LMC2" s="24" t="n"/>
      <c r="LMD2" s="24" t="n"/>
      <c r="LME2" s="24" t="n"/>
      <c r="LMF2" s="24" t="n"/>
      <c r="LMG2" s="24" t="n"/>
      <c r="LMH2" s="24" t="n"/>
      <c r="LMI2" s="24" t="n"/>
      <c r="LMJ2" s="24" t="n"/>
      <c r="LMK2" s="24" t="n"/>
      <c r="LML2" s="24" t="n"/>
      <c r="LMM2" s="24" t="n"/>
      <c r="LMN2" s="24" t="n"/>
      <c r="LMO2" s="24" t="n"/>
      <c r="LMP2" s="24" t="n"/>
      <c r="LMQ2" s="24" t="n"/>
      <c r="LMR2" s="24" t="n"/>
      <c r="LMS2" s="24" t="n"/>
      <c r="LMT2" s="24" t="n"/>
      <c r="LMU2" s="24" t="n"/>
      <c r="LMV2" s="24" t="n"/>
      <c r="LMW2" s="24" t="n"/>
      <c r="LMX2" s="24" t="n"/>
      <c r="LMY2" s="24" t="n"/>
      <c r="LMZ2" s="24" t="n"/>
      <c r="LNA2" s="24" t="n"/>
      <c r="LNB2" s="24" t="n"/>
      <c r="LNC2" s="24" t="n"/>
      <c r="LND2" s="24" t="n"/>
      <c r="LNE2" s="24" t="n"/>
      <c r="LNF2" s="24" t="n"/>
      <c r="LNG2" s="24" t="n"/>
      <c r="LNH2" s="24" t="n"/>
      <c r="LNI2" s="24" t="n"/>
      <c r="LNJ2" s="24" t="n"/>
      <c r="LNK2" s="24" t="n"/>
      <c r="LNL2" s="24" t="n"/>
      <c r="LNM2" s="24" t="n"/>
      <c r="LNN2" s="24" t="n"/>
      <c r="LNO2" s="24" t="n"/>
      <c r="LNP2" s="24" t="n"/>
      <c r="LNQ2" s="24" t="n"/>
      <c r="LNR2" s="24" t="n"/>
      <c r="LNS2" s="24" t="n"/>
      <c r="LNT2" s="24" t="n"/>
      <c r="LNU2" s="24" t="n"/>
      <c r="LNV2" s="24" t="n"/>
      <c r="LNW2" s="24" t="n"/>
      <c r="LNX2" s="24" t="n"/>
      <c r="LNY2" s="24" t="n"/>
      <c r="LNZ2" s="24" t="n"/>
      <c r="LOA2" s="24" t="n"/>
      <c r="LOB2" s="24" t="n"/>
      <c r="LOC2" s="24" t="n"/>
      <c r="LOD2" s="24" t="n"/>
      <c r="LOE2" s="24" t="n"/>
      <c r="LOF2" s="24" t="n"/>
      <c r="LOG2" s="24" t="n"/>
      <c r="LOH2" s="24" t="n"/>
      <c r="LOI2" s="24" t="n"/>
      <c r="LOJ2" s="24" t="n"/>
      <c r="LOK2" s="24" t="n"/>
      <c r="LOL2" s="24" t="n"/>
      <c r="LOM2" s="24" t="n"/>
      <c r="LON2" s="24" t="n"/>
      <c r="LOO2" s="24" t="n"/>
      <c r="LOP2" s="24" t="n"/>
      <c r="LOQ2" s="24" t="n"/>
      <c r="LOR2" s="24" t="n"/>
      <c r="LOS2" s="24" t="n"/>
      <c r="LOT2" s="24" t="n"/>
      <c r="LOU2" s="24" t="n"/>
      <c r="LOV2" s="24" t="n"/>
      <c r="LOW2" s="24" t="n"/>
      <c r="LOX2" s="24" t="n"/>
      <c r="LOY2" s="24" t="n"/>
      <c r="LOZ2" s="24" t="n"/>
      <c r="LPA2" s="24" t="n"/>
      <c r="LPB2" s="24" t="n"/>
      <c r="LPC2" s="24" t="n"/>
      <c r="LPD2" s="24" t="n"/>
      <c r="LPE2" s="24" t="n"/>
      <c r="LPF2" s="24" t="n"/>
      <c r="LPG2" s="24" t="n"/>
      <c r="LPH2" s="24" t="n"/>
      <c r="LPI2" s="24" t="n"/>
      <c r="LPJ2" s="24" t="n"/>
      <c r="LPK2" s="24" t="n"/>
      <c r="LPL2" s="24" t="n"/>
      <c r="LPM2" s="24" t="n"/>
      <c r="LPN2" s="24" t="n"/>
      <c r="LPO2" s="24" t="n"/>
      <c r="LPP2" s="24" t="n"/>
      <c r="LPQ2" s="24" t="n"/>
      <c r="LPR2" s="24" t="n"/>
      <c r="LPS2" s="24" t="n"/>
      <c r="LPT2" s="24" t="n"/>
      <c r="LPU2" s="24" t="n"/>
      <c r="LPV2" s="24" t="n"/>
      <c r="LPW2" s="24" t="n"/>
      <c r="LPX2" s="24" t="n"/>
      <c r="LPY2" s="24" t="n"/>
      <c r="LPZ2" s="24" t="n"/>
      <c r="LQA2" s="24" t="n"/>
      <c r="LQB2" s="24" t="n"/>
      <c r="LQC2" s="24" t="n"/>
      <c r="LQD2" s="24" t="n"/>
      <c r="LQE2" s="24" t="n"/>
      <c r="LQF2" s="24" t="n"/>
      <c r="LQG2" s="24" t="n"/>
      <c r="LQH2" s="24" t="n"/>
      <c r="LQI2" s="24" t="n"/>
      <c r="LQJ2" s="24" t="n"/>
      <c r="LQK2" s="24" t="n"/>
      <c r="LQL2" s="24" t="n"/>
      <c r="LQM2" s="24" t="n"/>
      <c r="LQN2" s="24" t="n"/>
      <c r="LQO2" s="24" t="n"/>
      <c r="LQP2" s="24" t="n"/>
      <c r="LQQ2" s="24" t="n"/>
      <c r="LQR2" s="24" t="n"/>
      <c r="LQS2" s="24" t="n"/>
      <c r="LQT2" s="24" t="n"/>
      <c r="LQU2" s="24" t="n"/>
      <c r="LQV2" s="24" t="n"/>
      <c r="LQW2" s="24" t="n"/>
      <c r="LQX2" s="24" t="n"/>
      <c r="LQY2" s="24" t="n"/>
      <c r="LQZ2" s="24" t="n"/>
      <c r="LRA2" s="24" t="n"/>
      <c r="LRB2" s="24" t="n"/>
      <c r="LRC2" s="24" t="n"/>
      <c r="LRD2" s="24" t="n"/>
      <c r="LRE2" s="24" t="n"/>
      <c r="LRF2" s="24" t="n"/>
      <c r="LRG2" s="24" t="n"/>
      <c r="LRH2" s="24" t="n"/>
      <c r="LRI2" s="24" t="n"/>
      <c r="LRJ2" s="24" t="n"/>
      <c r="LRK2" s="24" t="n"/>
      <c r="LRL2" s="24" t="n"/>
      <c r="LRM2" s="24" t="n"/>
      <c r="LRN2" s="24" t="n"/>
      <c r="LRO2" s="24" t="n"/>
      <c r="LRP2" s="24" t="n"/>
      <c r="LRQ2" s="24" t="n"/>
      <c r="LRR2" s="24" t="n"/>
      <c r="LRS2" s="24" t="n"/>
      <c r="LRT2" s="24" t="n"/>
      <c r="LRU2" s="24" t="n"/>
      <c r="LRV2" s="24" t="n"/>
      <c r="LRW2" s="24" t="n"/>
      <c r="LRX2" s="24" t="n"/>
      <c r="LRY2" s="24" t="n"/>
      <c r="LRZ2" s="24" t="n"/>
      <c r="LSA2" s="24" t="n"/>
      <c r="LSB2" s="24" t="n"/>
      <c r="LSC2" s="24" t="n"/>
      <c r="LSD2" s="24" t="n"/>
      <c r="LSE2" s="24" t="n"/>
      <c r="LSF2" s="24" t="n"/>
      <c r="LSG2" s="24" t="n"/>
      <c r="LSH2" s="24" t="n"/>
      <c r="LSI2" s="24" t="n"/>
      <c r="LSJ2" s="24" t="n"/>
      <c r="LSK2" s="24" t="n"/>
      <c r="LSL2" s="24" t="n"/>
      <c r="LSM2" s="24" t="n"/>
      <c r="LSN2" s="24" t="n"/>
      <c r="LSO2" s="24" t="n"/>
      <c r="LSP2" s="24" t="n"/>
      <c r="LSQ2" s="24" t="n"/>
      <c r="LSR2" s="24" t="n"/>
      <c r="LSS2" s="24" t="n"/>
      <c r="LST2" s="24" t="n"/>
      <c r="LSU2" s="24" t="n"/>
      <c r="LSV2" s="24" t="n"/>
      <c r="LSW2" s="24" t="n"/>
      <c r="LSX2" s="24" t="n"/>
      <c r="LSY2" s="24" t="n"/>
      <c r="LSZ2" s="24" t="n"/>
      <c r="LTA2" s="24" t="n"/>
      <c r="LTB2" s="24" t="n"/>
      <c r="LTC2" s="24" t="n"/>
      <c r="LTD2" s="24" t="n"/>
      <c r="LTE2" s="24" t="n"/>
      <c r="LTF2" s="24" t="n"/>
      <c r="LTG2" s="24" t="n"/>
      <c r="LTH2" s="24" t="n"/>
      <c r="LTI2" s="24" t="n"/>
      <c r="LTJ2" s="24" t="n"/>
      <c r="LTK2" s="24" t="n"/>
      <c r="LTL2" s="24" t="n"/>
      <c r="LTM2" s="24" t="n"/>
      <c r="LTN2" s="24" t="n"/>
      <c r="LTO2" s="24" t="n"/>
      <c r="LTP2" s="24" t="n"/>
      <c r="LTQ2" s="24" t="n"/>
      <c r="LTR2" s="24" t="n"/>
      <c r="LTS2" s="24" t="n"/>
      <c r="LTT2" s="24" t="n"/>
      <c r="LTU2" s="24" t="n"/>
      <c r="LTV2" s="24" t="n"/>
      <c r="LTW2" s="24" t="n"/>
      <c r="LTX2" s="24" t="n"/>
      <c r="LTY2" s="24" t="n"/>
      <c r="LTZ2" s="24" t="n"/>
      <c r="LUA2" s="24" t="n"/>
      <c r="LUB2" s="24" t="n"/>
      <c r="LUC2" s="24" t="n"/>
      <c r="LUD2" s="24" t="n"/>
      <c r="LUE2" s="24" t="n"/>
      <c r="LUF2" s="24" t="n"/>
      <c r="LUG2" s="24" t="n"/>
      <c r="LUH2" s="24" t="n"/>
      <c r="LUI2" s="24" t="n"/>
      <c r="LUJ2" s="24" t="n"/>
      <c r="LUK2" s="24" t="n"/>
      <c r="LUL2" s="24" t="n"/>
      <c r="LUM2" s="24" t="n"/>
      <c r="LUN2" s="24" t="n"/>
      <c r="LUO2" s="24" t="n"/>
      <c r="LUP2" s="24" t="n"/>
      <c r="LUQ2" s="24" t="n"/>
      <c r="LUR2" s="24" t="n"/>
      <c r="LUS2" s="24" t="n"/>
      <c r="LUT2" s="24" t="n"/>
      <c r="LUU2" s="24" t="n"/>
      <c r="LUV2" s="24" t="n"/>
      <c r="LUW2" s="24" t="n"/>
      <c r="LUX2" s="24" t="n"/>
      <c r="LUY2" s="24" t="n"/>
      <c r="LUZ2" s="24" t="n"/>
      <c r="LVA2" s="24" t="n"/>
      <c r="LVB2" s="24" t="n"/>
      <c r="LVC2" s="24" t="n"/>
      <c r="LVD2" s="24" t="n"/>
      <c r="LVE2" s="24" t="n"/>
      <c r="LVF2" s="24" t="n"/>
      <c r="LVG2" s="24" t="n"/>
      <c r="LVH2" s="24" t="n"/>
      <c r="LVI2" s="24" t="n"/>
      <c r="LVJ2" s="24" t="n"/>
      <c r="LVK2" s="24" t="n"/>
      <c r="LVL2" s="24" t="n"/>
      <c r="LVM2" s="24" t="n"/>
      <c r="LVN2" s="24" t="n"/>
      <c r="LVO2" s="24" t="n"/>
      <c r="LVP2" s="24" t="n"/>
      <c r="LVQ2" s="24" t="n"/>
      <c r="LVR2" s="24" t="n"/>
      <c r="LVS2" s="24" t="n"/>
      <c r="LVT2" s="24" t="n"/>
      <c r="LVU2" s="24" t="n"/>
      <c r="LVV2" s="24" t="n"/>
      <c r="LVW2" s="24" t="n"/>
      <c r="LVX2" s="24" t="n"/>
      <c r="LVY2" s="24" t="n"/>
      <c r="LVZ2" s="24" t="n"/>
      <c r="LWA2" s="24" t="n"/>
      <c r="LWB2" s="24" t="n"/>
      <c r="LWC2" s="24" t="n"/>
      <c r="LWD2" s="24" t="n"/>
      <c r="LWE2" s="24" t="n"/>
      <c r="LWF2" s="24" t="n"/>
      <c r="LWG2" s="24" t="n"/>
      <c r="LWH2" s="24" t="n"/>
      <c r="LWI2" s="24" t="n"/>
      <c r="LWJ2" s="24" t="n"/>
      <c r="LWK2" s="24" t="n"/>
      <c r="LWL2" s="24" t="n"/>
      <c r="LWM2" s="24" t="n"/>
      <c r="LWN2" s="24" t="n"/>
      <c r="LWO2" s="24" t="n"/>
      <c r="LWP2" s="24" t="n"/>
      <c r="LWQ2" s="24" t="n"/>
      <c r="LWR2" s="24" t="n"/>
      <c r="LWS2" s="24" t="n"/>
      <c r="LWT2" s="24" t="n"/>
      <c r="LWU2" s="24" t="n"/>
      <c r="LWV2" s="24" t="n"/>
      <c r="LWW2" s="24" t="n"/>
      <c r="LWX2" s="24" t="n"/>
      <c r="LWY2" s="24" t="n"/>
      <c r="LWZ2" s="24" t="n"/>
      <c r="LXA2" s="24" t="n"/>
      <c r="LXB2" s="24" t="n"/>
      <c r="LXC2" s="24" t="n"/>
      <c r="LXD2" s="24" t="n"/>
      <c r="LXE2" s="24" t="n"/>
      <c r="LXF2" s="24" t="n"/>
      <c r="LXG2" s="24" t="n"/>
      <c r="LXH2" s="24" t="n"/>
      <c r="LXI2" s="24" t="n"/>
      <c r="LXJ2" s="24" t="n"/>
      <c r="LXK2" s="24" t="n"/>
      <c r="LXL2" s="24" t="n"/>
      <c r="LXM2" s="24" t="n"/>
      <c r="LXN2" s="24" t="n"/>
      <c r="LXO2" s="24" t="n"/>
      <c r="LXP2" s="24" t="n"/>
      <c r="LXQ2" s="24" t="n"/>
      <c r="LXR2" s="24" t="n"/>
      <c r="LXS2" s="24" t="n"/>
      <c r="LXT2" s="24" t="n"/>
      <c r="LXU2" s="24" t="n"/>
      <c r="LXV2" s="24" t="n"/>
      <c r="LXW2" s="24" t="n"/>
      <c r="LXX2" s="24" t="n"/>
      <c r="LXY2" s="24" t="n"/>
      <c r="LXZ2" s="24" t="n"/>
      <c r="LYA2" s="24" t="n"/>
      <c r="LYB2" s="24" t="n"/>
      <c r="LYC2" s="24" t="n"/>
      <c r="LYD2" s="24" t="n"/>
      <c r="LYE2" s="24" t="n"/>
      <c r="LYF2" s="24" t="n"/>
      <c r="LYG2" s="24" t="n"/>
      <c r="LYH2" s="24" t="n"/>
      <c r="LYI2" s="24" t="n"/>
      <c r="LYJ2" s="24" t="n"/>
      <c r="LYK2" s="24" t="n"/>
      <c r="LYL2" s="24" t="n"/>
      <c r="LYM2" s="24" t="n"/>
      <c r="LYN2" s="24" t="n"/>
      <c r="LYO2" s="24" t="n"/>
      <c r="LYP2" s="24" t="n"/>
      <c r="LYQ2" s="24" t="n"/>
      <c r="LYR2" s="24" t="n"/>
      <c r="LYS2" s="24" t="n"/>
      <c r="LYT2" s="24" t="n"/>
      <c r="LYU2" s="24" t="n"/>
      <c r="LYV2" s="24" t="n"/>
      <c r="LYW2" s="24" t="n"/>
      <c r="LYX2" s="24" t="n"/>
      <c r="LYY2" s="24" t="n"/>
      <c r="LYZ2" s="24" t="n"/>
      <c r="LZA2" s="24" t="n"/>
      <c r="LZB2" s="24" t="n"/>
      <c r="LZC2" s="24" t="n"/>
      <c r="LZD2" s="24" t="n"/>
      <c r="LZE2" s="24" t="n"/>
      <c r="LZF2" s="24" t="n"/>
      <c r="LZG2" s="24" t="n"/>
      <c r="LZH2" s="24" t="n"/>
      <c r="LZI2" s="24" t="n"/>
      <c r="LZJ2" s="24" t="n"/>
      <c r="LZK2" s="24" t="n"/>
      <c r="LZL2" s="24" t="n"/>
      <c r="LZM2" s="24" t="n"/>
      <c r="LZN2" s="24" t="n"/>
      <c r="LZO2" s="24" t="n"/>
      <c r="LZP2" s="24" t="n"/>
      <c r="LZQ2" s="24" t="n"/>
      <c r="LZR2" s="24" t="n"/>
      <c r="LZS2" s="24" t="n"/>
      <c r="LZT2" s="24" t="n"/>
      <c r="LZU2" s="24" t="n"/>
      <c r="LZV2" s="24" t="n"/>
      <c r="LZW2" s="24" t="n"/>
      <c r="LZX2" s="24" t="n"/>
      <c r="LZY2" s="24" t="n"/>
      <c r="LZZ2" s="24" t="n"/>
      <c r="MAA2" s="24" t="n"/>
      <c r="MAB2" s="24" t="n"/>
      <c r="MAC2" s="24" t="n"/>
      <c r="MAD2" s="24" t="n"/>
      <c r="MAE2" s="24" t="n"/>
      <c r="MAF2" s="24" t="n"/>
      <c r="MAG2" s="24" t="n"/>
      <c r="MAH2" s="24" t="n"/>
      <c r="MAI2" s="24" t="n"/>
      <c r="MAJ2" s="24" t="n"/>
      <c r="MAK2" s="24" t="n"/>
      <c r="MAL2" s="24" t="n"/>
      <c r="MAM2" s="24" t="n"/>
      <c r="MAN2" s="24" t="n"/>
      <c r="MAO2" s="24" t="n"/>
      <c r="MAP2" s="24" t="n"/>
      <c r="MAQ2" s="24" t="n"/>
      <c r="MAR2" s="24" t="n"/>
      <c r="MAS2" s="24" t="n"/>
      <c r="MAT2" s="24" t="n"/>
      <c r="MAU2" s="24" t="n"/>
      <c r="MAV2" s="24" t="n"/>
      <c r="MAW2" s="24" t="n"/>
      <c r="MAX2" s="24" t="n"/>
      <c r="MAY2" s="24" t="n"/>
      <c r="MAZ2" s="24" t="n"/>
      <c r="MBA2" s="24" t="n"/>
      <c r="MBB2" s="24" t="n"/>
      <c r="MBC2" s="24" t="n"/>
      <c r="MBD2" s="24" t="n"/>
      <c r="MBE2" s="24" t="n"/>
      <c r="MBF2" s="24" t="n"/>
      <c r="MBG2" s="24" t="n"/>
      <c r="MBH2" s="24" t="n"/>
      <c r="MBI2" s="24" t="n"/>
      <c r="MBJ2" s="24" t="n"/>
      <c r="MBK2" s="24" t="n"/>
      <c r="MBL2" s="24" t="n"/>
      <c r="MBM2" s="24" t="n"/>
      <c r="MBN2" s="24" t="n"/>
      <c r="MBO2" s="24" t="n"/>
      <c r="MBP2" s="24" t="n"/>
      <c r="MBQ2" s="24" t="n"/>
      <c r="MBR2" s="24" t="n"/>
      <c r="MBS2" s="24" t="n"/>
      <c r="MBT2" s="24" t="n"/>
      <c r="MBU2" s="24" t="n"/>
      <c r="MBV2" s="24" t="n"/>
      <c r="MBW2" s="24" t="n"/>
      <c r="MBX2" s="24" t="n"/>
      <c r="MBY2" s="24" t="n"/>
      <c r="MBZ2" s="24" t="n"/>
      <c r="MCA2" s="24" t="n"/>
      <c r="MCB2" s="24" t="n"/>
      <c r="MCC2" s="24" t="n"/>
      <c r="MCD2" s="24" t="n"/>
      <c r="MCE2" s="24" t="n"/>
      <c r="MCF2" s="24" t="n"/>
      <c r="MCG2" s="24" t="n"/>
      <c r="MCH2" s="24" t="n"/>
      <c r="MCI2" s="24" t="n"/>
      <c r="MCJ2" s="24" t="n"/>
      <c r="MCK2" s="24" t="n"/>
      <c r="MCL2" s="24" t="n"/>
      <c r="MCM2" s="24" t="n"/>
      <c r="MCN2" s="24" t="n"/>
      <c r="MCO2" s="24" t="n"/>
      <c r="MCP2" s="24" t="n"/>
      <c r="MCQ2" s="24" t="n"/>
      <c r="MCR2" s="24" t="n"/>
      <c r="MCS2" s="24" t="n"/>
      <c r="MCT2" s="24" t="n"/>
      <c r="MCU2" s="24" t="n"/>
      <c r="MCV2" s="24" t="n"/>
      <c r="MCW2" s="24" t="n"/>
      <c r="MCX2" s="24" t="n"/>
      <c r="MCY2" s="24" t="n"/>
      <c r="MCZ2" s="24" t="n"/>
      <c r="MDA2" s="24" t="n"/>
      <c r="MDB2" s="24" t="n"/>
      <c r="MDC2" s="24" t="n"/>
      <c r="MDD2" s="24" t="n"/>
      <c r="MDE2" s="24" t="n"/>
      <c r="MDF2" s="24" t="n"/>
      <c r="MDG2" s="24" t="n"/>
      <c r="MDH2" s="24" t="n"/>
      <c r="MDI2" s="24" t="n"/>
      <c r="MDJ2" s="24" t="n"/>
      <c r="MDK2" s="24" t="n"/>
      <c r="MDL2" s="24" t="n"/>
      <c r="MDM2" s="24" t="n"/>
      <c r="MDN2" s="24" t="n"/>
      <c r="MDO2" s="24" t="n"/>
      <c r="MDP2" s="24" t="n"/>
      <c r="MDQ2" s="24" t="n"/>
      <c r="MDR2" s="24" t="n"/>
      <c r="MDS2" s="24" t="n"/>
      <c r="MDT2" s="24" t="n"/>
      <c r="MDU2" s="24" t="n"/>
      <c r="MDV2" s="24" t="n"/>
      <c r="MDW2" s="24" t="n"/>
      <c r="MDX2" s="24" t="n"/>
      <c r="MDY2" s="24" t="n"/>
      <c r="MDZ2" s="24" t="n"/>
      <c r="MEA2" s="24" t="n"/>
      <c r="MEB2" s="24" t="n"/>
      <c r="MEC2" s="24" t="n"/>
      <c r="MED2" s="24" t="n"/>
      <c r="MEE2" s="24" t="n"/>
      <c r="MEF2" s="24" t="n"/>
      <c r="MEG2" s="24" t="n"/>
      <c r="MEH2" s="24" t="n"/>
      <c r="MEI2" s="24" t="n"/>
      <c r="MEJ2" s="24" t="n"/>
      <c r="MEK2" s="24" t="n"/>
      <c r="MEL2" s="24" t="n"/>
      <c r="MEM2" s="24" t="n"/>
      <c r="MEN2" s="24" t="n"/>
      <c r="MEO2" s="24" t="n"/>
      <c r="MEP2" s="24" t="n"/>
      <c r="MEQ2" s="24" t="n"/>
      <c r="MER2" s="24" t="n"/>
      <c r="MES2" s="24" t="n"/>
      <c r="MET2" s="24" t="n"/>
      <c r="MEU2" s="24" t="n"/>
      <c r="MEV2" s="24" t="n"/>
      <c r="MEW2" s="24" t="n"/>
      <c r="MEX2" s="24" t="n"/>
      <c r="MEY2" s="24" t="n"/>
      <c r="MEZ2" s="24" t="n"/>
      <c r="MFA2" s="24" t="n"/>
      <c r="MFB2" s="24" t="n"/>
      <c r="MFC2" s="24" t="n"/>
      <c r="MFD2" s="24" t="n"/>
      <c r="MFE2" s="24" t="n"/>
      <c r="MFF2" s="24" t="n"/>
      <c r="MFG2" s="24" t="n"/>
      <c r="MFH2" s="24" t="n"/>
      <c r="MFI2" s="24" t="n"/>
      <c r="MFJ2" s="24" t="n"/>
      <c r="MFK2" s="24" t="n"/>
      <c r="MFL2" s="24" t="n"/>
      <c r="MFM2" s="24" t="n"/>
      <c r="MFN2" s="24" t="n"/>
      <c r="MFO2" s="24" t="n"/>
      <c r="MFP2" s="24" t="n"/>
      <c r="MFQ2" s="24" t="n"/>
      <c r="MFR2" s="24" t="n"/>
      <c r="MFS2" s="24" t="n"/>
      <c r="MFT2" s="24" t="n"/>
      <c r="MFU2" s="24" t="n"/>
      <c r="MFV2" s="24" t="n"/>
      <c r="MFW2" s="24" t="n"/>
      <c r="MFX2" s="24" t="n"/>
      <c r="MFY2" s="24" t="n"/>
      <c r="MFZ2" s="24" t="n"/>
      <c r="MGA2" s="24" t="n"/>
      <c r="MGB2" s="24" t="n"/>
      <c r="MGC2" s="24" t="n"/>
      <c r="MGD2" s="24" t="n"/>
      <c r="MGE2" s="24" t="n"/>
      <c r="MGF2" s="24" t="n"/>
      <c r="MGG2" s="24" t="n"/>
      <c r="MGH2" s="24" t="n"/>
      <c r="MGI2" s="24" t="n"/>
      <c r="MGJ2" s="24" t="n"/>
      <c r="MGK2" s="24" t="n"/>
      <c r="MGL2" s="24" t="n"/>
      <c r="MGM2" s="24" t="n"/>
      <c r="MGN2" s="24" t="n"/>
      <c r="MGO2" s="24" t="n"/>
      <c r="MGP2" s="24" t="n"/>
      <c r="MGQ2" s="24" t="n"/>
      <c r="MGR2" s="24" t="n"/>
      <c r="MGS2" s="24" t="n"/>
      <c r="MGT2" s="24" t="n"/>
      <c r="MGU2" s="24" t="n"/>
      <c r="MGV2" s="24" t="n"/>
      <c r="MGW2" s="24" t="n"/>
      <c r="MGX2" s="24" t="n"/>
      <c r="MGY2" s="24" t="n"/>
      <c r="MGZ2" s="24" t="n"/>
      <c r="MHA2" s="24" t="n"/>
      <c r="MHB2" s="24" t="n"/>
      <c r="MHC2" s="24" t="n"/>
      <c r="MHD2" s="24" t="n"/>
      <c r="MHE2" s="24" t="n"/>
      <c r="MHF2" s="24" t="n"/>
      <c r="MHG2" s="24" t="n"/>
      <c r="MHH2" s="24" t="n"/>
      <c r="MHI2" s="24" t="n"/>
      <c r="MHJ2" s="24" t="n"/>
      <c r="MHK2" s="24" t="n"/>
      <c r="MHL2" s="24" t="n"/>
      <c r="MHM2" s="24" t="n"/>
      <c r="MHN2" s="24" t="n"/>
      <c r="MHO2" s="24" t="n"/>
      <c r="MHP2" s="24" t="n"/>
      <c r="MHQ2" s="24" t="n"/>
      <c r="MHR2" s="24" t="n"/>
      <c r="MHS2" s="24" t="n"/>
      <c r="MHT2" s="24" t="n"/>
      <c r="MHU2" s="24" t="n"/>
      <c r="MHV2" s="24" t="n"/>
      <c r="MHW2" s="24" t="n"/>
      <c r="MHX2" s="24" t="n"/>
      <c r="MHY2" s="24" t="n"/>
      <c r="MHZ2" s="24" t="n"/>
      <c r="MIA2" s="24" t="n"/>
      <c r="MIB2" s="24" t="n"/>
      <c r="MIC2" s="24" t="n"/>
      <c r="MID2" s="24" t="n"/>
      <c r="MIE2" s="24" t="n"/>
      <c r="MIF2" s="24" t="n"/>
      <c r="MIG2" s="24" t="n"/>
      <c r="MIH2" s="24" t="n"/>
      <c r="MII2" s="24" t="n"/>
      <c r="MIJ2" s="24" t="n"/>
      <c r="MIK2" s="24" t="n"/>
      <c r="MIL2" s="24" t="n"/>
      <c r="MIM2" s="24" t="n"/>
      <c r="MIN2" s="24" t="n"/>
      <c r="MIO2" s="24" t="n"/>
      <c r="MIP2" s="24" t="n"/>
      <c r="MIQ2" s="24" t="n"/>
      <c r="MIR2" s="24" t="n"/>
      <c r="MIS2" s="24" t="n"/>
      <c r="MIT2" s="24" t="n"/>
      <c r="MIU2" s="24" t="n"/>
      <c r="MIV2" s="24" t="n"/>
      <c r="MIW2" s="24" t="n"/>
      <c r="MIX2" s="24" t="n"/>
      <c r="MIY2" s="24" t="n"/>
      <c r="MIZ2" s="24" t="n"/>
      <c r="MJA2" s="24" t="n"/>
      <c r="MJB2" s="24" t="n"/>
      <c r="MJC2" s="24" t="n"/>
      <c r="MJD2" s="24" t="n"/>
      <c r="MJE2" s="24" t="n"/>
      <c r="MJF2" s="24" t="n"/>
      <c r="MJG2" s="24" t="n"/>
      <c r="MJH2" s="24" t="n"/>
      <c r="MJI2" s="24" t="n"/>
      <c r="MJJ2" s="24" t="n"/>
      <c r="MJK2" s="24" t="n"/>
      <c r="MJL2" s="24" t="n"/>
      <c r="MJM2" s="24" t="n"/>
      <c r="MJN2" s="24" t="n"/>
      <c r="MJO2" s="24" t="n"/>
      <c r="MJP2" s="24" t="n"/>
      <c r="MJQ2" s="24" t="n"/>
      <c r="MJR2" s="24" t="n"/>
      <c r="MJS2" s="24" t="n"/>
      <c r="MJT2" s="24" t="n"/>
      <c r="MJU2" s="24" t="n"/>
      <c r="MJV2" s="24" t="n"/>
      <c r="MJW2" s="24" t="n"/>
      <c r="MJX2" s="24" t="n"/>
      <c r="MJY2" s="24" t="n"/>
      <c r="MJZ2" s="24" t="n"/>
      <c r="MKA2" s="24" t="n"/>
      <c r="MKB2" s="24" t="n"/>
      <c r="MKC2" s="24" t="n"/>
      <c r="MKD2" s="24" t="n"/>
      <c r="MKE2" s="24" t="n"/>
      <c r="MKF2" s="24" t="n"/>
      <c r="MKG2" s="24" t="n"/>
      <c r="MKH2" s="24" t="n"/>
      <c r="MKI2" s="24" t="n"/>
      <c r="MKJ2" s="24" t="n"/>
      <c r="MKK2" s="24" t="n"/>
      <c r="MKL2" s="24" t="n"/>
      <c r="MKM2" s="24" t="n"/>
      <c r="MKN2" s="24" t="n"/>
      <c r="MKO2" s="24" t="n"/>
      <c r="MKP2" s="24" t="n"/>
      <c r="MKQ2" s="24" t="n"/>
      <c r="MKR2" s="24" t="n"/>
      <c r="MKS2" s="24" t="n"/>
      <c r="MKT2" s="24" t="n"/>
      <c r="MKU2" s="24" t="n"/>
      <c r="MKV2" s="24" t="n"/>
      <c r="MKW2" s="24" t="n"/>
      <c r="MKX2" s="24" t="n"/>
      <c r="MKY2" s="24" t="n"/>
      <c r="MKZ2" s="24" t="n"/>
      <c r="MLA2" s="24" t="n"/>
      <c r="MLB2" s="24" t="n"/>
      <c r="MLC2" s="24" t="n"/>
      <c r="MLD2" s="24" t="n"/>
      <c r="MLE2" s="24" t="n"/>
      <c r="MLF2" s="24" t="n"/>
      <c r="MLG2" s="24" t="n"/>
      <c r="MLH2" s="24" t="n"/>
      <c r="MLI2" s="24" t="n"/>
      <c r="MLJ2" s="24" t="n"/>
      <c r="MLK2" s="24" t="n"/>
      <c r="MLL2" s="24" t="n"/>
      <c r="MLM2" s="24" t="n"/>
      <c r="MLN2" s="24" t="n"/>
      <c r="MLO2" s="24" t="n"/>
      <c r="MLP2" s="24" t="n"/>
      <c r="MLQ2" s="24" t="n"/>
      <c r="MLR2" s="24" t="n"/>
      <c r="MLS2" s="24" t="n"/>
      <c r="MLT2" s="24" t="n"/>
      <c r="MLU2" s="24" t="n"/>
      <c r="MLV2" s="24" t="n"/>
      <c r="MLW2" s="24" t="n"/>
      <c r="MLX2" s="24" t="n"/>
      <c r="MLY2" s="24" t="n"/>
      <c r="MLZ2" s="24" t="n"/>
      <c r="MMA2" s="24" t="n"/>
      <c r="MMB2" s="24" t="n"/>
      <c r="MMC2" s="24" t="n"/>
      <c r="MMD2" s="24" t="n"/>
      <c r="MME2" s="24" t="n"/>
      <c r="MMF2" s="24" t="n"/>
      <c r="MMG2" s="24" t="n"/>
      <c r="MMH2" s="24" t="n"/>
      <c r="MMI2" s="24" t="n"/>
      <c r="MMJ2" s="24" t="n"/>
      <c r="MMK2" s="24" t="n"/>
      <c r="MML2" s="24" t="n"/>
      <c r="MMM2" s="24" t="n"/>
      <c r="MMN2" s="24" t="n"/>
      <c r="MMO2" s="24" t="n"/>
      <c r="MMP2" s="24" t="n"/>
      <c r="MMQ2" s="24" t="n"/>
      <c r="MMR2" s="24" t="n"/>
      <c r="MMS2" s="24" t="n"/>
      <c r="MMT2" s="24" t="n"/>
      <c r="MMU2" s="24" t="n"/>
      <c r="MMV2" s="24" t="n"/>
      <c r="MMW2" s="24" t="n"/>
      <c r="MMX2" s="24" t="n"/>
      <c r="MMY2" s="24" t="n"/>
      <c r="MMZ2" s="24" t="n"/>
      <c r="MNA2" s="24" t="n"/>
      <c r="MNB2" s="24" t="n"/>
      <c r="MNC2" s="24" t="n"/>
      <c r="MND2" s="24" t="n"/>
      <c r="MNE2" s="24" t="n"/>
      <c r="MNF2" s="24" t="n"/>
      <c r="MNG2" s="24" t="n"/>
      <c r="MNH2" s="24" t="n"/>
      <c r="MNI2" s="24" t="n"/>
      <c r="MNJ2" s="24" t="n"/>
      <c r="MNK2" s="24" t="n"/>
      <c r="MNL2" s="24" t="n"/>
      <c r="MNM2" s="24" t="n"/>
      <c r="MNN2" s="24" t="n"/>
      <c r="MNO2" s="24" t="n"/>
      <c r="MNP2" s="24" t="n"/>
      <c r="MNQ2" s="24" t="n"/>
      <c r="MNR2" s="24" t="n"/>
      <c r="MNS2" s="24" t="n"/>
      <c r="MNT2" s="24" t="n"/>
      <c r="MNU2" s="24" t="n"/>
      <c r="MNV2" s="24" t="n"/>
      <c r="MNW2" s="24" t="n"/>
      <c r="MNX2" s="24" t="n"/>
      <c r="MNY2" s="24" t="n"/>
      <c r="MNZ2" s="24" t="n"/>
      <c r="MOA2" s="24" t="n"/>
      <c r="MOB2" s="24" t="n"/>
      <c r="MOC2" s="24" t="n"/>
      <c r="MOD2" s="24" t="n"/>
      <c r="MOE2" s="24" t="n"/>
      <c r="MOF2" s="24" t="n"/>
      <c r="MOG2" s="24" t="n"/>
      <c r="MOH2" s="24" t="n"/>
      <c r="MOI2" s="24" t="n"/>
      <c r="MOJ2" s="24" t="n"/>
      <c r="MOK2" s="24" t="n"/>
      <c r="MOL2" s="24" t="n"/>
      <c r="MOM2" s="24" t="n"/>
      <c r="MON2" s="24" t="n"/>
      <c r="MOO2" s="24" t="n"/>
      <c r="MOP2" s="24" t="n"/>
      <c r="MOQ2" s="24" t="n"/>
      <c r="MOR2" s="24" t="n"/>
      <c r="MOS2" s="24" t="n"/>
      <c r="MOT2" s="24" t="n"/>
      <c r="MOU2" s="24" t="n"/>
      <c r="MOV2" s="24" t="n"/>
      <c r="MOW2" s="24" t="n"/>
      <c r="MOX2" s="24" t="n"/>
      <c r="MOY2" s="24" t="n"/>
      <c r="MOZ2" s="24" t="n"/>
      <c r="MPA2" s="24" t="n"/>
      <c r="MPB2" s="24" t="n"/>
      <c r="MPC2" s="24" t="n"/>
      <c r="MPD2" s="24" t="n"/>
      <c r="MPE2" s="24" t="n"/>
      <c r="MPF2" s="24" t="n"/>
      <c r="MPG2" s="24" t="n"/>
      <c r="MPH2" s="24" t="n"/>
      <c r="MPI2" s="24" t="n"/>
      <c r="MPJ2" s="24" t="n"/>
      <c r="MPK2" s="24" t="n"/>
      <c r="MPL2" s="24" t="n"/>
      <c r="MPM2" s="24" t="n"/>
      <c r="MPN2" s="24" t="n"/>
      <c r="MPO2" s="24" t="n"/>
      <c r="MPP2" s="24" t="n"/>
      <c r="MPQ2" s="24" t="n"/>
      <c r="MPR2" s="24" t="n"/>
      <c r="MPS2" s="24" t="n"/>
      <c r="MPT2" s="24" t="n"/>
      <c r="MPU2" s="24" t="n"/>
      <c r="MPV2" s="24" t="n"/>
      <c r="MPW2" s="24" t="n"/>
      <c r="MPX2" s="24" t="n"/>
      <c r="MPY2" s="24" t="n"/>
      <c r="MPZ2" s="24" t="n"/>
      <c r="MQA2" s="24" t="n"/>
      <c r="MQB2" s="24" t="n"/>
      <c r="MQC2" s="24" t="n"/>
      <c r="MQD2" s="24" t="n"/>
      <c r="MQE2" s="24" t="n"/>
      <c r="MQF2" s="24" t="n"/>
      <c r="MQG2" s="24" t="n"/>
      <c r="MQH2" s="24" t="n"/>
      <c r="MQI2" s="24" t="n"/>
      <c r="MQJ2" s="24" t="n"/>
      <c r="MQK2" s="24" t="n"/>
      <c r="MQL2" s="24" t="n"/>
      <c r="MQM2" s="24" t="n"/>
      <c r="MQN2" s="24" t="n"/>
      <c r="MQO2" s="24" t="n"/>
      <c r="MQP2" s="24" t="n"/>
      <c r="MQQ2" s="24" t="n"/>
      <c r="MQR2" s="24" t="n"/>
      <c r="MQS2" s="24" t="n"/>
      <c r="MQT2" s="24" t="n"/>
      <c r="MQU2" s="24" t="n"/>
      <c r="MQV2" s="24" t="n"/>
      <c r="MQW2" s="24" t="n"/>
      <c r="MQX2" s="24" t="n"/>
      <c r="MQY2" s="24" t="n"/>
      <c r="MQZ2" s="24" t="n"/>
      <c r="MRA2" s="24" t="n"/>
      <c r="MRB2" s="24" t="n"/>
      <c r="MRC2" s="24" t="n"/>
      <c r="MRD2" s="24" t="n"/>
      <c r="MRE2" s="24" t="n"/>
      <c r="MRF2" s="24" t="n"/>
      <c r="MRG2" s="24" t="n"/>
      <c r="MRH2" s="24" t="n"/>
      <c r="MRI2" s="24" t="n"/>
      <c r="MRJ2" s="24" t="n"/>
      <c r="MRK2" s="24" t="n"/>
      <c r="MRL2" s="24" t="n"/>
      <c r="MRM2" s="24" t="n"/>
      <c r="MRN2" s="24" t="n"/>
      <c r="MRO2" s="24" t="n"/>
      <c r="MRP2" s="24" t="n"/>
      <c r="MRQ2" s="24" t="n"/>
      <c r="MRR2" s="24" t="n"/>
      <c r="MRS2" s="24" t="n"/>
      <c r="MRT2" s="24" t="n"/>
      <c r="MRU2" s="24" t="n"/>
      <c r="MRV2" s="24" t="n"/>
      <c r="MRW2" s="24" t="n"/>
      <c r="MRX2" s="24" t="n"/>
      <c r="MRY2" s="24" t="n"/>
      <c r="MRZ2" s="24" t="n"/>
      <c r="MSA2" s="24" t="n"/>
      <c r="MSB2" s="24" t="n"/>
      <c r="MSC2" s="24" t="n"/>
      <c r="MSD2" s="24" t="n"/>
      <c r="MSE2" s="24" t="n"/>
      <c r="MSF2" s="24" t="n"/>
      <c r="MSG2" s="24" t="n"/>
      <c r="MSH2" s="24" t="n"/>
      <c r="MSI2" s="24" t="n"/>
      <c r="MSJ2" s="24" t="n"/>
      <c r="MSK2" s="24" t="n"/>
      <c r="MSL2" s="24" t="n"/>
      <c r="MSM2" s="24" t="n"/>
      <c r="MSN2" s="24" t="n"/>
      <c r="MSO2" s="24" t="n"/>
      <c r="MSP2" s="24" t="n"/>
      <c r="MSQ2" s="24" t="n"/>
      <c r="MSR2" s="24" t="n"/>
      <c r="MSS2" s="24" t="n"/>
      <c r="MST2" s="24" t="n"/>
      <c r="MSU2" s="24" t="n"/>
      <c r="MSV2" s="24" t="n"/>
      <c r="MSW2" s="24" t="n"/>
      <c r="MSX2" s="24" t="n"/>
      <c r="MSY2" s="24" t="n"/>
      <c r="MSZ2" s="24" t="n"/>
      <c r="MTA2" s="24" t="n"/>
      <c r="MTB2" s="24" t="n"/>
      <c r="MTC2" s="24" t="n"/>
      <c r="MTD2" s="24" t="n"/>
      <c r="MTE2" s="24" t="n"/>
      <c r="MTF2" s="24" t="n"/>
      <c r="MTG2" s="24" t="n"/>
      <c r="MTH2" s="24" t="n"/>
      <c r="MTI2" s="24" t="n"/>
      <c r="MTJ2" s="24" t="n"/>
      <c r="MTK2" s="24" t="n"/>
      <c r="MTL2" s="24" t="n"/>
      <c r="MTM2" s="24" t="n"/>
      <c r="MTN2" s="24" t="n"/>
      <c r="MTO2" s="24" t="n"/>
      <c r="MTP2" s="24" t="n"/>
      <c r="MTQ2" s="24" t="n"/>
      <c r="MTR2" s="24" t="n"/>
      <c r="MTS2" s="24" t="n"/>
      <c r="MTT2" s="24" t="n"/>
      <c r="MTU2" s="24" t="n"/>
      <c r="MTV2" s="24" t="n"/>
      <c r="MTW2" s="24" t="n"/>
      <c r="MTX2" s="24" t="n"/>
      <c r="MTY2" s="24" t="n"/>
      <c r="MTZ2" s="24" t="n"/>
      <c r="MUA2" s="24" t="n"/>
      <c r="MUB2" s="24" t="n"/>
      <c r="MUC2" s="24" t="n"/>
      <c r="MUD2" s="24" t="n"/>
      <c r="MUE2" s="24" t="n"/>
      <c r="MUF2" s="24" t="n"/>
      <c r="MUG2" s="24" t="n"/>
      <c r="MUH2" s="24" t="n"/>
      <c r="MUI2" s="24" t="n"/>
      <c r="MUJ2" s="24" t="n"/>
      <c r="MUK2" s="24" t="n"/>
      <c r="MUL2" s="24" t="n"/>
      <c r="MUM2" s="24" t="n"/>
      <c r="MUN2" s="24" t="n"/>
      <c r="MUO2" s="24" t="n"/>
      <c r="MUP2" s="24" t="n"/>
      <c r="MUQ2" s="24" t="n"/>
      <c r="MUR2" s="24" t="n"/>
      <c r="MUS2" s="24" t="n"/>
      <c r="MUT2" s="24" t="n"/>
      <c r="MUU2" s="24" t="n"/>
      <c r="MUV2" s="24" t="n"/>
      <c r="MUW2" s="24" t="n"/>
      <c r="MUX2" s="24" t="n"/>
      <c r="MUY2" s="24" t="n"/>
      <c r="MUZ2" s="24" t="n"/>
      <c r="MVA2" s="24" t="n"/>
      <c r="MVB2" s="24" t="n"/>
      <c r="MVC2" s="24" t="n"/>
      <c r="MVD2" s="24" t="n"/>
      <c r="MVE2" s="24" t="n"/>
      <c r="MVF2" s="24" t="n"/>
      <c r="MVG2" s="24" t="n"/>
      <c r="MVH2" s="24" t="n"/>
      <c r="MVI2" s="24" t="n"/>
      <c r="MVJ2" s="24" t="n"/>
      <c r="MVK2" s="24" t="n"/>
      <c r="MVL2" s="24" t="n"/>
      <c r="MVM2" s="24" t="n"/>
      <c r="MVN2" s="24" t="n"/>
      <c r="MVO2" s="24" t="n"/>
      <c r="MVP2" s="24" t="n"/>
      <c r="MVQ2" s="24" t="n"/>
      <c r="MVR2" s="24" t="n"/>
      <c r="MVS2" s="24" t="n"/>
      <c r="MVT2" s="24" t="n"/>
      <c r="MVU2" s="24" t="n"/>
      <c r="MVV2" s="24" t="n"/>
      <c r="MVW2" s="24" t="n"/>
      <c r="MVX2" s="24" t="n"/>
      <c r="MVY2" s="24" t="n"/>
      <c r="MVZ2" s="24" t="n"/>
      <c r="MWA2" s="24" t="n"/>
      <c r="MWB2" s="24" t="n"/>
      <c r="MWC2" s="24" t="n"/>
      <c r="MWD2" s="24" t="n"/>
      <c r="MWE2" s="24" t="n"/>
      <c r="MWF2" s="24" t="n"/>
      <c r="MWG2" s="24" t="n"/>
      <c r="MWH2" s="24" t="n"/>
      <c r="MWI2" s="24" t="n"/>
      <c r="MWJ2" s="24" t="n"/>
      <c r="MWK2" s="24" t="n"/>
      <c r="MWL2" s="24" t="n"/>
      <c r="MWM2" s="24" t="n"/>
      <c r="MWN2" s="24" t="n"/>
      <c r="MWO2" s="24" t="n"/>
      <c r="MWP2" s="24" t="n"/>
      <c r="MWQ2" s="24" t="n"/>
      <c r="MWR2" s="24" t="n"/>
      <c r="MWS2" s="24" t="n"/>
      <c r="MWT2" s="24" t="n"/>
      <c r="MWU2" s="24" t="n"/>
      <c r="MWV2" s="24" t="n"/>
      <c r="MWW2" s="24" t="n"/>
      <c r="MWX2" s="24" t="n"/>
      <c r="MWY2" s="24" t="n"/>
      <c r="MWZ2" s="24" t="n"/>
      <c r="MXA2" s="24" t="n"/>
      <c r="MXB2" s="24" t="n"/>
      <c r="MXC2" s="24" t="n"/>
      <c r="MXD2" s="24" t="n"/>
      <c r="MXE2" s="24" t="n"/>
      <c r="MXF2" s="24" t="n"/>
      <c r="MXG2" s="24" t="n"/>
      <c r="MXH2" s="24" t="n"/>
      <c r="MXI2" s="24" t="n"/>
      <c r="MXJ2" s="24" t="n"/>
      <c r="MXK2" s="24" t="n"/>
      <c r="MXL2" s="24" t="n"/>
      <c r="MXM2" s="24" t="n"/>
      <c r="MXN2" s="24" t="n"/>
      <c r="MXO2" s="24" t="n"/>
      <c r="MXP2" s="24" t="n"/>
      <c r="MXQ2" s="24" t="n"/>
      <c r="MXR2" s="24" t="n"/>
      <c r="MXS2" s="24" t="n"/>
      <c r="MXT2" s="24" t="n"/>
      <c r="MXU2" s="24" t="n"/>
      <c r="MXV2" s="24" t="n"/>
      <c r="MXW2" s="24" t="n"/>
      <c r="MXX2" s="24" t="n"/>
      <c r="MXY2" s="24" t="n"/>
      <c r="MXZ2" s="24" t="n"/>
      <c r="MYA2" s="24" t="n"/>
      <c r="MYB2" s="24" t="n"/>
      <c r="MYC2" s="24" t="n"/>
      <c r="MYD2" s="24" t="n"/>
      <c r="MYE2" s="24" t="n"/>
      <c r="MYF2" s="24" t="n"/>
      <c r="MYG2" s="24" t="n"/>
      <c r="MYH2" s="24" t="n"/>
      <c r="MYI2" s="24" t="n"/>
      <c r="MYJ2" s="24" t="n"/>
      <c r="MYK2" s="24" t="n"/>
      <c r="MYL2" s="24" t="n"/>
      <c r="MYM2" s="24" t="n"/>
      <c r="MYN2" s="24" t="n"/>
      <c r="MYO2" s="24" t="n"/>
      <c r="MYP2" s="24" t="n"/>
      <c r="MYQ2" s="24" t="n"/>
      <c r="MYR2" s="24" t="n"/>
      <c r="MYS2" s="24" t="n"/>
      <c r="MYT2" s="24" t="n"/>
      <c r="MYU2" s="24" t="n"/>
      <c r="MYV2" s="24" t="n"/>
      <c r="MYW2" s="24" t="n"/>
      <c r="MYX2" s="24" t="n"/>
      <c r="MYY2" s="24" t="n"/>
      <c r="MYZ2" s="24" t="n"/>
      <c r="MZA2" s="24" t="n"/>
      <c r="MZB2" s="24" t="n"/>
      <c r="MZC2" s="24" t="n"/>
      <c r="MZD2" s="24" t="n"/>
      <c r="MZE2" s="24" t="n"/>
      <c r="MZF2" s="24" t="n"/>
      <c r="MZG2" s="24" t="n"/>
      <c r="MZH2" s="24" t="n"/>
      <c r="MZI2" s="24" t="n"/>
      <c r="MZJ2" s="24" t="n"/>
      <c r="MZK2" s="24" t="n"/>
      <c r="MZL2" s="24" t="n"/>
      <c r="MZM2" s="24" t="n"/>
      <c r="MZN2" s="24" t="n"/>
      <c r="MZO2" s="24" t="n"/>
      <c r="MZP2" s="24" t="n"/>
      <c r="MZQ2" s="24" t="n"/>
      <c r="MZR2" s="24" t="n"/>
      <c r="MZS2" s="24" t="n"/>
      <c r="MZT2" s="24" t="n"/>
      <c r="MZU2" s="24" t="n"/>
      <c r="MZV2" s="24" t="n"/>
      <c r="MZW2" s="24" t="n"/>
      <c r="MZX2" s="24" t="n"/>
      <c r="MZY2" s="24" t="n"/>
      <c r="MZZ2" s="24" t="n"/>
      <c r="NAA2" s="24" t="n"/>
      <c r="NAB2" s="24" t="n"/>
      <c r="NAC2" s="24" t="n"/>
      <c r="NAD2" s="24" t="n"/>
      <c r="NAE2" s="24" t="n"/>
      <c r="NAF2" s="24" t="n"/>
      <c r="NAG2" s="24" t="n"/>
      <c r="NAH2" s="24" t="n"/>
      <c r="NAI2" s="24" t="n"/>
      <c r="NAJ2" s="24" t="n"/>
      <c r="NAK2" s="24" t="n"/>
      <c r="NAL2" s="24" t="n"/>
      <c r="NAM2" s="24" t="n"/>
      <c r="NAN2" s="24" t="n"/>
      <c r="NAO2" s="24" t="n"/>
      <c r="NAP2" s="24" t="n"/>
      <c r="NAQ2" s="24" t="n"/>
      <c r="NAR2" s="24" t="n"/>
      <c r="NAS2" s="24" t="n"/>
      <c r="NAT2" s="24" t="n"/>
      <c r="NAU2" s="24" t="n"/>
      <c r="NAV2" s="24" t="n"/>
      <c r="NAW2" s="24" t="n"/>
      <c r="NAX2" s="24" t="n"/>
      <c r="NAY2" s="24" t="n"/>
      <c r="NAZ2" s="24" t="n"/>
      <c r="NBA2" s="24" t="n"/>
      <c r="NBB2" s="24" t="n"/>
      <c r="NBC2" s="24" t="n"/>
      <c r="NBD2" s="24" t="n"/>
      <c r="NBE2" s="24" t="n"/>
      <c r="NBF2" s="24" t="n"/>
      <c r="NBG2" s="24" t="n"/>
      <c r="NBH2" s="24" t="n"/>
      <c r="NBI2" s="24" t="n"/>
      <c r="NBJ2" s="24" t="n"/>
      <c r="NBK2" s="24" t="n"/>
      <c r="NBL2" s="24" t="n"/>
      <c r="NBM2" s="24" t="n"/>
      <c r="NBN2" s="24" t="n"/>
      <c r="NBO2" s="24" t="n"/>
      <c r="NBP2" s="24" t="n"/>
      <c r="NBQ2" s="24" t="n"/>
      <c r="NBR2" s="24" t="n"/>
      <c r="NBS2" s="24" t="n"/>
      <c r="NBT2" s="24" t="n"/>
      <c r="NBU2" s="24" t="n"/>
      <c r="NBV2" s="24" t="n"/>
      <c r="NBW2" s="24" t="n"/>
      <c r="NBX2" s="24" t="n"/>
      <c r="NBY2" s="24" t="n"/>
      <c r="NBZ2" s="24" t="n"/>
      <c r="NCA2" s="24" t="n"/>
      <c r="NCB2" s="24" t="n"/>
      <c r="NCC2" s="24" t="n"/>
      <c r="NCD2" s="24" t="n"/>
      <c r="NCE2" s="24" t="n"/>
      <c r="NCF2" s="24" t="n"/>
      <c r="NCG2" s="24" t="n"/>
      <c r="NCH2" s="24" t="n"/>
      <c r="NCI2" s="24" t="n"/>
      <c r="NCJ2" s="24" t="n"/>
      <c r="NCK2" s="24" t="n"/>
      <c r="NCL2" s="24" t="n"/>
      <c r="NCM2" s="24" t="n"/>
      <c r="NCN2" s="24" t="n"/>
      <c r="NCO2" s="24" t="n"/>
      <c r="NCP2" s="24" t="n"/>
      <c r="NCQ2" s="24" t="n"/>
      <c r="NCR2" s="24" t="n"/>
      <c r="NCS2" s="24" t="n"/>
      <c r="NCT2" s="24" t="n"/>
      <c r="NCU2" s="24" t="n"/>
      <c r="NCV2" s="24" t="n"/>
      <c r="NCW2" s="24" t="n"/>
      <c r="NCX2" s="24" t="n"/>
      <c r="NCY2" s="24" t="n"/>
      <c r="NCZ2" s="24" t="n"/>
      <c r="NDA2" s="24" t="n"/>
      <c r="NDB2" s="24" t="n"/>
      <c r="NDC2" s="24" t="n"/>
      <c r="NDD2" s="24" t="n"/>
      <c r="NDE2" s="24" t="n"/>
      <c r="NDF2" s="24" t="n"/>
      <c r="NDG2" s="24" t="n"/>
      <c r="NDH2" s="24" t="n"/>
      <c r="NDI2" s="24" t="n"/>
      <c r="NDJ2" s="24" t="n"/>
      <c r="NDK2" s="24" t="n"/>
      <c r="NDL2" s="24" t="n"/>
      <c r="NDM2" s="24" t="n"/>
      <c r="NDN2" s="24" t="n"/>
      <c r="NDO2" s="24" t="n"/>
      <c r="NDP2" s="24" t="n"/>
      <c r="NDQ2" s="24" t="n"/>
      <c r="NDR2" s="24" t="n"/>
      <c r="NDS2" s="24" t="n"/>
      <c r="NDT2" s="24" t="n"/>
      <c r="NDU2" s="24" t="n"/>
      <c r="NDV2" s="24" t="n"/>
      <c r="NDW2" s="24" t="n"/>
      <c r="NDX2" s="24" t="n"/>
      <c r="NDY2" s="24" t="n"/>
      <c r="NDZ2" s="24" t="n"/>
      <c r="NEA2" s="24" t="n"/>
      <c r="NEB2" s="24" t="n"/>
      <c r="NEC2" s="24" t="n"/>
      <c r="NED2" s="24" t="n"/>
      <c r="NEE2" s="24" t="n"/>
      <c r="NEF2" s="24" t="n"/>
      <c r="NEG2" s="24" t="n"/>
      <c r="NEH2" s="24" t="n"/>
      <c r="NEI2" s="24" t="n"/>
      <c r="NEJ2" s="24" t="n"/>
      <c r="NEK2" s="24" t="n"/>
      <c r="NEL2" s="24" t="n"/>
      <c r="NEM2" s="24" t="n"/>
      <c r="NEN2" s="24" t="n"/>
      <c r="NEO2" s="24" t="n"/>
      <c r="NEP2" s="24" t="n"/>
      <c r="NEQ2" s="24" t="n"/>
      <c r="NER2" s="24" t="n"/>
      <c r="NES2" s="24" t="n"/>
      <c r="NET2" s="24" t="n"/>
      <c r="NEU2" s="24" t="n"/>
      <c r="NEV2" s="24" t="n"/>
      <c r="NEW2" s="24" t="n"/>
      <c r="NEX2" s="24" t="n"/>
      <c r="NEY2" s="24" t="n"/>
      <c r="NEZ2" s="24" t="n"/>
      <c r="NFA2" s="24" t="n"/>
      <c r="NFB2" s="24" t="n"/>
      <c r="NFC2" s="24" t="n"/>
      <c r="NFD2" s="24" t="n"/>
      <c r="NFE2" s="24" t="n"/>
      <c r="NFF2" s="24" t="n"/>
      <c r="NFG2" s="24" t="n"/>
      <c r="NFH2" s="24" t="n"/>
      <c r="NFI2" s="24" t="n"/>
      <c r="NFJ2" s="24" t="n"/>
      <c r="NFK2" s="24" t="n"/>
      <c r="NFL2" s="24" t="n"/>
      <c r="NFM2" s="24" t="n"/>
      <c r="NFN2" s="24" t="n"/>
      <c r="NFO2" s="24" t="n"/>
      <c r="NFP2" s="24" t="n"/>
      <c r="NFQ2" s="24" t="n"/>
      <c r="NFR2" s="24" t="n"/>
      <c r="NFS2" s="24" t="n"/>
      <c r="NFT2" s="24" t="n"/>
      <c r="NFU2" s="24" t="n"/>
      <c r="NFV2" s="24" t="n"/>
      <c r="NFW2" s="24" t="n"/>
      <c r="NFX2" s="24" t="n"/>
      <c r="NFY2" s="24" t="n"/>
      <c r="NFZ2" s="24" t="n"/>
      <c r="NGA2" s="24" t="n"/>
      <c r="NGB2" s="24" t="n"/>
      <c r="NGC2" s="24" t="n"/>
      <c r="NGD2" s="24" t="n"/>
      <c r="NGE2" s="24" t="n"/>
      <c r="NGF2" s="24" t="n"/>
      <c r="NGG2" s="24" t="n"/>
      <c r="NGH2" s="24" t="n"/>
      <c r="NGI2" s="24" t="n"/>
      <c r="NGJ2" s="24" t="n"/>
      <c r="NGK2" s="24" t="n"/>
      <c r="NGL2" s="24" t="n"/>
      <c r="NGM2" s="24" t="n"/>
      <c r="NGN2" s="24" t="n"/>
      <c r="NGO2" s="24" t="n"/>
      <c r="NGP2" s="24" t="n"/>
      <c r="NGQ2" s="24" t="n"/>
      <c r="NGR2" s="24" t="n"/>
      <c r="NGS2" s="24" t="n"/>
      <c r="NGT2" s="24" t="n"/>
      <c r="NGU2" s="24" t="n"/>
      <c r="NGV2" s="24" t="n"/>
      <c r="NGW2" s="24" t="n"/>
      <c r="NGX2" s="24" t="n"/>
      <c r="NGY2" s="24" t="n"/>
      <c r="NGZ2" s="24" t="n"/>
      <c r="NHA2" s="24" t="n"/>
      <c r="NHB2" s="24" t="n"/>
      <c r="NHC2" s="24" t="n"/>
      <c r="NHD2" s="24" t="n"/>
      <c r="NHE2" s="24" t="n"/>
      <c r="NHF2" s="24" t="n"/>
      <c r="NHG2" s="24" t="n"/>
      <c r="NHH2" s="24" t="n"/>
      <c r="NHI2" s="24" t="n"/>
      <c r="NHJ2" s="24" t="n"/>
      <c r="NHK2" s="24" t="n"/>
      <c r="NHL2" s="24" t="n"/>
      <c r="NHM2" s="24" t="n"/>
      <c r="NHN2" s="24" t="n"/>
      <c r="NHO2" s="24" t="n"/>
      <c r="NHP2" s="24" t="n"/>
      <c r="NHQ2" s="24" t="n"/>
      <c r="NHR2" s="24" t="n"/>
      <c r="NHS2" s="24" t="n"/>
      <c r="NHT2" s="24" t="n"/>
      <c r="NHU2" s="24" t="n"/>
      <c r="NHV2" s="24" t="n"/>
      <c r="NHW2" s="24" t="n"/>
      <c r="NHX2" s="24" t="n"/>
      <c r="NHY2" s="24" t="n"/>
      <c r="NHZ2" s="24" t="n"/>
      <c r="NIA2" s="24" t="n"/>
      <c r="NIB2" s="24" t="n"/>
      <c r="NIC2" s="24" t="n"/>
      <c r="NID2" s="24" t="n"/>
      <c r="NIE2" s="24" t="n"/>
      <c r="NIF2" s="24" t="n"/>
      <c r="NIG2" s="24" t="n"/>
      <c r="NIH2" s="24" t="n"/>
      <c r="NII2" s="24" t="n"/>
      <c r="NIJ2" s="24" t="n"/>
      <c r="NIK2" s="24" t="n"/>
      <c r="NIL2" s="24" t="n"/>
      <c r="NIM2" s="24" t="n"/>
      <c r="NIN2" s="24" t="n"/>
      <c r="NIO2" s="24" t="n"/>
      <c r="NIP2" s="24" t="n"/>
      <c r="NIQ2" s="24" t="n"/>
      <c r="NIR2" s="24" t="n"/>
      <c r="NIS2" s="24" t="n"/>
      <c r="NIT2" s="24" t="n"/>
      <c r="NIU2" s="24" t="n"/>
      <c r="NIV2" s="24" t="n"/>
      <c r="NIW2" s="24" t="n"/>
      <c r="NIX2" s="24" t="n"/>
      <c r="NIY2" s="24" t="n"/>
      <c r="NIZ2" s="24" t="n"/>
      <c r="NJA2" s="24" t="n"/>
      <c r="NJB2" s="24" t="n"/>
      <c r="NJC2" s="24" t="n"/>
      <c r="NJD2" s="24" t="n"/>
      <c r="NJE2" s="24" t="n"/>
      <c r="NJF2" s="24" t="n"/>
      <c r="NJG2" s="24" t="n"/>
      <c r="NJH2" s="24" t="n"/>
      <c r="NJI2" s="24" t="n"/>
      <c r="NJJ2" s="24" t="n"/>
      <c r="NJK2" s="24" t="n"/>
      <c r="NJL2" s="24" t="n"/>
      <c r="NJM2" s="24" t="n"/>
      <c r="NJN2" s="24" t="n"/>
      <c r="NJO2" s="24" t="n"/>
      <c r="NJP2" s="24" t="n"/>
      <c r="NJQ2" s="24" t="n"/>
      <c r="NJR2" s="24" t="n"/>
      <c r="NJS2" s="24" t="n"/>
      <c r="NJT2" s="24" t="n"/>
      <c r="NJU2" s="24" t="n"/>
      <c r="NJV2" s="24" t="n"/>
      <c r="NJW2" s="24" t="n"/>
      <c r="NJX2" s="24" t="n"/>
      <c r="NJY2" s="24" t="n"/>
      <c r="NJZ2" s="24" t="n"/>
      <c r="NKA2" s="24" t="n"/>
      <c r="NKB2" s="24" t="n"/>
      <c r="NKC2" s="24" t="n"/>
      <c r="NKD2" s="24" t="n"/>
      <c r="NKE2" s="24" t="n"/>
      <c r="NKF2" s="24" t="n"/>
      <c r="NKG2" s="24" t="n"/>
      <c r="NKH2" s="24" t="n"/>
      <c r="NKI2" s="24" t="n"/>
      <c r="NKJ2" s="24" t="n"/>
      <c r="NKK2" s="24" t="n"/>
      <c r="NKL2" s="24" t="n"/>
      <c r="NKM2" s="24" t="n"/>
      <c r="NKN2" s="24" t="n"/>
      <c r="NKO2" s="24" t="n"/>
      <c r="NKP2" s="24" t="n"/>
      <c r="NKQ2" s="24" t="n"/>
      <c r="NKR2" s="24" t="n"/>
      <c r="NKS2" s="24" t="n"/>
      <c r="NKT2" s="24" t="n"/>
      <c r="NKU2" s="24" t="n"/>
      <c r="NKV2" s="24" t="n"/>
      <c r="NKW2" s="24" t="n"/>
      <c r="NKX2" s="24" t="n"/>
      <c r="NKY2" s="24" t="n"/>
      <c r="NKZ2" s="24" t="n"/>
      <c r="NLA2" s="24" t="n"/>
      <c r="NLB2" s="24" t="n"/>
      <c r="NLC2" s="24" t="n"/>
      <c r="NLD2" s="24" t="n"/>
      <c r="NLE2" s="24" t="n"/>
      <c r="NLF2" s="24" t="n"/>
      <c r="NLG2" s="24" t="n"/>
      <c r="NLH2" s="24" t="n"/>
      <c r="NLI2" s="24" t="n"/>
      <c r="NLJ2" s="24" t="n"/>
      <c r="NLK2" s="24" t="n"/>
      <c r="NLL2" s="24" t="n"/>
      <c r="NLM2" s="24" t="n"/>
      <c r="NLN2" s="24" t="n"/>
      <c r="NLO2" s="24" t="n"/>
      <c r="NLP2" s="24" t="n"/>
      <c r="NLQ2" s="24" t="n"/>
      <c r="NLR2" s="24" t="n"/>
      <c r="NLS2" s="24" t="n"/>
      <c r="NLT2" s="24" t="n"/>
      <c r="NLU2" s="24" t="n"/>
      <c r="NLV2" s="24" t="n"/>
      <c r="NLW2" s="24" t="n"/>
      <c r="NLX2" s="24" t="n"/>
      <c r="NLY2" s="24" t="n"/>
      <c r="NLZ2" s="24" t="n"/>
      <c r="NMA2" s="24" t="n"/>
      <c r="NMB2" s="24" t="n"/>
      <c r="NMC2" s="24" t="n"/>
      <c r="NMD2" s="24" t="n"/>
      <c r="NME2" s="24" t="n"/>
      <c r="NMF2" s="24" t="n"/>
      <c r="NMG2" s="24" t="n"/>
      <c r="NMH2" s="24" t="n"/>
      <c r="NMI2" s="24" t="n"/>
      <c r="NMJ2" s="24" t="n"/>
      <c r="NMK2" s="24" t="n"/>
      <c r="NML2" s="24" t="n"/>
      <c r="NMM2" s="24" t="n"/>
      <c r="NMN2" s="24" t="n"/>
      <c r="NMO2" s="24" t="n"/>
      <c r="NMP2" s="24" t="n"/>
      <c r="NMQ2" s="24" t="n"/>
      <c r="NMR2" s="24" t="n"/>
      <c r="NMS2" s="24" t="n"/>
      <c r="NMT2" s="24" t="n"/>
      <c r="NMU2" s="24" t="n"/>
      <c r="NMV2" s="24" t="n"/>
      <c r="NMW2" s="24" t="n"/>
      <c r="NMX2" s="24" t="n"/>
      <c r="NMY2" s="24" t="n"/>
      <c r="NMZ2" s="24" t="n"/>
      <c r="NNA2" s="24" t="n"/>
      <c r="NNB2" s="24" t="n"/>
      <c r="NNC2" s="24" t="n"/>
      <c r="NND2" s="24" t="n"/>
      <c r="NNE2" s="24" t="n"/>
      <c r="NNF2" s="24" t="n"/>
      <c r="NNG2" s="24" t="n"/>
      <c r="NNH2" s="24" t="n"/>
      <c r="NNI2" s="24" t="n"/>
      <c r="NNJ2" s="24" t="n"/>
      <c r="NNK2" s="24" t="n"/>
      <c r="NNL2" s="24" t="n"/>
      <c r="NNM2" s="24" t="n"/>
      <c r="NNN2" s="24" t="n"/>
      <c r="NNO2" s="24" t="n"/>
      <c r="NNP2" s="24" t="n"/>
      <c r="NNQ2" s="24" t="n"/>
      <c r="NNR2" s="24" t="n"/>
      <c r="NNS2" s="24" t="n"/>
      <c r="NNT2" s="24" t="n"/>
      <c r="NNU2" s="24" t="n"/>
      <c r="NNV2" s="24" t="n"/>
      <c r="NNW2" s="24" t="n"/>
      <c r="NNX2" s="24" t="n"/>
      <c r="NNY2" s="24" t="n"/>
      <c r="NNZ2" s="24" t="n"/>
      <c r="NOA2" s="24" t="n"/>
      <c r="NOB2" s="24" t="n"/>
      <c r="NOC2" s="24" t="n"/>
      <c r="NOD2" s="24" t="n"/>
      <c r="NOE2" s="24" t="n"/>
      <c r="NOF2" s="24" t="n"/>
      <c r="NOG2" s="24" t="n"/>
      <c r="NOH2" s="24" t="n"/>
      <c r="NOI2" s="24" t="n"/>
      <c r="NOJ2" s="24" t="n"/>
      <c r="NOK2" s="24" t="n"/>
      <c r="NOL2" s="24" t="n"/>
      <c r="NOM2" s="24" t="n"/>
      <c r="NON2" s="24" t="n"/>
      <c r="NOO2" s="24" t="n"/>
      <c r="NOP2" s="24" t="n"/>
      <c r="NOQ2" s="24" t="n"/>
      <c r="NOR2" s="24" t="n"/>
      <c r="NOS2" s="24" t="n"/>
      <c r="NOT2" s="24" t="n"/>
      <c r="NOU2" s="24" t="n"/>
      <c r="NOV2" s="24" t="n"/>
      <c r="NOW2" s="24" t="n"/>
      <c r="NOX2" s="24" t="n"/>
      <c r="NOY2" s="24" t="n"/>
      <c r="NOZ2" s="24" t="n"/>
      <c r="NPA2" s="24" t="n"/>
      <c r="NPB2" s="24" t="n"/>
      <c r="NPC2" s="24" t="n"/>
      <c r="NPD2" s="24" t="n"/>
      <c r="NPE2" s="24" t="n"/>
      <c r="NPF2" s="24" t="n"/>
      <c r="NPG2" s="24" t="n"/>
      <c r="NPH2" s="24" t="n"/>
      <c r="NPI2" s="24" t="n"/>
      <c r="NPJ2" s="24" t="n"/>
      <c r="NPK2" s="24" t="n"/>
      <c r="NPL2" s="24" t="n"/>
      <c r="NPM2" s="24" t="n"/>
      <c r="NPN2" s="24" t="n"/>
      <c r="NPO2" s="24" t="n"/>
      <c r="NPP2" s="24" t="n"/>
      <c r="NPQ2" s="24" t="n"/>
      <c r="NPR2" s="24" t="n"/>
      <c r="NPS2" s="24" t="n"/>
      <c r="NPT2" s="24" t="n"/>
      <c r="NPU2" s="24" t="n"/>
      <c r="NPV2" s="24" t="n"/>
      <c r="NPW2" s="24" t="n"/>
      <c r="NPX2" s="24" t="n"/>
      <c r="NPY2" s="24" t="n"/>
      <c r="NPZ2" s="24" t="n"/>
      <c r="NQA2" s="24" t="n"/>
      <c r="NQB2" s="24" t="n"/>
      <c r="NQC2" s="24" t="n"/>
      <c r="NQD2" s="24" t="n"/>
      <c r="NQE2" s="24" t="n"/>
      <c r="NQF2" s="24" t="n"/>
      <c r="NQG2" s="24" t="n"/>
      <c r="NQH2" s="24" t="n"/>
      <c r="NQI2" s="24" t="n"/>
      <c r="NQJ2" s="24" t="n"/>
      <c r="NQK2" s="24" t="n"/>
      <c r="NQL2" s="24" t="n"/>
      <c r="NQM2" s="24" t="n"/>
      <c r="NQN2" s="24" t="n"/>
      <c r="NQO2" s="24" t="n"/>
      <c r="NQP2" s="24" t="n"/>
      <c r="NQQ2" s="24" t="n"/>
      <c r="NQR2" s="24" t="n"/>
      <c r="NQS2" s="24" t="n"/>
      <c r="NQT2" s="24" t="n"/>
      <c r="NQU2" s="24" t="n"/>
      <c r="NQV2" s="24" t="n"/>
      <c r="NQW2" s="24" t="n"/>
      <c r="NQX2" s="24" t="n"/>
      <c r="NQY2" s="24" t="n"/>
      <c r="NQZ2" s="24" t="n"/>
      <c r="NRA2" s="24" t="n"/>
      <c r="NRB2" s="24" t="n"/>
      <c r="NRC2" s="24" t="n"/>
      <c r="NRD2" s="24" t="n"/>
      <c r="NRE2" s="24" t="n"/>
      <c r="NRF2" s="24" t="n"/>
      <c r="NRG2" s="24" t="n"/>
      <c r="NRH2" s="24" t="n"/>
      <c r="NRI2" s="24" t="n"/>
      <c r="NRJ2" s="24" t="n"/>
      <c r="NRK2" s="24" t="n"/>
      <c r="NRL2" s="24" t="n"/>
      <c r="NRM2" s="24" t="n"/>
      <c r="NRN2" s="24" t="n"/>
      <c r="NRO2" s="24" t="n"/>
      <c r="NRP2" s="24" t="n"/>
      <c r="NRQ2" s="24" t="n"/>
      <c r="NRR2" s="24" t="n"/>
      <c r="NRS2" s="24" t="n"/>
      <c r="NRT2" s="24" t="n"/>
      <c r="NRU2" s="24" t="n"/>
      <c r="NRV2" s="24" t="n"/>
      <c r="NRW2" s="24" t="n"/>
      <c r="NRX2" s="24" t="n"/>
      <c r="NRY2" s="24" t="n"/>
      <c r="NRZ2" s="24" t="n"/>
      <c r="NSA2" s="24" t="n"/>
      <c r="NSB2" s="24" t="n"/>
      <c r="NSC2" s="24" t="n"/>
      <c r="NSD2" s="24" t="n"/>
      <c r="NSE2" s="24" t="n"/>
      <c r="NSF2" s="24" t="n"/>
      <c r="NSG2" s="24" t="n"/>
      <c r="NSH2" s="24" t="n"/>
      <c r="NSI2" s="24" t="n"/>
      <c r="NSJ2" s="24" t="n"/>
      <c r="NSK2" s="24" t="n"/>
      <c r="NSL2" s="24" t="n"/>
      <c r="NSM2" s="24" t="n"/>
      <c r="NSN2" s="24" t="n"/>
      <c r="NSO2" s="24" t="n"/>
      <c r="NSP2" s="24" t="n"/>
      <c r="NSQ2" s="24" t="n"/>
      <c r="NSR2" s="24" t="n"/>
      <c r="NSS2" s="24" t="n"/>
      <c r="NST2" s="24" t="n"/>
      <c r="NSU2" s="24" t="n"/>
      <c r="NSV2" s="24" t="n"/>
      <c r="NSW2" s="24" t="n"/>
      <c r="NSX2" s="24" t="n"/>
      <c r="NSY2" s="24" t="n"/>
      <c r="NSZ2" s="24" t="n"/>
      <c r="NTA2" s="24" t="n"/>
      <c r="NTB2" s="24" t="n"/>
      <c r="NTC2" s="24" t="n"/>
      <c r="NTD2" s="24" t="n"/>
      <c r="NTE2" s="24" t="n"/>
      <c r="NTF2" s="24" t="n"/>
      <c r="NTG2" s="24" t="n"/>
      <c r="NTH2" s="24" t="n"/>
      <c r="NTI2" s="24" t="n"/>
      <c r="NTJ2" s="24" t="n"/>
      <c r="NTK2" s="24" t="n"/>
      <c r="NTL2" s="24" t="n"/>
      <c r="NTM2" s="24" t="n"/>
      <c r="NTN2" s="24" t="n"/>
      <c r="NTO2" s="24" t="n"/>
      <c r="NTP2" s="24" t="n"/>
      <c r="NTQ2" s="24" t="n"/>
      <c r="NTR2" s="24" t="n"/>
      <c r="NTS2" s="24" t="n"/>
      <c r="NTT2" s="24" t="n"/>
      <c r="NTU2" s="24" t="n"/>
      <c r="NTV2" s="24" t="n"/>
      <c r="NTW2" s="24" t="n"/>
      <c r="NTX2" s="24" t="n"/>
      <c r="NTY2" s="24" t="n"/>
      <c r="NTZ2" s="24" t="n"/>
      <c r="NUA2" s="24" t="n"/>
      <c r="NUB2" s="24" t="n"/>
      <c r="NUC2" s="24" t="n"/>
      <c r="NUD2" s="24" t="n"/>
      <c r="NUE2" s="24" t="n"/>
      <c r="NUF2" s="24" t="n"/>
      <c r="NUG2" s="24" t="n"/>
      <c r="NUH2" s="24" t="n"/>
      <c r="NUI2" s="24" t="n"/>
      <c r="NUJ2" s="24" t="n"/>
      <c r="NUK2" s="24" t="n"/>
      <c r="NUL2" s="24" t="n"/>
      <c r="NUM2" s="24" t="n"/>
      <c r="NUN2" s="24" t="n"/>
      <c r="NUO2" s="24" t="n"/>
      <c r="NUP2" s="24" t="n"/>
      <c r="NUQ2" s="24" t="n"/>
      <c r="NUR2" s="24" t="n"/>
      <c r="NUS2" s="24" t="n"/>
      <c r="NUT2" s="24" t="n"/>
      <c r="NUU2" s="24" t="n"/>
      <c r="NUV2" s="24" t="n"/>
      <c r="NUW2" s="24" t="n"/>
      <c r="NUX2" s="24" t="n"/>
      <c r="NUY2" s="24" t="n"/>
      <c r="NUZ2" s="24" t="n"/>
      <c r="NVA2" s="24" t="n"/>
      <c r="NVB2" s="24" t="n"/>
      <c r="NVC2" s="24" t="n"/>
      <c r="NVD2" s="24" t="n"/>
      <c r="NVE2" s="24" t="n"/>
      <c r="NVF2" s="24" t="n"/>
      <c r="NVG2" s="24" t="n"/>
      <c r="NVH2" s="24" t="n"/>
      <c r="NVI2" s="24" t="n"/>
      <c r="NVJ2" s="24" t="n"/>
      <c r="NVK2" s="24" t="n"/>
      <c r="NVL2" s="24" t="n"/>
      <c r="NVM2" s="24" t="n"/>
      <c r="NVN2" s="24" t="n"/>
      <c r="NVO2" s="24" t="n"/>
      <c r="NVP2" s="24" t="n"/>
      <c r="NVQ2" s="24" t="n"/>
      <c r="NVR2" s="24" t="n"/>
      <c r="NVS2" s="24" t="n"/>
      <c r="NVT2" s="24" t="n"/>
      <c r="NVU2" s="24" t="n"/>
      <c r="NVV2" s="24" t="n"/>
      <c r="NVW2" s="24" t="n"/>
      <c r="NVX2" s="24" t="n"/>
      <c r="NVY2" s="24" t="n"/>
      <c r="NVZ2" s="24" t="n"/>
      <c r="NWA2" s="24" t="n"/>
      <c r="NWB2" s="24" t="n"/>
      <c r="NWC2" s="24" t="n"/>
      <c r="NWD2" s="24" t="n"/>
      <c r="NWE2" s="24" t="n"/>
      <c r="NWF2" s="24" t="n"/>
      <c r="NWG2" s="24" t="n"/>
      <c r="NWH2" s="24" t="n"/>
      <c r="NWI2" s="24" t="n"/>
      <c r="NWJ2" s="24" t="n"/>
      <c r="NWK2" s="24" t="n"/>
      <c r="NWL2" s="24" t="n"/>
      <c r="NWM2" s="24" t="n"/>
      <c r="NWN2" s="24" t="n"/>
      <c r="NWO2" s="24" t="n"/>
      <c r="NWP2" s="24" t="n"/>
      <c r="NWQ2" s="24" t="n"/>
      <c r="NWR2" s="24" t="n"/>
      <c r="NWS2" s="24" t="n"/>
      <c r="NWT2" s="24" t="n"/>
      <c r="NWU2" s="24" t="n"/>
      <c r="NWV2" s="24" t="n"/>
      <c r="NWW2" s="24" t="n"/>
      <c r="NWX2" s="24" t="n"/>
      <c r="NWY2" s="24" t="n"/>
      <c r="NWZ2" s="24" t="n"/>
      <c r="NXA2" s="24" t="n"/>
      <c r="NXB2" s="24" t="n"/>
      <c r="NXC2" s="24" t="n"/>
      <c r="NXD2" s="24" t="n"/>
      <c r="NXE2" s="24" t="n"/>
      <c r="NXF2" s="24" t="n"/>
      <c r="NXG2" s="24" t="n"/>
      <c r="NXH2" s="24" t="n"/>
      <c r="NXI2" s="24" t="n"/>
      <c r="NXJ2" s="24" t="n"/>
      <c r="NXK2" s="24" t="n"/>
      <c r="NXL2" s="24" t="n"/>
      <c r="NXM2" s="24" t="n"/>
      <c r="NXN2" s="24" t="n"/>
      <c r="NXO2" s="24" t="n"/>
      <c r="NXP2" s="24" t="n"/>
      <c r="NXQ2" s="24" t="n"/>
      <c r="NXR2" s="24" t="n"/>
      <c r="NXS2" s="24" t="n"/>
      <c r="NXT2" s="24" t="n"/>
      <c r="NXU2" s="24" t="n"/>
      <c r="NXV2" s="24" t="n"/>
      <c r="NXW2" s="24" t="n"/>
      <c r="NXX2" s="24" t="n"/>
      <c r="NXY2" s="24" t="n"/>
      <c r="NXZ2" s="24" t="n"/>
      <c r="NYA2" s="24" t="n"/>
      <c r="NYB2" s="24" t="n"/>
      <c r="NYC2" s="24" t="n"/>
      <c r="NYD2" s="24" t="n"/>
      <c r="NYE2" s="24" t="n"/>
      <c r="NYF2" s="24" t="n"/>
      <c r="NYG2" s="24" t="n"/>
      <c r="NYH2" s="24" t="n"/>
      <c r="NYI2" s="24" t="n"/>
      <c r="NYJ2" s="24" t="n"/>
      <c r="NYK2" s="24" t="n"/>
      <c r="NYL2" s="24" t="n"/>
      <c r="NYM2" s="24" t="n"/>
      <c r="NYN2" s="24" t="n"/>
      <c r="NYO2" s="24" t="n"/>
      <c r="NYP2" s="24" t="n"/>
      <c r="NYQ2" s="24" t="n"/>
      <c r="NYR2" s="24" t="n"/>
      <c r="NYS2" s="24" t="n"/>
      <c r="NYT2" s="24" t="n"/>
      <c r="NYU2" s="24" t="n"/>
      <c r="NYV2" s="24" t="n"/>
      <c r="NYW2" s="24" t="n"/>
      <c r="NYX2" s="24" t="n"/>
      <c r="NYY2" s="24" t="n"/>
      <c r="NYZ2" s="24" t="n"/>
      <c r="NZA2" s="24" t="n"/>
      <c r="NZB2" s="24" t="n"/>
      <c r="NZC2" s="24" t="n"/>
      <c r="NZD2" s="24" t="n"/>
      <c r="NZE2" s="24" t="n"/>
      <c r="NZF2" s="24" t="n"/>
      <c r="NZG2" s="24" t="n"/>
      <c r="NZH2" s="24" t="n"/>
      <c r="NZI2" s="24" t="n"/>
      <c r="NZJ2" s="24" t="n"/>
      <c r="NZK2" s="24" t="n"/>
      <c r="NZL2" s="24" t="n"/>
      <c r="NZM2" s="24" t="n"/>
      <c r="NZN2" s="24" t="n"/>
      <c r="NZO2" s="24" t="n"/>
      <c r="NZP2" s="24" t="n"/>
      <c r="NZQ2" s="24" t="n"/>
      <c r="NZR2" s="24" t="n"/>
      <c r="NZS2" s="24" t="n"/>
      <c r="NZT2" s="24" t="n"/>
      <c r="NZU2" s="24" t="n"/>
      <c r="NZV2" s="24" t="n"/>
      <c r="NZW2" s="24" t="n"/>
      <c r="NZX2" s="24" t="n"/>
      <c r="NZY2" s="24" t="n"/>
      <c r="NZZ2" s="24" t="n"/>
      <c r="OAA2" s="24" t="n"/>
      <c r="OAB2" s="24" t="n"/>
      <c r="OAC2" s="24" t="n"/>
      <c r="OAD2" s="24" t="n"/>
      <c r="OAE2" s="24" t="n"/>
      <c r="OAF2" s="24" t="n"/>
      <c r="OAG2" s="24" t="n"/>
      <c r="OAH2" s="24" t="n"/>
      <c r="OAI2" s="24" t="n"/>
      <c r="OAJ2" s="24" t="n"/>
      <c r="OAK2" s="24" t="n"/>
      <c r="OAL2" s="24" t="n"/>
      <c r="OAM2" s="24" t="n"/>
      <c r="OAN2" s="24" t="n"/>
      <c r="OAO2" s="24" t="n"/>
      <c r="OAP2" s="24" t="n"/>
      <c r="OAQ2" s="24" t="n"/>
      <c r="OAR2" s="24" t="n"/>
      <c r="OAS2" s="24" t="n"/>
      <c r="OAT2" s="24" t="n"/>
      <c r="OAU2" s="24" t="n"/>
      <c r="OAV2" s="24" t="n"/>
      <c r="OAW2" s="24" t="n"/>
      <c r="OAX2" s="24" t="n"/>
      <c r="OAY2" s="24" t="n"/>
      <c r="OAZ2" s="24" t="n"/>
      <c r="OBA2" s="24" t="n"/>
      <c r="OBB2" s="24" t="n"/>
      <c r="OBC2" s="24" t="n"/>
      <c r="OBD2" s="24" t="n"/>
      <c r="OBE2" s="24" t="n"/>
      <c r="OBF2" s="24" t="n"/>
      <c r="OBG2" s="24" t="n"/>
      <c r="OBH2" s="24" t="n"/>
      <c r="OBI2" s="24" t="n"/>
      <c r="OBJ2" s="24" t="n"/>
      <c r="OBK2" s="24" t="n"/>
      <c r="OBL2" s="24" t="n"/>
      <c r="OBM2" s="24" t="n"/>
      <c r="OBN2" s="24" t="n"/>
      <c r="OBO2" s="24" t="n"/>
      <c r="OBP2" s="24" t="n"/>
      <c r="OBQ2" s="24" t="n"/>
      <c r="OBR2" s="24" t="n"/>
      <c r="OBS2" s="24" t="n"/>
      <c r="OBT2" s="24" t="n"/>
      <c r="OBU2" s="24" t="n"/>
      <c r="OBV2" s="24" t="n"/>
      <c r="OBW2" s="24" t="n"/>
      <c r="OBX2" s="24" t="n"/>
      <c r="OBY2" s="24" t="n"/>
      <c r="OBZ2" s="24" t="n"/>
      <c r="OCA2" s="24" t="n"/>
      <c r="OCB2" s="24" t="n"/>
      <c r="OCC2" s="24" t="n"/>
      <c r="OCD2" s="24" t="n"/>
      <c r="OCE2" s="24" t="n"/>
      <c r="OCF2" s="24" t="n"/>
      <c r="OCG2" s="24" t="n"/>
      <c r="OCH2" s="24" t="n"/>
      <c r="OCI2" s="24" t="n"/>
      <c r="OCJ2" s="24" t="n"/>
      <c r="OCK2" s="24" t="n"/>
      <c r="OCL2" s="24" t="n"/>
      <c r="OCM2" s="24" t="n"/>
      <c r="OCN2" s="24" t="n"/>
      <c r="OCO2" s="24" t="n"/>
      <c r="OCP2" s="24" t="n"/>
      <c r="OCQ2" s="24" t="n"/>
      <c r="OCR2" s="24" t="n"/>
      <c r="OCS2" s="24" t="n"/>
      <c r="OCT2" s="24" t="n"/>
      <c r="OCU2" s="24" t="n"/>
      <c r="OCV2" s="24" t="n"/>
      <c r="OCW2" s="24" t="n"/>
      <c r="OCX2" s="24" t="n"/>
      <c r="OCY2" s="24" t="n"/>
      <c r="OCZ2" s="24" t="n"/>
      <c r="ODA2" s="24" t="n"/>
      <c r="ODB2" s="24" t="n"/>
      <c r="ODC2" s="24" t="n"/>
      <c r="ODD2" s="24" t="n"/>
      <c r="ODE2" s="24" t="n"/>
      <c r="ODF2" s="24" t="n"/>
      <c r="ODG2" s="24" t="n"/>
      <c r="ODH2" s="24" t="n"/>
      <c r="ODI2" s="24" t="n"/>
      <c r="ODJ2" s="24" t="n"/>
      <c r="ODK2" s="24" t="n"/>
      <c r="ODL2" s="24" t="n"/>
      <c r="ODM2" s="24" t="n"/>
      <c r="ODN2" s="24" t="n"/>
      <c r="ODO2" s="24" t="n"/>
      <c r="ODP2" s="24" t="n"/>
      <c r="ODQ2" s="24" t="n"/>
      <c r="ODR2" s="24" t="n"/>
      <c r="ODS2" s="24" t="n"/>
      <c r="ODT2" s="24" t="n"/>
      <c r="ODU2" s="24" t="n"/>
      <c r="ODV2" s="24" t="n"/>
      <c r="ODW2" s="24" t="n"/>
      <c r="ODX2" s="24" t="n"/>
      <c r="ODY2" s="24" t="n"/>
      <c r="ODZ2" s="24" t="n"/>
      <c r="OEA2" s="24" t="n"/>
      <c r="OEB2" s="24" t="n"/>
      <c r="OEC2" s="24" t="n"/>
      <c r="OED2" s="24" t="n"/>
      <c r="OEE2" s="24" t="n"/>
      <c r="OEF2" s="24" t="n"/>
      <c r="OEG2" s="24" t="n"/>
      <c r="OEH2" s="24" t="n"/>
      <c r="OEI2" s="24" t="n"/>
      <c r="OEJ2" s="24" t="n"/>
      <c r="OEK2" s="24" t="n"/>
      <c r="OEL2" s="24" t="n"/>
      <c r="OEM2" s="24" t="n"/>
      <c r="OEN2" s="24" t="n"/>
      <c r="OEO2" s="24" t="n"/>
      <c r="OEP2" s="24" t="n"/>
      <c r="OEQ2" s="24" t="n"/>
      <c r="OER2" s="24" t="n"/>
      <c r="OES2" s="24" t="n"/>
      <c r="OET2" s="24" t="n"/>
      <c r="OEU2" s="24" t="n"/>
      <c r="OEV2" s="24" t="n"/>
      <c r="OEW2" s="24" t="n"/>
      <c r="OEX2" s="24" t="n"/>
      <c r="OEY2" s="24" t="n"/>
      <c r="OEZ2" s="24" t="n"/>
      <c r="OFA2" s="24" t="n"/>
      <c r="OFB2" s="24" t="n"/>
      <c r="OFC2" s="24" t="n"/>
      <c r="OFD2" s="24" t="n"/>
      <c r="OFE2" s="24" t="n"/>
      <c r="OFF2" s="24" t="n"/>
      <c r="OFG2" s="24" t="n"/>
      <c r="OFH2" s="24" t="n"/>
      <c r="OFI2" s="24" t="n"/>
      <c r="OFJ2" s="24" t="n"/>
      <c r="OFK2" s="24" t="n"/>
      <c r="OFL2" s="24" t="n"/>
      <c r="OFM2" s="24" t="n"/>
      <c r="OFN2" s="24" t="n"/>
      <c r="OFO2" s="24" t="n"/>
      <c r="OFP2" s="24" t="n"/>
      <c r="OFQ2" s="24" t="n"/>
      <c r="OFR2" s="24" t="n"/>
      <c r="OFS2" s="24" t="n"/>
      <c r="OFT2" s="24" t="n"/>
      <c r="OFU2" s="24" t="n"/>
      <c r="OFV2" s="24" t="n"/>
      <c r="OFW2" s="24" t="n"/>
      <c r="OFX2" s="24" t="n"/>
      <c r="OFY2" s="24" t="n"/>
      <c r="OFZ2" s="24" t="n"/>
      <c r="OGA2" s="24" t="n"/>
      <c r="OGB2" s="24" t="n"/>
      <c r="OGC2" s="24" t="n"/>
      <c r="OGD2" s="24" t="n"/>
      <c r="OGE2" s="24" t="n"/>
      <c r="OGF2" s="24" t="n"/>
      <c r="OGG2" s="24" t="n"/>
      <c r="OGH2" s="24" t="n"/>
      <c r="OGI2" s="24" t="n"/>
      <c r="OGJ2" s="24" t="n"/>
      <c r="OGK2" s="24" t="n"/>
      <c r="OGL2" s="24" t="n"/>
      <c r="OGM2" s="24" t="n"/>
      <c r="OGN2" s="24" t="n"/>
      <c r="OGO2" s="24" t="n"/>
      <c r="OGP2" s="24" t="n"/>
      <c r="OGQ2" s="24" t="n"/>
      <c r="OGR2" s="24" t="n"/>
      <c r="OGS2" s="24" t="n"/>
      <c r="OGT2" s="24" t="n"/>
      <c r="OGU2" s="24" t="n"/>
      <c r="OGV2" s="24" t="n"/>
      <c r="OGW2" s="24" t="n"/>
      <c r="OGX2" s="24" t="n"/>
      <c r="OGY2" s="24" t="n"/>
      <c r="OGZ2" s="24" t="n"/>
      <c r="OHA2" s="24" t="n"/>
      <c r="OHB2" s="24" t="n"/>
      <c r="OHC2" s="24" t="n"/>
      <c r="OHD2" s="24" t="n"/>
      <c r="OHE2" s="24" t="n"/>
      <c r="OHF2" s="24" t="n"/>
      <c r="OHG2" s="24" t="n"/>
      <c r="OHH2" s="24" t="n"/>
      <c r="OHI2" s="24" t="n"/>
      <c r="OHJ2" s="24" t="n"/>
      <c r="OHK2" s="24" t="n"/>
      <c r="OHL2" s="24" t="n"/>
      <c r="OHM2" s="24" t="n"/>
      <c r="OHN2" s="24" t="n"/>
      <c r="OHO2" s="24" t="n"/>
      <c r="OHP2" s="24" t="n"/>
      <c r="OHQ2" s="24" t="n"/>
      <c r="OHR2" s="24" t="n"/>
      <c r="OHS2" s="24" t="n"/>
      <c r="OHT2" s="24" t="n"/>
      <c r="OHU2" s="24" t="n"/>
      <c r="OHV2" s="24" t="n"/>
      <c r="OHW2" s="24" t="n"/>
      <c r="OHX2" s="24" t="n"/>
      <c r="OHY2" s="24" t="n"/>
      <c r="OHZ2" s="24" t="n"/>
      <c r="OIA2" s="24" t="n"/>
      <c r="OIB2" s="24" t="n"/>
      <c r="OIC2" s="24" t="n"/>
      <c r="OID2" s="24" t="n"/>
      <c r="OIE2" s="24" t="n"/>
      <c r="OIF2" s="24" t="n"/>
      <c r="OIG2" s="24" t="n"/>
      <c r="OIH2" s="24" t="n"/>
      <c r="OII2" s="24" t="n"/>
      <c r="OIJ2" s="24" t="n"/>
      <c r="OIK2" s="24" t="n"/>
      <c r="OIL2" s="24" t="n"/>
      <c r="OIM2" s="24" t="n"/>
      <c r="OIN2" s="24" t="n"/>
      <c r="OIO2" s="24" t="n"/>
      <c r="OIP2" s="24" t="n"/>
      <c r="OIQ2" s="24" t="n"/>
      <c r="OIR2" s="24" t="n"/>
      <c r="OIS2" s="24" t="n"/>
      <c r="OIT2" s="24" t="n"/>
      <c r="OIU2" s="24" t="n"/>
      <c r="OIV2" s="24" t="n"/>
      <c r="OIW2" s="24" t="n"/>
      <c r="OIX2" s="24" t="n"/>
      <c r="OIY2" s="24" t="n"/>
      <c r="OIZ2" s="24" t="n"/>
      <c r="OJA2" s="24" t="n"/>
      <c r="OJB2" s="24" t="n"/>
      <c r="OJC2" s="24" t="n"/>
      <c r="OJD2" s="24" t="n"/>
      <c r="OJE2" s="24" t="n"/>
      <c r="OJF2" s="24" t="n"/>
      <c r="OJG2" s="24" t="n"/>
      <c r="OJH2" s="24" t="n"/>
      <c r="OJI2" s="24" t="n"/>
      <c r="OJJ2" s="24" t="n"/>
      <c r="OJK2" s="24" t="n"/>
      <c r="OJL2" s="24" t="n"/>
      <c r="OJM2" s="24" t="n"/>
      <c r="OJN2" s="24" t="n"/>
      <c r="OJO2" s="24" t="n"/>
      <c r="OJP2" s="24" t="n"/>
      <c r="OJQ2" s="24" t="n"/>
      <c r="OJR2" s="24" t="n"/>
      <c r="OJS2" s="24" t="n"/>
      <c r="OJT2" s="24" t="n"/>
      <c r="OJU2" s="24" t="n"/>
      <c r="OJV2" s="24" t="n"/>
      <c r="OJW2" s="24" t="n"/>
      <c r="OJX2" s="24" t="n"/>
      <c r="OJY2" s="24" t="n"/>
      <c r="OJZ2" s="24" t="n"/>
      <c r="OKA2" s="24" t="n"/>
      <c r="OKB2" s="24" t="n"/>
      <c r="OKC2" s="24" t="n"/>
      <c r="OKD2" s="24" t="n"/>
      <c r="OKE2" s="24" t="n"/>
      <c r="OKF2" s="24" t="n"/>
      <c r="OKG2" s="24" t="n"/>
      <c r="OKH2" s="24" t="n"/>
      <c r="OKI2" s="24" t="n"/>
      <c r="OKJ2" s="24" t="n"/>
      <c r="OKK2" s="24" t="n"/>
      <c r="OKL2" s="24" t="n"/>
      <c r="OKM2" s="24" t="n"/>
      <c r="OKN2" s="24" t="n"/>
      <c r="OKO2" s="24" t="n"/>
      <c r="OKP2" s="24" t="n"/>
      <c r="OKQ2" s="24" t="n"/>
      <c r="OKR2" s="24" t="n"/>
      <c r="OKS2" s="24" t="n"/>
      <c r="OKT2" s="24" t="n"/>
      <c r="OKU2" s="24" t="n"/>
      <c r="OKV2" s="24" t="n"/>
      <c r="OKW2" s="24" t="n"/>
      <c r="OKX2" s="24" t="n"/>
      <c r="OKY2" s="24" t="n"/>
      <c r="OKZ2" s="24" t="n"/>
      <c r="OLA2" s="24" t="n"/>
      <c r="OLB2" s="24" t="n"/>
      <c r="OLC2" s="24" t="n"/>
      <c r="OLD2" s="24" t="n"/>
      <c r="OLE2" s="24" t="n"/>
      <c r="OLF2" s="24" t="n"/>
      <c r="OLG2" s="24" t="n"/>
      <c r="OLH2" s="24" t="n"/>
      <c r="OLI2" s="24" t="n"/>
      <c r="OLJ2" s="24" t="n"/>
      <c r="OLK2" s="24" t="n"/>
      <c r="OLL2" s="24" t="n"/>
      <c r="OLM2" s="24" t="n"/>
      <c r="OLN2" s="24" t="n"/>
      <c r="OLO2" s="24" t="n"/>
      <c r="OLP2" s="24" t="n"/>
      <c r="OLQ2" s="24" t="n"/>
      <c r="OLR2" s="24" t="n"/>
      <c r="OLS2" s="24" t="n"/>
      <c r="OLT2" s="24" t="n"/>
      <c r="OLU2" s="24" t="n"/>
      <c r="OLV2" s="24" t="n"/>
      <c r="OLW2" s="24" t="n"/>
      <c r="OLX2" s="24" t="n"/>
      <c r="OLY2" s="24" t="n"/>
      <c r="OLZ2" s="24" t="n"/>
      <c r="OMA2" s="24" t="n"/>
      <c r="OMB2" s="24" t="n"/>
      <c r="OMC2" s="24" t="n"/>
      <c r="OMD2" s="24" t="n"/>
      <c r="OME2" s="24" t="n"/>
      <c r="OMF2" s="24" t="n"/>
      <c r="OMG2" s="24" t="n"/>
      <c r="OMH2" s="24" t="n"/>
      <c r="OMI2" s="24" t="n"/>
      <c r="OMJ2" s="24" t="n"/>
      <c r="OMK2" s="24" t="n"/>
      <c r="OML2" s="24" t="n"/>
      <c r="OMM2" s="24" t="n"/>
      <c r="OMN2" s="24" t="n"/>
      <c r="OMO2" s="24" t="n"/>
      <c r="OMP2" s="24" t="n"/>
      <c r="OMQ2" s="24" t="n"/>
      <c r="OMR2" s="24" t="n"/>
      <c r="OMS2" s="24" t="n"/>
      <c r="OMT2" s="24" t="n"/>
      <c r="OMU2" s="24" t="n"/>
      <c r="OMV2" s="24" t="n"/>
      <c r="OMW2" s="24" t="n"/>
      <c r="OMX2" s="24" t="n"/>
      <c r="OMY2" s="24" t="n"/>
      <c r="OMZ2" s="24" t="n"/>
      <c r="ONA2" s="24" t="n"/>
      <c r="ONB2" s="24" t="n"/>
      <c r="ONC2" s="24" t="n"/>
      <c r="OND2" s="24" t="n"/>
      <c r="ONE2" s="24" t="n"/>
      <c r="ONF2" s="24" t="n"/>
      <c r="ONG2" s="24" t="n"/>
      <c r="ONH2" s="24" t="n"/>
      <c r="ONI2" s="24" t="n"/>
      <c r="ONJ2" s="24" t="n"/>
      <c r="ONK2" s="24" t="n"/>
      <c r="ONL2" s="24" t="n"/>
      <c r="ONM2" s="24" t="n"/>
      <c r="ONN2" s="24" t="n"/>
      <c r="ONO2" s="24" t="n"/>
      <c r="ONP2" s="24" t="n"/>
      <c r="ONQ2" s="24" t="n"/>
      <c r="ONR2" s="24" t="n"/>
      <c r="ONS2" s="24" t="n"/>
      <c r="ONT2" s="24" t="n"/>
      <c r="ONU2" s="24" t="n"/>
      <c r="ONV2" s="24" t="n"/>
      <c r="ONW2" s="24" t="n"/>
      <c r="ONX2" s="24" t="n"/>
      <c r="ONY2" s="24" t="n"/>
      <c r="ONZ2" s="24" t="n"/>
      <c r="OOA2" s="24" t="n"/>
      <c r="OOB2" s="24" t="n"/>
      <c r="OOC2" s="24" t="n"/>
      <c r="OOD2" s="24" t="n"/>
      <c r="OOE2" s="24" t="n"/>
      <c r="OOF2" s="24" t="n"/>
      <c r="OOG2" s="24" t="n"/>
      <c r="OOH2" s="24" t="n"/>
      <c r="OOI2" s="24" t="n"/>
      <c r="OOJ2" s="24" t="n"/>
      <c r="OOK2" s="24" t="n"/>
      <c r="OOL2" s="24" t="n"/>
      <c r="OOM2" s="24" t="n"/>
      <c r="OON2" s="24" t="n"/>
      <c r="OOO2" s="24" t="n"/>
      <c r="OOP2" s="24" t="n"/>
      <c r="OOQ2" s="24" t="n"/>
      <c r="OOR2" s="24" t="n"/>
      <c r="OOS2" s="24" t="n"/>
      <c r="OOT2" s="24" t="n"/>
      <c r="OOU2" s="24" t="n"/>
      <c r="OOV2" s="24" t="n"/>
      <c r="OOW2" s="24" t="n"/>
      <c r="OOX2" s="24" t="n"/>
      <c r="OOY2" s="24" t="n"/>
      <c r="OOZ2" s="24" t="n"/>
      <c r="OPA2" s="24" t="n"/>
      <c r="OPB2" s="24" t="n"/>
      <c r="OPC2" s="24" t="n"/>
      <c r="OPD2" s="24" t="n"/>
      <c r="OPE2" s="24" t="n"/>
      <c r="OPF2" s="24" t="n"/>
      <c r="OPG2" s="24" t="n"/>
      <c r="OPH2" s="24" t="n"/>
      <c r="OPI2" s="24" t="n"/>
      <c r="OPJ2" s="24" t="n"/>
      <c r="OPK2" s="24" t="n"/>
      <c r="OPL2" s="24" t="n"/>
      <c r="OPM2" s="24" t="n"/>
      <c r="OPN2" s="24" t="n"/>
      <c r="OPO2" s="24" t="n"/>
      <c r="OPP2" s="24" t="n"/>
      <c r="OPQ2" s="24" t="n"/>
      <c r="OPR2" s="24" t="n"/>
      <c r="OPS2" s="24" t="n"/>
      <c r="OPT2" s="24" t="n"/>
      <c r="OPU2" s="24" t="n"/>
      <c r="OPV2" s="24" t="n"/>
      <c r="OPW2" s="24" t="n"/>
      <c r="OPX2" s="24" t="n"/>
      <c r="OPY2" s="24" t="n"/>
      <c r="OPZ2" s="24" t="n"/>
      <c r="OQA2" s="24" t="n"/>
      <c r="OQB2" s="24" t="n"/>
      <c r="OQC2" s="24" t="n"/>
      <c r="OQD2" s="24" t="n"/>
      <c r="OQE2" s="24" t="n"/>
      <c r="OQF2" s="24" t="n"/>
      <c r="OQG2" s="24" t="n"/>
      <c r="OQH2" s="24" t="n"/>
      <c r="OQI2" s="24" t="n"/>
      <c r="OQJ2" s="24" t="n"/>
      <c r="OQK2" s="24" t="n"/>
      <c r="OQL2" s="24" t="n"/>
      <c r="OQM2" s="24" t="n"/>
      <c r="OQN2" s="24" t="n"/>
      <c r="OQO2" s="24" t="n"/>
      <c r="OQP2" s="24" t="n"/>
      <c r="OQQ2" s="24" t="n"/>
      <c r="OQR2" s="24" t="n"/>
      <c r="OQS2" s="24" t="n"/>
      <c r="OQT2" s="24" t="n"/>
      <c r="OQU2" s="24" t="n"/>
      <c r="OQV2" s="24" t="n"/>
      <c r="OQW2" s="24" t="n"/>
      <c r="OQX2" s="24" t="n"/>
      <c r="OQY2" s="24" t="n"/>
      <c r="OQZ2" s="24" t="n"/>
      <c r="ORA2" s="24" t="n"/>
      <c r="ORB2" s="24" t="n"/>
      <c r="ORC2" s="24" t="n"/>
      <c r="ORD2" s="24" t="n"/>
      <c r="ORE2" s="24" t="n"/>
      <c r="ORF2" s="24" t="n"/>
      <c r="ORG2" s="24" t="n"/>
      <c r="ORH2" s="24" t="n"/>
      <c r="ORI2" s="24" t="n"/>
      <c r="ORJ2" s="24" t="n"/>
      <c r="ORK2" s="24" t="n"/>
      <c r="ORL2" s="24" t="n"/>
      <c r="ORM2" s="24" t="n"/>
      <c r="ORN2" s="24" t="n"/>
      <c r="ORO2" s="24" t="n"/>
      <c r="ORP2" s="24" t="n"/>
      <c r="ORQ2" s="24" t="n"/>
      <c r="ORR2" s="24" t="n"/>
      <c r="ORS2" s="24" t="n"/>
      <c r="ORT2" s="24" t="n"/>
      <c r="ORU2" s="24" t="n"/>
      <c r="ORV2" s="24" t="n"/>
      <c r="ORW2" s="24" t="n"/>
      <c r="ORX2" s="24" t="n"/>
      <c r="ORY2" s="24" t="n"/>
      <c r="ORZ2" s="24" t="n"/>
      <c r="OSA2" s="24" t="n"/>
      <c r="OSB2" s="24" t="n"/>
      <c r="OSC2" s="24" t="n"/>
      <c r="OSD2" s="24" t="n"/>
      <c r="OSE2" s="24" t="n"/>
      <c r="OSF2" s="24" t="n"/>
      <c r="OSG2" s="24" t="n"/>
      <c r="OSH2" s="24" t="n"/>
      <c r="OSI2" s="24" t="n"/>
      <c r="OSJ2" s="24" t="n"/>
      <c r="OSK2" s="24" t="n"/>
      <c r="OSL2" s="24" t="n"/>
      <c r="OSM2" s="24" t="n"/>
      <c r="OSN2" s="24" t="n"/>
      <c r="OSO2" s="24" t="n"/>
      <c r="OSP2" s="24" t="n"/>
      <c r="OSQ2" s="24" t="n"/>
      <c r="OSR2" s="24" t="n"/>
      <c r="OSS2" s="24" t="n"/>
      <c r="OST2" s="24" t="n"/>
      <c r="OSU2" s="24" t="n"/>
      <c r="OSV2" s="24" t="n"/>
      <c r="OSW2" s="24" t="n"/>
      <c r="OSX2" s="24" t="n"/>
      <c r="OSY2" s="24" t="n"/>
      <c r="OSZ2" s="24" t="n"/>
      <c r="OTA2" s="24" t="n"/>
      <c r="OTB2" s="24" t="n"/>
      <c r="OTC2" s="24" t="n"/>
      <c r="OTD2" s="24" t="n"/>
      <c r="OTE2" s="24" t="n"/>
      <c r="OTF2" s="24" t="n"/>
      <c r="OTG2" s="24" t="n"/>
      <c r="OTH2" s="24" t="n"/>
      <c r="OTI2" s="24" t="n"/>
      <c r="OTJ2" s="24" t="n"/>
      <c r="OTK2" s="24" t="n"/>
      <c r="OTL2" s="24" t="n"/>
      <c r="OTM2" s="24" t="n"/>
      <c r="OTN2" s="24" t="n"/>
      <c r="OTO2" s="24" t="n"/>
      <c r="OTP2" s="24" t="n"/>
      <c r="OTQ2" s="24" t="n"/>
      <c r="OTR2" s="24" t="n"/>
      <c r="OTS2" s="24" t="n"/>
      <c r="OTT2" s="24" t="n"/>
      <c r="OTU2" s="24" t="n"/>
      <c r="OTV2" s="24" t="n"/>
      <c r="OTW2" s="24" t="n"/>
      <c r="OTX2" s="24" t="n"/>
      <c r="OTY2" s="24" t="n"/>
      <c r="OTZ2" s="24" t="n"/>
      <c r="OUA2" s="24" t="n"/>
      <c r="OUB2" s="24" t="n"/>
      <c r="OUC2" s="24" t="n"/>
      <c r="OUD2" s="24" t="n"/>
      <c r="OUE2" s="24" t="n"/>
      <c r="OUF2" s="24" t="n"/>
      <c r="OUG2" s="24" t="n"/>
      <c r="OUH2" s="24" t="n"/>
      <c r="OUI2" s="24" t="n"/>
      <c r="OUJ2" s="24" t="n"/>
      <c r="OUK2" s="24" t="n"/>
      <c r="OUL2" s="24" t="n"/>
      <c r="OUM2" s="24" t="n"/>
      <c r="OUN2" s="24" t="n"/>
      <c r="OUO2" s="24" t="n"/>
      <c r="OUP2" s="24" t="n"/>
      <c r="OUQ2" s="24" t="n"/>
      <c r="OUR2" s="24" t="n"/>
      <c r="OUS2" s="24" t="n"/>
      <c r="OUT2" s="24" t="n"/>
      <c r="OUU2" s="24" t="n"/>
      <c r="OUV2" s="24" t="n"/>
      <c r="OUW2" s="24" t="n"/>
      <c r="OUX2" s="24" t="n"/>
      <c r="OUY2" s="24" t="n"/>
      <c r="OUZ2" s="24" t="n"/>
      <c r="OVA2" s="24" t="n"/>
      <c r="OVB2" s="24" t="n"/>
      <c r="OVC2" s="24" t="n"/>
      <c r="OVD2" s="24" t="n"/>
      <c r="OVE2" s="24" t="n"/>
      <c r="OVF2" s="24" t="n"/>
      <c r="OVG2" s="24" t="n"/>
      <c r="OVH2" s="24" t="n"/>
      <c r="OVI2" s="24" t="n"/>
      <c r="OVJ2" s="24" t="n"/>
      <c r="OVK2" s="24" t="n"/>
      <c r="OVL2" s="24" t="n"/>
      <c r="OVM2" s="24" t="n"/>
      <c r="OVN2" s="24" t="n"/>
      <c r="OVO2" s="24" t="n"/>
      <c r="OVP2" s="24" t="n"/>
      <c r="OVQ2" s="24" t="n"/>
      <c r="OVR2" s="24" t="n"/>
      <c r="OVS2" s="24" t="n"/>
      <c r="OVT2" s="24" t="n"/>
      <c r="OVU2" s="24" t="n"/>
      <c r="OVV2" s="24" t="n"/>
      <c r="OVW2" s="24" t="n"/>
      <c r="OVX2" s="24" t="n"/>
      <c r="OVY2" s="24" t="n"/>
      <c r="OVZ2" s="24" t="n"/>
      <c r="OWA2" s="24" t="n"/>
      <c r="OWB2" s="24" t="n"/>
      <c r="OWC2" s="24" t="n"/>
      <c r="OWD2" s="24" t="n"/>
      <c r="OWE2" s="24" t="n"/>
      <c r="OWF2" s="24" t="n"/>
      <c r="OWG2" s="24" t="n"/>
      <c r="OWH2" s="24" t="n"/>
      <c r="OWI2" s="24" t="n"/>
      <c r="OWJ2" s="24" t="n"/>
      <c r="OWK2" s="24" t="n"/>
      <c r="OWL2" s="24" t="n"/>
      <c r="OWM2" s="24" t="n"/>
      <c r="OWN2" s="24" t="n"/>
      <c r="OWO2" s="24" t="n"/>
      <c r="OWP2" s="24" t="n"/>
      <c r="OWQ2" s="24" t="n"/>
      <c r="OWR2" s="24" t="n"/>
      <c r="OWS2" s="24" t="n"/>
      <c r="OWT2" s="24" t="n"/>
      <c r="OWU2" s="24" t="n"/>
      <c r="OWV2" s="24" t="n"/>
      <c r="OWW2" s="24" t="n"/>
      <c r="OWX2" s="24" t="n"/>
      <c r="OWY2" s="24" t="n"/>
      <c r="OWZ2" s="24" t="n"/>
      <c r="OXA2" s="24" t="n"/>
      <c r="OXB2" s="24" t="n"/>
      <c r="OXC2" s="24" t="n"/>
      <c r="OXD2" s="24" t="n"/>
      <c r="OXE2" s="24" t="n"/>
      <c r="OXF2" s="24" t="n"/>
      <c r="OXG2" s="24" t="n"/>
      <c r="OXH2" s="24" t="n"/>
      <c r="OXI2" s="24" t="n"/>
      <c r="OXJ2" s="24" t="n"/>
      <c r="OXK2" s="24" t="n"/>
      <c r="OXL2" s="24" t="n"/>
      <c r="OXM2" s="24" t="n"/>
      <c r="OXN2" s="24" t="n"/>
      <c r="OXO2" s="24" t="n"/>
      <c r="OXP2" s="24" t="n"/>
      <c r="OXQ2" s="24" t="n"/>
      <c r="OXR2" s="24" t="n"/>
      <c r="OXS2" s="24" t="n"/>
      <c r="OXT2" s="24" t="n"/>
      <c r="OXU2" s="24" t="n"/>
      <c r="OXV2" s="24" t="n"/>
      <c r="OXW2" s="24" t="n"/>
      <c r="OXX2" s="24" t="n"/>
      <c r="OXY2" s="24" t="n"/>
      <c r="OXZ2" s="24" t="n"/>
      <c r="OYA2" s="24" t="n"/>
      <c r="OYB2" s="24" t="n"/>
      <c r="OYC2" s="24" t="n"/>
      <c r="OYD2" s="24" t="n"/>
      <c r="OYE2" s="24" t="n"/>
      <c r="OYF2" s="24" t="n"/>
      <c r="OYG2" s="24" t="n"/>
      <c r="OYH2" s="24" t="n"/>
      <c r="OYI2" s="24" t="n"/>
      <c r="OYJ2" s="24" t="n"/>
      <c r="OYK2" s="24" t="n"/>
      <c r="OYL2" s="24" t="n"/>
      <c r="OYM2" s="24" t="n"/>
      <c r="OYN2" s="24" t="n"/>
      <c r="OYO2" s="24" t="n"/>
      <c r="OYP2" s="24" t="n"/>
      <c r="OYQ2" s="24" t="n"/>
      <c r="OYR2" s="24" t="n"/>
      <c r="OYS2" s="24" t="n"/>
      <c r="OYT2" s="24" t="n"/>
      <c r="OYU2" s="24" t="n"/>
      <c r="OYV2" s="24" t="n"/>
      <c r="OYW2" s="24" t="n"/>
      <c r="OYX2" s="24" t="n"/>
      <c r="OYY2" s="24" t="n"/>
      <c r="OYZ2" s="24" t="n"/>
      <c r="OZA2" s="24" t="n"/>
      <c r="OZB2" s="24" t="n"/>
      <c r="OZC2" s="24" t="n"/>
      <c r="OZD2" s="24" t="n"/>
      <c r="OZE2" s="24" t="n"/>
      <c r="OZF2" s="24" t="n"/>
      <c r="OZG2" s="24" t="n"/>
      <c r="OZH2" s="24" t="n"/>
      <c r="OZI2" s="24" t="n"/>
      <c r="OZJ2" s="24" t="n"/>
      <c r="OZK2" s="24" t="n"/>
      <c r="OZL2" s="24" t="n"/>
      <c r="OZM2" s="24" t="n"/>
      <c r="OZN2" s="24" t="n"/>
      <c r="OZO2" s="24" t="n"/>
      <c r="OZP2" s="24" t="n"/>
      <c r="OZQ2" s="24" t="n"/>
      <c r="OZR2" s="24" t="n"/>
      <c r="OZS2" s="24" t="n"/>
      <c r="OZT2" s="24" t="n"/>
      <c r="OZU2" s="24" t="n"/>
      <c r="OZV2" s="24" t="n"/>
      <c r="OZW2" s="24" t="n"/>
      <c r="OZX2" s="24" t="n"/>
      <c r="OZY2" s="24" t="n"/>
      <c r="OZZ2" s="24" t="n"/>
      <c r="PAA2" s="24" t="n"/>
      <c r="PAB2" s="24" t="n"/>
      <c r="PAC2" s="24" t="n"/>
      <c r="PAD2" s="24" t="n"/>
      <c r="PAE2" s="24" t="n"/>
      <c r="PAF2" s="24" t="n"/>
      <c r="PAG2" s="24" t="n"/>
      <c r="PAH2" s="24" t="n"/>
      <c r="PAI2" s="24" t="n"/>
      <c r="PAJ2" s="24" t="n"/>
      <c r="PAK2" s="24" t="n"/>
      <c r="PAL2" s="24" t="n"/>
      <c r="PAM2" s="24" t="n"/>
      <c r="PAN2" s="24" t="n"/>
      <c r="PAO2" s="24" t="n"/>
      <c r="PAP2" s="24" t="n"/>
      <c r="PAQ2" s="24" t="n"/>
      <c r="PAR2" s="24" t="n"/>
      <c r="PAS2" s="24" t="n"/>
      <c r="PAT2" s="24" t="n"/>
      <c r="PAU2" s="24" t="n"/>
      <c r="PAV2" s="24" t="n"/>
      <c r="PAW2" s="24" t="n"/>
      <c r="PAX2" s="24" t="n"/>
      <c r="PAY2" s="24" t="n"/>
      <c r="PAZ2" s="24" t="n"/>
      <c r="PBA2" s="24" t="n"/>
      <c r="PBB2" s="24" t="n"/>
      <c r="PBC2" s="24" t="n"/>
      <c r="PBD2" s="24" t="n"/>
      <c r="PBE2" s="24" t="n"/>
      <c r="PBF2" s="24" t="n"/>
      <c r="PBG2" s="24" t="n"/>
      <c r="PBH2" s="24" t="n"/>
      <c r="PBI2" s="24" t="n"/>
      <c r="PBJ2" s="24" t="n"/>
      <c r="PBK2" s="24" t="n"/>
      <c r="PBL2" s="24" t="n"/>
      <c r="PBM2" s="24" t="n"/>
      <c r="PBN2" s="24" t="n"/>
      <c r="PBO2" s="24" t="n"/>
      <c r="PBP2" s="24" t="n"/>
      <c r="PBQ2" s="24" t="n"/>
      <c r="PBR2" s="24" t="n"/>
      <c r="PBS2" s="24" t="n"/>
      <c r="PBT2" s="24" t="n"/>
      <c r="PBU2" s="24" t="n"/>
      <c r="PBV2" s="24" t="n"/>
      <c r="PBW2" s="24" t="n"/>
      <c r="PBX2" s="24" t="n"/>
      <c r="PBY2" s="24" t="n"/>
      <c r="PBZ2" s="24" t="n"/>
      <c r="PCA2" s="24" t="n"/>
      <c r="PCB2" s="24" t="n"/>
      <c r="PCC2" s="24" t="n"/>
      <c r="PCD2" s="24" t="n"/>
      <c r="PCE2" s="24" t="n"/>
      <c r="PCF2" s="24" t="n"/>
      <c r="PCG2" s="24" t="n"/>
      <c r="PCH2" s="24" t="n"/>
      <c r="PCI2" s="24" t="n"/>
      <c r="PCJ2" s="24" t="n"/>
      <c r="PCK2" s="24" t="n"/>
      <c r="PCL2" s="24" t="n"/>
      <c r="PCM2" s="24" t="n"/>
      <c r="PCN2" s="24" t="n"/>
      <c r="PCO2" s="24" t="n"/>
      <c r="PCP2" s="24" t="n"/>
      <c r="PCQ2" s="24" t="n"/>
      <c r="PCR2" s="24" t="n"/>
      <c r="PCS2" s="24" t="n"/>
      <c r="PCT2" s="24" t="n"/>
      <c r="PCU2" s="24" t="n"/>
      <c r="PCV2" s="24" t="n"/>
      <c r="PCW2" s="24" t="n"/>
      <c r="PCX2" s="24" t="n"/>
      <c r="PCY2" s="24" t="n"/>
      <c r="PCZ2" s="24" t="n"/>
      <c r="PDA2" s="24" t="n"/>
      <c r="PDB2" s="24" t="n"/>
      <c r="PDC2" s="24" t="n"/>
      <c r="PDD2" s="24" t="n"/>
      <c r="PDE2" s="24" t="n"/>
      <c r="PDF2" s="24" t="n"/>
      <c r="PDG2" s="24" t="n"/>
      <c r="PDH2" s="24" t="n"/>
      <c r="PDI2" s="24" t="n"/>
      <c r="PDJ2" s="24" t="n"/>
      <c r="PDK2" s="24" t="n"/>
      <c r="PDL2" s="24" t="n"/>
      <c r="PDM2" s="24" t="n"/>
      <c r="PDN2" s="24" t="n"/>
      <c r="PDO2" s="24" t="n"/>
      <c r="PDP2" s="24" t="n"/>
      <c r="PDQ2" s="24" t="n"/>
      <c r="PDR2" s="24" t="n"/>
      <c r="PDS2" s="24" t="n"/>
      <c r="PDT2" s="24" t="n"/>
      <c r="PDU2" s="24" t="n"/>
      <c r="PDV2" s="24" t="n"/>
      <c r="PDW2" s="24" t="n"/>
      <c r="PDX2" s="24" t="n"/>
      <c r="PDY2" s="24" t="n"/>
      <c r="PDZ2" s="24" t="n"/>
      <c r="PEA2" s="24" t="n"/>
      <c r="PEB2" s="24" t="n"/>
      <c r="PEC2" s="24" t="n"/>
      <c r="PED2" s="24" t="n"/>
      <c r="PEE2" s="24" t="n"/>
      <c r="PEF2" s="24" t="n"/>
      <c r="PEG2" s="24" t="n"/>
      <c r="PEH2" s="24" t="n"/>
      <c r="PEI2" s="24" t="n"/>
      <c r="PEJ2" s="24" t="n"/>
      <c r="PEK2" s="24" t="n"/>
      <c r="PEL2" s="24" t="n"/>
      <c r="PEM2" s="24" t="n"/>
      <c r="PEN2" s="24" t="n"/>
      <c r="PEO2" s="24" t="n"/>
      <c r="PEP2" s="24" t="n"/>
      <c r="PEQ2" s="24" t="n"/>
      <c r="PER2" s="24" t="n"/>
      <c r="PES2" s="24" t="n"/>
      <c r="PET2" s="24" t="n"/>
      <c r="PEU2" s="24" t="n"/>
      <c r="PEV2" s="24" t="n"/>
      <c r="PEW2" s="24" t="n"/>
      <c r="PEX2" s="24" t="n"/>
      <c r="PEY2" s="24" t="n"/>
      <c r="PEZ2" s="24" t="n"/>
      <c r="PFA2" s="24" t="n"/>
      <c r="PFB2" s="24" t="n"/>
      <c r="PFC2" s="24" t="n"/>
      <c r="PFD2" s="24" t="n"/>
      <c r="PFE2" s="24" t="n"/>
      <c r="PFF2" s="24" t="n"/>
      <c r="PFG2" s="24" t="n"/>
      <c r="PFH2" s="24" t="n"/>
      <c r="PFI2" s="24" t="n"/>
      <c r="PFJ2" s="24" t="n"/>
      <c r="PFK2" s="24" t="n"/>
      <c r="PFL2" s="24" t="n"/>
      <c r="PFM2" s="24" t="n"/>
      <c r="PFN2" s="24" t="n"/>
      <c r="PFO2" s="24" t="n"/>
      <c r="PFP2" s="24" t="n"/>
      <c r="PFQ2" s="24" t="n"/>
      <c r="PFR2" s="24" t="n"/>
      <c r="PFS2" s="24" t="n"/>
      <c r="PFT2" s="24" t="n"/>
      <c r="PFU2" s="24" t="n"/>
      <c r="PFV2" s="24" t="n"/>
      <c r="PFW2" s="24" t="n"/>
      <c r="PFX2" s="24" t="n"/>
      <c r="PFY2" s="24" t="n"/>
      <c r="PFZ2" s="24" t="n"/>
      <c r="PGA2" s="24" t="n"/>
      <c r="PGB2" s="24" t="n"/>
      <c r="PGC2" s="24" t="n"/>
      <c r="PGD2" s="24" t="n"/>
      <c r="PGE2" s="24" t="n"/>
      <c r="PGF2" s="24" t="n"/>
      <c r="PGG2" s="24" t="n"/>
      <c r="PGH2" s="24" t="n"/>
      <c r="PGI2" s="24" t="n"/>
      <c r="PGJ2" s="24" t="n"/>
      <c r="PGK2" s="24" t="n"/>
      <c r="PGL2" s="24" t="n"/>
      <c r="PGM2" s="24" t="n"/>
      <c r="PGN2" s="24" t="n"/>
      <c r="PGO2" s="24" t="n"/>
      <c r="PGP2" s="24" t="n"/>
      <c r="PGQ2" s="24" t="n"/>
      <c r="PGR2" s="24" t="n"/>
      <c r="PGS2" s="24" t="n"/>
      <c r="PGT2" s="24" t="n"/>
      <c r="PGU2" s="24" t="n"/>
      <c r="PGV2" s="24" t="n"/>
      <c r="PGW2" s="24" t="n"/>
      <c r="PGX2" s="24" t="n"/>
      <c r="PGY2" s="24" t="n"/>
      <c r="PGZ2" s="24" t="n"/>
      <c r="PHA2" s="24" t="n"/>
      <c r="PHB2" s="24" t="n"/>
      <c r="PHC2" s="24" t="n"/>
      <c r="PHD2" s="24" t="n"/>
      <c r="PHE2" s="24" t="n"/>
      <c r="PHF2" s="24" t="n"/>
      <c r="PHG2" s="24" t="n"/>
      <c r="PHH2" s="24" t="n"/>
      <c r="PHI2" s="24" t="n"/>
      <c r="PHJ2" s="24" t="n"/>
      <c r="PHK2" s="24" t="n"/>
      <c r="PHL2" s="24" t="n"/>
      <c r="PHM2" s="24" t="n"/>
      <c r="PHN2" s="24" t="n"/>
      <c r="PHO2" s="24" t="n"/>
      <c r="PHP2" s="24" t="n"/>
      <c r="PHQ2" s="24" t="n"/>
      <c r="PHR2" s="24" t="n"/>
      <c r="PHS2" s="24" t="n"/>
      <c r="PHT2" s="24" t="n"/>
      <c r="PHU2" s="24" t="n"/>
      <c r="PHV2" s="24" t="n"/>
      <c r="PHW2" s="24" t="n"/>
      <c r="PHX2" s="24" t="n"/>
      <c r="PHY2" s="24" t="n"/>
      <c r="PHZ2" s="24" t="n"/>
      <c r="PIA2" s="24" t="n"/>
      <c r="PIB2" s="24" t="n"/>
      <c r="PIC2" s="24" t="n"/>
      <c r="PID2" s="24" t="n"/>
      <c r="PIE2" s="24" t="n"/>
      <c r="PIF2" s="24" t="n"/>
      <c r="PIG2" s="24" t="n"/>
      <c r="PIH2" s="24" t="n"/>
      <c r="PII2" s="24" t="n"/>
      <c r="PIJ2" s="24" t="n"/>
      <c r="PIK2" s="24" t="n"/>
      <c r="PIL2" s="24" t="n"/>
      <c r="PIM2" s="24" t="n"/>
      <c r="PIN2" s="24" t="n"/>
      <c r="PIO2" s="24" t="n"/>
      <c r="PIP2" s="24" t="n"/>
      <c r="PIQ2" s="24" t="n"/>
      <c r="PIR2" s="24" t="n"/>
      <c r="PIS2" s="24" t="n"/>
      <c r="PIT2" s="24" t="n"/>
      <c r="PIU2" s="24" t="n"/>
      <c r="PIV2" s="24" t="n"/>
      <c r="PIW2" s="24" t="n"/>
      <c r="PIX2" s="24" t="n"/>
      <c r="PIY2" s="24" t="n"/>
      <c r="PIZ2" s="24" t="n"/>
      <c r="PJA2" s="24" t="n"/>
      <c r="PJB2" s="24" t="n"/>
      <c r="PJC2" s="24" t="n"/>
      <c r="PJD2" s="24" t="n"/>
      <c r="PJE2" s="24" t="n"/>
      <c r="PJF2" s="24" t="n"/>
      <c r="PJG2" s="24" t="n"/>
      <c r="PJH2" s="24" t="n"/>
      <c r="PJI2" s="24" t="n"/>
      <c r="PJJ2" s="24" t="n"/>
      <c r="PJK2" s="24" t="n"/>
      <c r="PJL2" s="24" t="n"/>
      <c r="PJM2" s="24" t="n"/>
      <c r="PJN2" s="24" t="n"/>
      <c r="PJO2" s="24" t="n"/>
      <c r="PJP2" s="24" t="n"/>
      <c r="PJQ2" s="24" t="n"/>
      <c r="PJR2" s="24" t="n"/>
      <c r="PJS2" s="24" t="n"/>
      <c r="PJT2" s="24" t="n"/>
      <c r="PJU2" s="24" t="n"/>
      <c r="PJV2" s="24" t="n"/>
      <c r="PJW2" s="24" t="n"/>
      <c r="PJX2" s="24" t="n"/>
      <c r="PJY2" s="24" t="n"/>
      <c r="PJZ2" s="24" t="n"/>
      <c r="PKA2" s="24" t="n"/>
      <c r="PKB2" s="24" t="n"/>
      <c r="PKC2" s="24" t="n"/>
      <c r="PKD2" s="24" t="n"/>
      <c r="PKE2" s="24" t="n"/>
      <c r="PKF2" s="24" t="n"/>
      <c r="PKG2" s="24" t="n"/>
      <c r="PKH2" s="24" t="n"/>
      <c r="PKI2" s="24" t="n"/>
      <c r="PKJ2" s="24" t="n"/>
      <c r="PKK2" s="24" t="n"/>
      <c r="PKL2" s="24" t="n"/>
      <c r="PKM2" s="24" t="n"/>
      <c r="PKN2" s="24" t="n"/>
      <c r="PKO2" s="24" t="n"/>
      <c r="PKP2" s="24" t="n"/>
      <c r="PKQ2" s="24" t="n"/>
      <c r="PKR2" s="24" t="n"/>
      <c r="PKS2" s="24" t="n"/>
      <c r="PKT2" s="24" t="n"/>
      <c r="PKU2" s="24" t="n"/>
      <c r="PKV2" s="24" t="n"/>
      <c r="PKW2" s="24" t="n"/>
      <c r="PKX2" s="24" t="n"/>
      <c r="PKY2" s="24" t="n"/>
      <c r="PKZ2" s="24" t="n"/>
      <c r="PLA2" s="24" t="n"/>
      <c r="PLB2" s="24" t="n"/>
      <c r="PLC2" s="24" t="n"/>
      <c r="PLD2" s="24" t="n"/>
      <c r="PLE2" s="24" t="n"/>
      <c r="PLF2" s="24" t="n"/>
      <c r="PLG2" s="24" t="n"/>
      <c r="PLH2" s="24" t="n"/>
      <c r="PLI2" s="24" t="n"/>
      <c r="PLJ2" s="24" t="n"/>
      <c r="PLK2" s="24" t="n"/>
      <c r="PLL2" s="24" t="n"/>
      <c r="PLM2" s="24" t="n"/>
      <c r="PLN2" s="24" t="n"/>
      <c r="PLO2" s="24" t="n"/>
      <c r="PLP2" s="24" t="n"/>
      <c r="PLQ2" s="24" t="n"/>
      <c r="PLR2" s="24" t="n"/>
      <c r="PLS2" s="24" t="n"/>
      <c r="PLT2" s="24" t="n"/>
      <c r="PLU2" s="24" t="n"/>
      <c r="PLV2" s="24" t="n"/>
      <c r="PLW2" s="24" t="n"/>
      <c r="PLX2" s="24" t="n"/>
      <c r="PLY2" s="24" t="n"/>
      <c r="PLZ2" s="24" t="n"/>
      <c r="PMA2" s="24" t="n"/>
      <c r="PMB2" s="24" t="n"/>
      <c r="PMC2" s="24" t="n"/>
      <c r="PMD2" s="24" t="n"/>
      <c r="PME2" s="24" t="n"/>
      <c r="PMF2" s="24" t="n"/>
      <c r="PMG2" s="24" t="n"/>
      <c r="PMH2" s="24" t="n"/>
      <c r="PMI2" s="24" t="n"/>
      <c r="PMJ2" s="24" t="n"/>
      <c r="PMK2" s="24" t="n"/>
      <c r="PML2" s="24" t="n"/>
      <c r="PMM2" s="24" t="n"/>
      <c r="PMN2" s="24" t="n"/>
      <c r="PMO2" s="24" t="n"/>
      <c r="PMP2" s="24" t="n"/>
      <c r="PMQ2" s="24" t="n"/>
      <c r="PMR2" s="24" t="n"/>
      <c r="PMS2" s="24" t="n"/>
      <c r="PMT2" s="24" t="n"/>
      <c r="PMU2" s="24" t="n"/>
      <c r="PMV2" s="24" t="n"/>
      <c r="PMW2" s="24" t="n"/>
      <c r="PMX2" s="24" t="n"/>
      <c r="PMY2" s="24" t="n"/>
      <c r="PMZ2" s="24" t="n"/>
      <c r="PNA2" s="24" t="n"/>
      <c r="PNB2" s="24" t="n"/>
      <c r="PNC2" s="24" t="n"/>
      <c r="PND2" s="24" t="n"/>
      <c r="PNE2" s="24" t="n"/>
      <c r="PNF2" s="24" t="n"/>
      <c r="PNG2" s="24" t="n"/>
      <c r="PNH2" s="24" t="n"/>
      <c r="PNI2" s="24" t="n"/>
      <c r="PNJ2" s="24" t="n"/>
      <c r="PNK2" s="24" t="n"/>
      <c r="PNL2" s="24" t="n"/>
      <c r="PNM2" s="24" t="n"/>
      <c r="PNN2" s="24" t="n"/>
      <c r="PNO2" s="24" t="n"/>
      <c r="PNP2" s="24" t="n"/>
      <c r="PNQ2" s="24" t="n"/>
      <c r="PNR2" s="24" t="n"/>
      <c r="PNS2" s="24" t="n"/>
      <c r="PNT2" s="24" t="n"/>
      <c r="PNU2" s="24" t="n"/>
      <c r="PNV2" s="24" t="n"/>
      <c r="PNW2" s="24" t="n"/>
      <c r="PNX2" s="24" t="n"/>
      <c r="PNY2" s="24" t="n"/>
      <c r="PNZ2" s="24" t="n"/>
      <c r="POA2" s="24" t="n"/>
      <c r="POB2" s="24" t="n"/>
      <c r="POC2" s="24" t="n"/>
      <c r="POD2" s="24" t="n"/>
      <c r="POE2" s="24" t="n"/>
      <c r="POF2" s="24" t="n"/>
      <c r="POG2" s="24" t="n"/>
      <c r="POH2" s="24" t="n"/>
      <c r="POI2" s="24" t="n"/>
      <c r="POJ2" s="24" t="n"/>
      <c r="POK2" s="24" t="n"/>
      <c r="POL2" s="24" t="n"/>
      <c r="POM2" s="24" t="n"/>
      <c r="PON2" s="24" t="n"/>
      <c r="POO2" s="24" t="n"/>
      <c r="POP2" s="24" t="n"/>
      <c r="POQ2" s="24" t="n"/>
      <c r="POR2" s="24" t="n"/>
      <c r="POS2" s="24" t="n"/>
      <c r="POT2" s="24" t="n"/>
      <c r="POU2" s="24" t="n"/>
      <c r="POV2" s="24" t="n"/>
      <c r="POW2" s="24" t="n"/>
      <c r="POX2" s="24" t="n"/>
      <c r="POY2" s="24" t="n"/>
      <c r="POZ2" s="24" t="n"/>
      <c r="PPA2" s="24" t="n"/>
      <c r="PPB2" s="24" t="n"/>
      <c r="PPC2" s="24" t="n"/>
      <c r="PPD2" s="24" t="n"/>
      <c r="PPE2" s="24" t="n"/>
      <c r="PPF2" s="24" t="n"/>
      <c r="PPG2" s="24" t="n"/>
      <c r="PPH2" s="24" t="n"/>
      <c r="PPI2" s="24" t="n"/>
      <c r="PPJ2" s="24" t="n"/>
      <c r="PPK2" s="24" t="n"/>
      <c r="PPL2" s="24" t="n"/>
      <c r="PPM2" s="24" t="n"/>
      <c r="PPN2" s="24" t="n"/>
      <c r="PPO2" s="24" t="n"/>
      <c r="PPP2" s="24" t="n"/>
      <c r="PPQ2" s="24" t="n"/>
      <c r="PPR2" s="24" t="n"/>
      <c r="PPS2" s="24" t="n"/>
      <c r="PPT2" s="24" t="n"/>
      <c r="PPU2" s="24" t="n"/>
      <c r="PPV2" s="24" t="n"/>
      <c r="PPW2" s="24" t="n"/>
      <c r="PPX2" s="24" t="n"/>
      <c r="PPY2" s="24" t="n"/>
      <c r="PPZ2" s="24" t="n"/>
      <c r="PQA2" s="24" t="n"/>
      <c r="PQB2" s="24" t="n"/>
      <c r="PQC2" s="24" t="n"/>
      <c r="PQD2" s="24" t="n"/>
      <c r="PQE2" s="24" t="n"/>
      <c r="PQF2" s="24" t="n"/>
      <c r="PQG2" s="24" t="n"/>
      <c r="PQH2" s="24" t="n"/>
      <c r="PQI2" s="24" t="n"/>
      <c r="PQJ2" s="24" t="n"/>
      <c r="PQK2" s="24" t="n"/>
      <c r="PQL2" s="24" t="n"/>
      <c r="PQM2" s="24" t="n"/>
      <c r="PQN2" s="24" t="n"/>
      <c r="PQO2" s="24" t="n"/>
      <c r="PQP2" s="24" t="n"/>
      <c r="PQQ2" s="24" t="n"/>
      <c r="PQR2" s="24" t="n"/>
      <c r="PQS2" s="24" t="n"/>
      <c r="PQT2" s="24" t="n"/>
      <c r="PQU2" s="24" t="n"/>
      <c r="PQV2" s="24" t="n"/>
      <c r="PQW2" s="24" t="n"/>
      <c r="PQX2" s="24" t="n"/>
      <c r="PQY2" s="24" t="n"/>
      <c r="PQZ2" s="24" t="n"/>
      <c r="PRA2" s="24" t="n"/>
      <c r="PRB2" s="24" t="n"/>
      <c r="PRC2" s="24" t="n"/>
      <c r="PRD2" s="24" t="n"/>
      <c r="PRE2" s="24" t="n"/>
      <c r="PRF2" s="24" t="n"/>
      <c r="PRG2" s="24" t="n"/>
      <c r="PRH2" s="24" t="n"/>
      <c r="PRI2" s="24" t="n"/>
      <c r="PRJ2" s="24" t="n"/>
      <c r="PRK2" s="24" t="n"/>
      <c r="PRL2" s="24" t="n"/>
      <c r="PRM2" s="24" t="n"/>
      <c r="PRN2" s="24" t="n"/>
      <c r="PRO2" s="24" t="n"/>
      <c r="PRP2" s="24" t="n"/>
      <c r="PRQ2" s="24" t="n"/>
      <c r="PRR2" s="24" t="n"/>
      <c r="PRS2" s="24" t="n"/>
      <c r="PRT2" s="24" t="n"/>
      <c r="PRU2" s="24" t="n"/>
      <c r="PRV2" s="24" t="n"/>
      <c r="PRW2" s="24" t="n"/>
      <c r="PRX2" s="24" t="n"/>
      <c r="PRY2" s="24" t="n"/>
      <c r="PRZ2" s="24" t="n"/>
      <c r="PSA2" s="24" t="n"/>
      <c r="PSB2" s="24" t="n"/>
      <c r="PSC2" s="24" t="n"/>
      <c r="PSD2" s="24" t="n"/>
      <c r="PSE2" s="24" t="n"/>
      <c r="PSF2" s="24" t="n"/>
      <c r="PSG2" s="24" t="n"/>
      <c r="PSH2" s="24" t="n"/>
      <c r="PSI2" s="24" t="n"/>
      <c r="PSJ2" s="24" t="n"/>
      <c r="PSK2" s="24" t="n"/>
      <c r="PSL2" s="24" t="n"/>
      <c r="PSM2" s="24" t="n"/>
      <c r="PSN2" s="24" t="n"/>
      <c r="PSO2" s="24" t="n"/>
      <c r="PSP2" s="24" t="n"/>
      <c r="PSQ2" s="24" t="n"/>
      <c r="PSR2" s="24" t="n"/>
      <c r="PSS2" s="24" t="n"/>
      <c r="PST2" s="24" t="n"/>
      <c r="PSU2" s="24" t="n"/>
      <c r="PSV2" s="24" t="n"/>
      <c r="PSW2" s="24" t="n"/>
      <c r="PSX2" s="24" t="n"/>
      <c r="PSY2" s="24" t="n"/>
      <c r="PSZ2" s="24" t="n"/>
      <c r="PTA2" s="24" t="n"/>
      <c r="PTB2" s="24" t="n"/>
      <c r="PTC2" s="24" t="n"/>
      <c r="PTD2" s="24" t="n"/>
      <c r="PTE2" s="24" t="n"/>
      <c r="PTF2" s="24" t="n"/>
      <c r="PTG2" s="24" t="n"/>
      <c r="PTH2" s="24" t="n"/>
      <c r="PTI2" s="24" t="n"/>
      <c r="PTJ2" s="24" t="n"/>
      <c r="PTK2" s="24" t="n"/>
      <c r="PTL2" s="24" t="n"/>
      <c r="PTM2" s="24" t="n"/>
      <c r="PTN2" s="24" t="n"/>
      <c r="PTO2" s="24" t="n"/>
      <c r="PTP2" s="24" t="n"/>
      <c r="PTQ2" s="24" t="n"/>
      <c r="PTR2" s="24" t="n"/>
      <c r="PTS2" s="24" t="n"/>
      <c r="PTT2" s="24" t="n"/>
      <c r="PTU2" s="24" t="n"/>
      <c r="PTV2" s="24" t="n"/>
      <c r="PTW2" s="24" t="n"/>
      <c r="PTX2" s="24" t="n"/>
      <c r="PTY2" s="24" t="n"/>
      <c r="PTZ2" s="24" t="n"/>
      <c r="PUA2" s="24" t="n"/>
      <c r="PUB2" s="24" t="n"/>
      <c r="PUC2" s="24" t="n"/>
      <c r="PUD2" s="24" t="n"/>
      <c r="PUE2" s="24" t="n"/>
      <c r="PUF2" s="24" t="n"/>
      <c r="PUG2" s="24" t="n"/>
      <c r="PUH2" s="24" t="n"/>
      <c r="PUI2" s="24" t="n"/>
      <c r="PUJ2" s="24" t="n"/>
      <c r="PUK2" s="24" t="n"/>
      <c r="PUL2" s="24" t="n"/>
      <c r="PUM2" s="24" t="n"/>
      <c r="PUN2" s="24" t="n"/>
      <c r="PUO2" s="24" t="n"/>
      <c r="PUP2" s="24" t="n"/>
      <c r="PUQ2" s="24" t="n"/>
      <c r="PUR2" s="24" t="n"/>
      <c r="PUS2" s="24" t="n"/>
      <c r="PUT2" s="24" t="n"/>
      <c r="PUU2" s="24" t="n"/>
      <c r="PUV2" s="24" t="n"/>
      <c r="PUW2" s="24" t="n"/>
      <c r="PUX2" s="24" t="n"/>
      <c r="PUY2" s="24" t="n"/>
      <c r="PUZ2" s="24" t="n"/>
      <c r="PVA2" s="24" t="n"/>
      <c r="PVB2" s="24" t="n"/>
      <c r="PVC2" s="24" t="n"/>
      <c r="PVD2" s="24" t="n"/>
      <c r="PVE2" s="24" t="n"/>
      <c r="PVF2" s="24" t="n"/>
      <c r="PVG2" s="24" t="n"/>
      <c r="PVH2" s="24" t="n"/>
      <c r="PVI2" s="24" t="n"/>
      <c r="PVJ2" s="24" t="n"/>
      <c r="PVK2" s="24" t="n"/>
      <c r="PVL2" s="24" t="n"/>
      <c r="PVM2" s="24" t="n"/>
      <c r="PVN2" s="24" t="n"/>
      <c r="PVO2" s="24" t="n"/>
      <c r="PVP2" s="24" t="n"/>
      <c r="PVQ2" s="24" t="n"/>
      <c r="PVR2" s="24" t="n"/>
      <c r="PVS2" s="24" t="n"/>
      <c r="PVT2" s="24" t="n"/>
      <c r="PVU2" s="24" t="n"/>
      <c r="PVV2" s="24" t="n"/>
      <c r="PVW2" s="24" t="n"/>
      <c r="PVX2" s="24" t="n"/>
      <c r="PVY2" s="24" t="n"/>
      <c r="PVZ2" s="24" t="n"/>
      <c r="PWA2" s="24" t="n"/>
      <c r="PWB2" s="24" t="n"/>
      <c r="PWC2" s="24" t="n"/>
      <c r="PWD2" s="24" t="n"/>
      <c r="PWE2" s="24" t="n"/>
      <c r="PWF2" s="24" t="n"/>
      <c r="PWG2" s="24" t="n"/>
      <c r="PWH2" s="24" t="n"/>
      <c r="PWI2" s="24" t="n"/>
      <c r="PWJ2" s="24" t="n"/>
      <c r="PWK2" s="24" t="n"/>
      <c r="PWL2" s="24" t="n"/>
      <c r="PWM2" s="24" t="n"/>
      <c r="PWN2" s="24" t="n"/>
      <c r="PWO2" s="24" t="n"/>
      <c r="PWP2" s="24" t="n"/>
      <c r="PWQ2" s="24" t="n"/>
      <c r="PWR2" s="24" t="n"/>
      <c r="PWS2" s="24" t="n"/>
      <c r="PWT2" s="24" t="n"/>
      <c r="PWU2" s="24" t="n"/>
      <c r="PWV2" s="24" t="n"/>
      <c r="PWW2" s="24" t="n"/>
      <c r="PWX2" s="24" t="n"/>
      <c r="PWY2" s="24" t="n"/>
      <c r="PWZ2" s="24" t="n"/>
      <c r="PXA2" s="24" t="n"/>
      <c r="PXB2" s="24" t="n"/>
      <c r="PXC2" s="24" t="n"/>
      <c r="PXD2" s="24" t="n"/>
      <c r="PXE2" s="24" t="n"/>
      <c r="PXF2" s="24" t="n"/>
      <c r="PXG2" s="24" t="n"/>
      <c r="PXH2" s="24" t="n"/>
      <c r="PXI2" s="24" t="n"/>
      <c r="PXJ2" s="24" t="n"/>
      <c r="PXK2" s="24" t="n"/>
      <c r="PXL2" s="24" t="n"/>
      <c r="PXM2" s="24" t="n"/>
      <c r="PXN2" s="24" t="n"/>
      <c r="PXO2" s="24" t="n"/>
      <c r="PXP2" s="24" t="n"/>
      <c r="PXQ2" s="24" t="n"/>
      <c r="PXR2" s="24" t="n"/>
      <c r="PXS2" s="24" t="n"/>
      <c r="PXT2" s="24" t="n"/>
      <c r="PXU2" s="24" t="n"/>
      <c r="PXV2" s="24" t="n"/>
      <c r="PXW2" s="24" t="n"/>
      <c r="PXX2" s="24" t="n"/>
      <c r="PXY2" s="24" t="n"/>
      <c r="PXZ2" s="24" t="n"/>
      <c r="PYA2" s="24" t="n"/>
      <c r="PYB2" s="24" t="n"/>
      <c r="PYC2" s="24" t="n"/>
      <c r="PYD2" s="24" t="n"/>
      <c r="PYE2" s="24" t="n"/>
      <c r="PYF2" s="24" t="n"/>
      <c r="PYG2" s="24" t="n"/>
      <c r="PYH2" s="24" t="n"/>
      <c r="PYI2" s="24" t="n"/>
      <c r="PYJ2" s="24" t="n"/>
      <c r="PYK2" s="24" t="n"/>
      <c r="PYL2" s="24" t="n"/>
      <c r="PYM2" s="24" t="n"/>
      <c r="PYN2" s="24" t="n"/>
      <c r="PYO2" s="24" t="n"/>
      <c r="PYP2" s="24" t="n"/>
      <c r="PYQ2" s="24" t="n"/>
      <c r="PYR2" s="24" t="n"/>
      <c r="PYS2" s="24" t="n"/>
      <c r="PYT2" s="24" t="n"/>
      <c r="PYU2" s="24" t="n"/>
      <c r="PYV2" s="24" t="n"/>
      <c r="PYW2" s="24" t="n"/>
      <c r="PYX2" s="24" t="n"/>
      <c r="PYY2" s="24" t="n"/>
      <c r="PYZ2" s="24" t="n"/>
      <c r="PZA2" s="24" t="n"/>
      <c r="PZB2" s="24" t="n"/>
      <c r="PZC2" s="24" t="n"/>
      <c r="PZD2" s="24" t="n"/>
      <c r="PZE2" s="24" t="n"/>
      <c r="PZF2" s="24" t="n"/>
      <c r="PZG2" s="24" t="n"/>
      <c r="PZH2" s="24" t="n"/>
      <c r="PZI2" s="24" t="n"/>
      <c r="PZJ2" s="24" t="n"/>
      <c r="PZK2" s="24" t="n"/>
      <c r="PZL2" s="24" t="n"/>
      <c r="PZM2" s="24" t="n"/>
      <c r="PZN2" s="24" t="n"/>
      <c r="PZO2" s="24" t="n"/>
      <c r="PZP2" s="24" t="n"/>
      <c r="PZQ2" s="24" t="n"/>
      <c r="PZR2" s="24" t="n"/>
      <c r="PZS2" s="24" t="n"/>
      <c r="PZT2" s="24" t="n"/>
      <c r="PZU2" s="24" t="n"/>
      <c r="PZV2" s="24" t="n"/>
      <c r="PZW2" s="24" t="n"/>
      <c r="PZX2" s="24" t="n"/>
      <c r="PZY2" s="24" t="n"/>
      <c r="PZZ2" s="24" t="n"/>
      <c r="QAA2" s="24" t="n"/>
      <c r="QAB2" s="24" t="n"/>
      <c r="QAC2" s="24" t="n"/>
      <c r="QAD2" s="24" t="n"/>
      <c r="QAE2" s="24" t="n"/>
      <c r="QAF2" s="24" t="n"/>
      <c r="QAG2" s="24" t="n"/>
      <c r="QAH2" s="24" t="n"/>
      <c r="QAI2" s="24" t="n"/>
      <c r="QAJ2" s="24" t="n"/>
      <c r="QAK2" s="24" t="n"/>
      <c r="QAL2" s="24" t="n"/>
      <c r="QAM2" s="24" t="n"/>
      <c r="QAN2" s="24" t="n"/>
      <c r="QAO2" s="24" t="n"/>
      <c r="QAP2" s="24" t="n"/>
      <c r="QAQ2" s="24" t="n"/>
      <c r="QAR2" s="24" t="n"/>
      <c r="QAS2" s="24" t="n"/>
      <c r="QAT2" s="24" t="n"/>
      <c r="QAU2" s="24" t="n"/>
      <c r="QAV2" s="24" t="n"/>
      <c r="QAW2" s="24" t="n"/>
      <c r="QAX2" s="24" t="n"/>
      <c r="QAY2" s="24" t="n"/>
      <c r="QAZ2" s="24" t="n"/>
      <c r="QBA2" s="24" t="n"/>
      <c r="QBB2" s="24" t="n"/>
      <c r="QBC2" s="24" t="n"/>
      <c r="QBD2" s="24" t="n"/>
      <c r="QBE2" s="24" t="n"/>
      <c r="QBF2" s="24" t="n"/>
      <c r="QBG2" s="24" t="n"/>
      <c r="QBH2" s="24" t="n"/>
      <c r="QBI2" s="24" t="n"/>
      <c r="QBJ2" s="24" t="n"/>
      <c r="QBK2" s="24" t="n"/>
      <c r="QBL2" s="24" t="n"/>
      <c r="QBM2" s="24" t="n"/>
      <c r="QBN2" s="24" t="n"/>
      <c r="QBO2" s="24" t="n"/>
      <c r="QBP2" s="24" t="n"/>
      <c r="QBQ2" s="24" t="n"/>
      <c r="QBR2" s="24" t="n"/>
      <c r="QBS2" s="24" t="n"/>
      <c r="QBT2" s="24" t="n"/>
      <c r="QBU2" s="24" t="n"/>
      <c r="QBV2" s="24" t="n"/>
      <c r="QBW2" s="24" t="n"/>
      <c r="QBX2" s="24" t="n"/>
      <c r="QBY2" s="24" t="n"/>
      <c r="QBZ2" s="24" t="n"/>
      <c r="QCA2" s="24" t="n"/>
      <c r="QCB2" s="24" t="n"/>
      <c r="QCC2" s="24" t="n"/>
      <c r="QCD2" s="24" t="n"/>
      <c r="QCE2" s="24" t="n"/>
      <c r="QCF2" s="24" t="n"/>
      <c r="QCG2" s="24" t="n"/>
      <c r="QCH2" s="24" t="n"/>
      <c r="QCI2" s="24" t="n"/>
      <c r="QCJ2" s="24" t="n"/>
      <c r="QCK2" s="24" t="n"/>
      <c r="QCL2" s="24" t="n"/>
      <c r="QCM2" s="24" t="n"/>
      <c r="QCN2" s="24" t="n"/>
      <c r="QCO2" s="24" t="n"/>
      <c r="QCP2" s="24" t="n"/>
      <c r="QCQ2" s="24" t="n"/>
      <c r="QCR2" s="24" t="n"/>
      <c r="QCS2" s="24" t="n"/>
      <c r="QCT2" s="24" t="n"/>
      <c r="QCU2" s="24" t="n"/>
      <c r="QCV2" s="24" t="n"/>
      <c r="QCW2" s="24" t="n"/>
      <c r="QCX2" s="24" t="n"/>
      <c r="QCY2" s="24" t="n"/>
      <c r="QCZ2" s="24" t="n"/>
      <c r="QDA2" s="24" t="n"/>
      <c r="QDB2" s="24" t="n"/>
      <c r="QDC2" s="24" t="n"/>
      <c r="QDD2" s="24" t="n"/>
      <c r="QDE2" s="24" t="n"/>
      <c r="QDF2" s="24" t="n"/>
      <c r="QDG2" s="24" t="n"/>
      <c r="QDH2" s="24" t="n"/>
      <c r="QDI2" s="24" t="n"/>
      <c r="QDJ2" s="24" t="n"/>
      <c r="QDK2" s="24" t="n"/>
      <c r="QDL2" s="24" t="n"/>
      <c r="QDM2" s="24" t="n"/>
      <c r="QDN2" s="24" t="n"/>
      <c r="QDO2" s="24" t="n"/>
      <c r="QDP2" s="24" t="n"/>
      <c r="QDQ2" s="24" t="n"/>
      <c r="QDR2" s="24" t="n"/>
      <c r="QDS2" s="24" t="n"/>
      <c r="QDT2" s="24" t="n"/>
      <c r="QDU2" s="24" t="n"/>
      <c r="QDV2" s="24" t="n"/>
      <c r="QDW2" s="24" t="n"/>
      <c r="QDX2" s="24" t="n"/>
      <c r="QDY2" s="24" t="n"/>
      <c r="QDZ2" s="24" t="n"/>
      <c r="QEA2" s="24" t="n"/>
      <c r="QEB2" s="24" t="n"/>
      <c r="QEC2" s="24" t="n"/>
      <c r="QED2" s="24" t="n"/>
      <c r="QEE2" s="24" t="n"/>
      <c r="QEF2" s="24" t="n"/>
      <c r="QEG2" s="24" t="n"/>
      <c r="QEH2" s="24" t="n"/>
      <c r="QEI2" s="24" t="n"/>
      <c r="QEJ2" s="24" t="n"/>
      <c r="QEK2" s="24" t="n"/>
      <c r="QEL2" s="24" t="n"/>
      <c r="QEM2" s="24" t="n"/>
      <c r="QEN2" s="24" t="n"/>
      <c r="QEO2" s="24" t="n"/>
      <c r="QEP2" s="24" t="n"/>
      <c r="QEQ2" s="24" t="n"/>
      <c r="QER2" s="24" t="n"/>
      <c r="QES2" s="24" t="n"/>
      <c r="QET2" s="24" t="n"/>
      <c r="QEU2" s="24" t="n"/>
      <c r="QEV2" s="24" t="n"/>
      <c r="QEW2" s="24" t="n"/>
      <c r="QEX2" s="24" t="n"/>
      <c r="QEY2" s="24" t="n"/>
      <c r="QEZ2" s="24" t="n"/>
      <c r="QFA2" s="24" t="n"/>
      <c r="QFB2" s="24" t="n"/>
      <c r="QFC2" s="24" t="n"/>
      <c r="QFD2" s="24" t="n"/>
      <c r="QFE2" s="24" t="n"/>
      <c r="QFF2" s="24" t="n"/>
      <c r="QFG2" s="24" t="n"/>
      <c r="QFH2" s="24" t="n"/>
      <c r="QFI2" s="24" t="n"/>
      <c r="QFJ2" s="24" t="n"/>
      <c r="QFK2" s="24" t="n"/>
      <c r="QFL2" s="24" t="n"/>
      <c r="QFM2" s="24" t="n"/>
      <c r="QFN2" s="24" t="n"/>
      <c r="QFO2" s="24" t="n"/>
      <c r="QFP2" s="24" t="n"/>
      <c r="QFQ2" s="24" t="n"/>
      <c r="QFR2" s="24" t="n"/>
      <c r="QFS2" s="24" t="n"/>
      <c r="QFT2" s="24" t="n"/>
      <c r="QFU2" s="24" t="n"/>
      <c r="QFV2" s="24" t="n"/>
      <c r="QFW2" s="24" t="n"/>
      <c r="QFX2" s="24" t="n"/>
      <c r="QFY2" s="24" t="n"/>
      <c r="QFZ2" s="24" t="n"/>
      <c r="QGA2" s="24" t="n"/>
      <c r="QGB2" s="24" t="n"/>
      <c r="QGC2" s="24" t="n"/>
      <c r="QGD2" s="24" t="n"/>
      <c r="QGE2" s="24" t="n"/>
      <c r="QGF2" s="24" t="n"/>
      <c r="QGG2" s="24" t="n"/>
      <c r="QGH2" s="24" t="n"/>
      <c r="QGI2" s="24" t="n"/>
      <c r="QGJ2" s="24" t="n"/>
      <c r="QGK2" s="24" t="n"/>
      <c r="QGL2" s="24" t="n"/>
      <c r="QGM2" s="24" t="n"/>
      <c r="QGN2" s="24" t="n"/>
      <c r="QGO2" s="24" t="n"/>
      <c r="QGP2" s="24" t="n"/>
      <c r="QGQ2" s="24" t="n"/>
      <c r="QGR2" s="24" t="n"/>
      <c r="QGS2" s="24" t="n"/>
      <c r="QGT2" s="24" t="n"/>
      <c r="QGU2" s="24" t="n"/>
      <c r="QGV2" s="24" t="n"/>
      <c r="QGW2" s="24" t="n"/>
      <c r="QGX2" s="24" t="n"/>
      <c r="QGY2" s="24" t="n"/>
      <c r="QGZ2" s="24" t="n"/>
      <c r="QHA2" s="24" t="n"/>
      <c r="QHB2" s="24" t="n"/>
      <c r="QHC2" s="24" t="n"/>
      <c r="QHD2" s="24" t="n"/>
      <c r="QHE2" s="24" t="n"/>
      <c r="QHF2" s="24" t="n"/>
      <c r="QHG2" s="24" t="n"/>
      <c r="QHH2" s="24" t="n"/>
      <c r="QHI2" s="24" t="n"/>
      <c r="QHJ2" s="24" t="n"/>
      <c r="QHK2" s="24" t="n"/>
      <c r="QHL2" s="24" t="n"/>
      <c r="QHM2" s="24" t="n"/>
      <c r="QHN2" s="24" t="n"/>
      <c r="QHO2" s="24" t="n"/>
      <c r="QHP2" s="24" t="n"/>
      <c r="QHQ2" s="24" t="n"/>
      <c r="QHR2" s="24" t="n"/>
      <c r="QHS2" s="24" t="n"/>
      <c r="QHT2" s="24" t="n"/>
      <c r="QHU2" s="24" t="n"/>
      <c r="QHV2" s="24" t="n"/>
      <c r="QHW2" s="24" t="n"/>
      <c r="QHX2" s="24" t="n"/>
      <c r="QHY2" s="24" t="n"/>
      <c r="QHZ2" s="24" t="n"/>
      <c r="QIA2" s="24" t="n"/>
      <c r="QIB2" s="24" t="n"/>
      <c r="QIC2" s="24" t="n"/>
      <c r="QID2" s="24" t="n"/>
      <c r="QIE2" s="24" t="n"/>
      <c r="QIF2" s="24" t="n"/>
      <c r="QIG2" s="24" t="n"/>
      <c r="QIH2" s="24" t="n"/>
      <c r="QII2" s="24" t="n"/>
      <c r="QIJ2" s="24" t="n"/>
      <c r="QIK2" s="24" t="n"/>
      <c r="QIL2" s="24" t="n"/>
      <c r="QIM2" s="24" t="n"/>
      <c r="QIN2" s="24" t="n"/>
      <c r="QIO2" s="24" t="n"/>
      <c r="QIP2" s="24" t="n"/>
      <c r="QIQ2" s="24" t="n"/>
      <c r="QIR2" s="24" t="n"/>
      <c r="QIS2" s="24" t="n"/>
      <c r="QIT2" s="24" t="n"/>
      <c r="QIU2" s="24" t="n"/>
      <c r="QIV2" s="24" t="n"/>
      <c r="QIW2" s="24" t="n"/>
      <c r="QIX2" s="24" t="n"/>
      <c r="QIY2" s="24" t="n"/>
      <c r="QIZ2" s="24" t="n"/>
      <c r="QJA2" s="24" t="n"/>
      <c r="QJB2" s="24" t="n"/>
      <c r="QJC2" s="24" t="n"/>
      <c r="QJD2" s="24" t="n"/>
      <c r="QJE2" s="24" t="n"/>
      <c r="QJF2" s="24" t="n"/>
      <c r="QJG2" s="24" t="n"/>
      <c r="QJH2" s="24" t="n"/>
      <c r="QJI2" s="24" t="n"/>
      <c r="QJJ2" s="24" t="n"/>
      <c r="QJK2" s="24" t="n"/>
      <c r="QJL2" s="24" t="n"/>
      <c r="QJM2" s="24" t="n"/>
      <c r="QJN2" s="24" t="n"/>
      <c r="QJO2" s="24" t="n"/>
      <c r="QJP2" s="24" t="n"/>
      <c r="QJQ2" s="24" t="n"/>
      <c r="QJR2" s="24" t="n"/>
      <c r="QJS2" s="24" t="n"/>
      <c r="QJT2" s="24" t="n"/>
      <c r="QJU2" s="24" t="n"/>
      <c r="QJV2" s="24" t="n"/>
      <c r="QJW2" s="24" t="n"/>
      <c r="QJX2" s="24" t="n"/>
      <c r="QJY2" s="24" t="n"/>
      <c r="QJZ2" s="24" t="n"/>
      <c r="QKA2" s="24" t="n"/>
      <c r="QKB2" s="24" t="n"/>
      <c r="QKC2" s="24" t="n"/>
      <c r="QKD2" s="24" t="n"/>
      <c r="QKE2" s="24" t="n"/>
      <c r="QKF2" s="24" t="n"/>
      <c r="QKG2" s="24" t="n"/>
      <c r="QKH2" s="24" t="n"/>
      <c r="QKI2" s="24" t="n"/>
      <c r="QKJ2" s="24" t="n"/>
      <c r="QKK2" s="24" t="n"/>
      <c r="QKL2" s="24" t="n"/>
      <c r="QKM2" s="24" t="n"/>
      <c r="QKN2" s="24" t="n"/>
      <c r="QKO2" s="24" t="n"/>
      <c r="QKP2" s="24" t="n"/>
      <c r="QKQ2" s="24" t="n"/>
      <c r="QKR2" s="24" t="n"/>
      <c r="QKS2" s="24" t="n"/>
      <c r="QKT2" s="24" t="n"/>
      <c r="QKU2" s="24" t="n"/>
      <c r="QKV2" s="24" t="n"/>
      <c r="QKW2" s="24" t="n"/>
      <c r="QKX2" s="24" t="n"/>
      <c r="QKY2" s="24" t="n"/>
      <c r="QKZ2" s="24" t="n"/>
      <c r="QLA2" s="24" t="n"/>
      <c r="QLB2" s="24" t="n"/>
      <c r="QLC2" s="24" t="n"/>
      <c r="QLD2" s="24" t="n"/>
      <c r="QLE2" s="24" t="n"/>
      <c r="QLF2" s="24" t="n"/>
      <c r="QLG2" s="24" t="n"/>
      <c r="QLH2" s="24" t="n"/>
      <c r="QLI2" s="24" t="n"/>
      <c r="QLJ2" s="24" t="n"/>
      <c r="QLK2" s="24" t="n"/>
      <c r="QLL2" s="24" t="n"/>
      <c r="QLM2" s="24" t="n"/>
      <c r="QLN2" s="24" t="n"/>
      <c r="QLO2" s="24" t="n"/>
      <c r="QLP2" s="24" t="n"/>
      <c r="QLQ2" s="24" t="n"/>
      <c r="QLR2" s="24" t="n"/>
      <c r="QLS2" s="24" t="n"/>
      <c r="QLT2" s="24" t="n"/>
      <c r="QLU2" s="24" t="n"/>
      <c r="QLV2" s="24" t="n"/>
      <c r="QLW2" s="24" t="n"/>
      <c r="QLX2" s="24" t="n"/>
      <c r="QLY2" s="24" t="n"/>
      <c r="QLZ2" s="24" t="n"/>
      <c r="QMA2" s="24" t="n"/>
      <c r="QMB2" s="24" t="n"/>
      <c r="QMC2" s="24" t="n"/>
      <c r="QMD2" s="24" t="n"/>
      <c r="QME2" s="24" t="n"/>
      <c r="QMF2" s="24" t="n"/>
      <c r="QMG2" s="24" t="n"/>
      <c r="QMH2" s="24" t="n"/>
      <c r="QMI2" s="24" t="n"/>
      <c r="QMJ2" s="24" t="n"/>
      <c r="QMK2" s="24" t="n"/>
      <c r="QML2" s="24" t="n"/>
      <c r="QMM2" s="24" t="n"/>
      <c r="QMN2" s="24" t="n"/>
      <c r="QMO2" s="24" t="n"/>
      <c r="QMP2" s="24" t="n"/>
      <c r="QMQ2" s="24" t="n"/>
      <c r="QMR2" s="24" t="n"/>
      <c r="QMS2" s="24" t="n"/>
      <c r="QMT2" s="24" t="n"/>
      <c r="QMU2" s="24" t="n"/>
      <c r="QMV2" s="24" t="n"/>
      <c r="QMW2" s="24" t="n"/>
      <c r="QMX2" s="24" t="n"/>
      <c r="QMY2" s="24" t="n"/>
      <c r="QMZ2" s="24" t="n"/>
      <c r="QNA2" s="24" t="n"/>
      <c r="QNB2" s="24" t="n"/>
      <c r="QNC2" s="24" t="n"/>
      <c r="QND2" s="24" t="n"/>
      <c r="QNE2" s="24" t="n"/>
      <c r="QNF2" s="24" t="n"/>
      <c r="QNG2" s="24" t="n"/>
      <c r="QNH2" s="24" t="n"/>
      <c r="QNI2" s="24" t="n"/>
      <c r="QNJ2" s="24" t="n"/>
      <c r="QNK2" s="24" t="n"/>
      <c r="QNL2" s="24" t="n"/>
      <c r="QNM2" s="24" t="n"/>
      <c r="QNN2" s="24" t="n"/>
      <c r="QNO2" s="24" t="n"/>
      <c r="QNP2" s="24" t="n"/>
      <c r="QNQ2" s="24" t="n"/>
      <c r="QNR2" s="24" t="n"/>
      <c r="QNS2" s="24" t="n"/>
      <c r="QNT2" s="24" t="n"/>
      <c r="QNU2" s="24" t="n"/>
      <c r="QNV2" s="24" t="n"/>
      <c r="QNW2" s="24" t="n"/>
      <c r="QNX2" s="24" t="n"/>
      <c r="QNY2" s="24" t="n"/>
      <c r="QNZ2" s="24" t="n"/>
      <c r="QOA2" s="24" t="n"/>
      <c r="QOB2" s="24" t="n"/>
      <c r="QOC2" s="24" t="n"/>
      <c r="QOD2" s="24" t="n"/>
      <c r="QOE2" s="24" t="n"/>
      <c r="QOF2" s="24" t="n"/>
      <c r="QOG2" s="24" t="n"/>
      <c r="QOH2" s="24" t="n"/>
      <c r="QOI2" s="24" t="n"/>
      <c r="QOJ2" s="24" t="n"/>
      <c r="QOK2" s="24" t="n"/>
      <c r="QOL2" s="24" t="n"/>
      <c r="QOM2" s="24" t="n"/>
      <c r="QON2" s="24" t="n"/>
      <c r="QOO2" s="24" t="n"/>
      <c r="QOP2" s="24" t="n"/>
      <c r="QOQ2" s="24" t="n"/>
      <c r="QOR2" s="24" t="n"/>
      <c r="QOS2" s="24" t="n"/>
      <c r="QOT2" s="24" t="n"/>
      <c r="QOU2" s="24" t="n"/>
      <c r="QOV2" s="24" t="n"/>
      <c r="QOW2" s="24" t="n"/>
      <c r="QOX2" s="24" t="n"/>
      <c r="QOY2" s="24" t="n"/>
      <c r="QOZ2" s="24" t="n"/>
      <c r="QPA2" s="24" t="n"/>
      <c r="QPB2" s="24" t="n"/>
      <c r="QPC2" s="24" t="n"/>
      <c r="QPD2" s="24" t="n"/>
      <c r="QPE2" s="24" t="n"/>
      <c r="QPF2" s="24" t="n"/>
      <c r="QPG2" s="24" t="n"/>
      <c r="QPH2" s="24" t="n"/>
      <c r="QPI2" s="24" t="n"/>
      <c r="QPJ2" s="24" t="n"/>
      <c r="QPK2" s="24" t="n"/>
      <c r="QPL2" s="24" t="n"/>
      <c r="QPM2" s="24" t="n"/>
      <c r="QPN2" s="24" t="n"/>
      <c r="QPO2" s="24" t="n"/>
      <c r="QPP2" s="24" t="n"/>
      <c r="QPQ2" s="24" t="n"/>
      <c r="QPR2" s="24" t="n"/>
      <c r="QPS2" s="24" t="n"/>
      <c r="QPT2" s="24" t="n"/>
      <c r="QPU2" s="24" t="n"/>
      <c r="QPV2" s="24" t="n"/>
      <c r="QPW2" s="24" t="n"/>
      <c r="QPX2" s="24" t="n"/>
      <c r="QPY2" s="24" t="n"/>
      <c r="QPZ2" s="24" t="n"/>
      <c r="QQA2" s="24" t="n"/>
      <c r="QQB2" s="24" t="n"/>
      <c r="QQC2" s="24" t="n"/>
      <c r="QQD2" s="24" t="n"/>
      <c r="QQE2" s="24" t="n"/>
      <c r="QQF2" s="24" t="n"/>
      <c r="QQG2" s="24" t="n"/>
      <c r="QQH2" s="24" t="n"/>
      <c r="QQI2" s="24" t="n"/>
      <c r="QQJ2" s="24" t="n"/>
      <c r="QQK2" s="24" t="n"/>
      <c r="QQL2" s="24" t="n"/>
      <c r="QQM2" s="24" t="n"/>
      <c r="QQN2" s="24" t="n"/>
      <c r="QQO2" s="24" t="n"/>
      <c r="QQP2" s="24" t="n"/>
      <c r="QQQ2" s="24" t="n"/>
      <c r="QQR2" s="24" t="n"/>
      <c r="QQS2" s="24" t="n"/>
      <c r="QQT2" s="24" t="n"/>
      <c r="QQU2" s="24" t="n"/>
      <c r="QQV2" s="24" t="n"/>
      <c r="QQW2" s="24" t="n"/>
      <c r="QQX2" s="24" t="n"/>
      <c r="QQY2" s="24" t="n"/>
      <c r="QQZ2" s="24" t="n"/>
      <c r="QRA2" s="24" t="n"/>
      <c r="QRB2" s="24" t="n"/>
      <c r="QRC2" s="24" t="n"/>
      <c r="QRD2" s="24" t="n"/>
      <c r="QRE2" s="24" t="n"/>
      <c r="QRF2" s="24" t="n"/>
      <c r="QRG2" s="24" t="n"/>
      <c r="QRH2" s="24" t="n"/>
      <c r="QRI2" s="24" t="n"/>
      <c r="QRJ2" s="24" t="n"/>
      <c r="QRK2" s="24" t="n"/>
      <c r="QRL2" s="24" t="n"/>
      <c r="QRM2" s="24" t="n"/>
      <c r="QRN2" s="24" t="n"/>
      <c r="QRO2" s="24" t="n"/>
      <c r="QRP2" s="24" t="n"/>
      <c r="QRQ2" s="24" t="n"/>
      <c r="QRR2" s="24" t="n"/>
      <c r="QRS2" s="24" t="n"/>
      <c r="QRT2" s="24" t="n"/>
      <c r="QRU2" s="24" t="n"/>
      <c r="QRV2" s="24" t="n"/>
      <c r="QRW2" s="24" t="n"/>
      <c r="QRX2" s="24" t="n"/>
      <c r="QRY2" s="24" t="n"/>
      <c r="QRZ2" s="24" t="n"/>
      <c r="QSA2" s="24" t="n"/>
      <c r="QSB2" s="24" t="n"/>
      <c r="QSC2" s="24" t="n"/>
      <c r="QSD2" s="24" t="n"/>
      <c r="QSE2" s="24" t="n"/>
      <c r="QSF2" s="24" t="n"/>
      <c r="QSG2" s="24" t="n"/>
      <c r="QSH2" s="24" t="n"/>
      <c r="QSI2" s="24" t="n"/>
      <c r="QSJ2" s="24" t="n"/>
      <c r="QSK2" s="24" t="n"/>
      <c r="QSL2" s="24" t="n"/>
      <c r="QSM2" s="24" t="n"/>
      <c r="QSN2" s="24" t="n"/>
      <c r="QSO2" s="24" t="n"/>
      <c r="QSP2" s="24" t="n"/>
      <c r="QSQ2" s="24" t="n"/>
      <c r="QSR2" s="24" t="n"/>
      <c r="QSS2" s="24" t="n"/>
      <c r="QST2" s="24" t="n"/>
      <c r="QSU2" s="24" t="n"/>
      <c r="QSV2" s="24" t="n"/>
      <c r="QSW2" s="24" t="n"/>
      <c r="QSX2" s="24" t="n"/>
      <c r="QSY2" s="24" t="n"/>
      <c r="QSZ2" s="24" t="n"/>
      <c r="QTA2" s="24" t="n"/>
      <c r="QTB2" s="24" t="n"/>
      <c r="QTC2" s="24" t="n"/>
      <c r="QTD2" s="24" t="n"/>
      <c r="QTE2" s="24" t="n"/>
      <c r="QTF2" s="24" t="n"/>
      <c r="QTG2" s="24" t="n"/>
      <c r="QTH2" s="24" t="n"/>
      <c r="QTI2" s="24" t="n"/>
      <c r="QTJ2" s="24" t="n"/>
      <c r="QTK2" s="24" t="n"/>
      <c r="QTL2" s="24" t="n"/>
      <c r="QTM2" s="24" t="n"/>
      <c r="QTN2" s="24" t="n"/>
      <c r="QTO2" s="24" t="n"/>
      <c r="QTP2" s="24" t="n"/>
      <c r="QTQ2" s="24" t="n"/>
      <c r="QTR2" s="24" t="n"/>
      <c r="QTS2" s="24" t="n"/>
      <c r="QTT2" s="24" t="n"/>
      <c r="QTU2" s="24" t="n"/>
      <c r="QTV2" s="24" t="n"/>
      <c r="QTW2" s="24" t="n"/>
      <c r="QTX2" s="24" t="n"/>
      <c r="QTY2" s="24" t="n"/>
      <c r="QTZ2" s="24" t="n"/>
      <c r="QUA2" s="24" t="n"/>
      <c r="QUB2" s="24" t="n"/>
      <c r="QUC2" s="24" t="n"/>
      <c r="QUD2" s="24" t="n"/>
      <c r="QUE2" s="24" t="n"/>
      <c r="QUF2" s="24" t="n"/>
      <c r="QUG2" s="24" t="n"/>
      <c r="QUH2" s="24" t="n"/>
      <c r="QUI2" s="24" t="n"/>
      <c r="QUJ2" s="24" t="n"/>
      <c r="QUK2" s="24" t="n"/>
      <c r="QUL2" s="24" t="n"/>
      <c r="QUM2" s="24" t="n"/>
      <c r="QUN2" s="24" t="n"/>
      <c r="QUO2" s="24" t="n"/>
      <c r="QUP2" s="24" t="n"/>
      <c r="QUQ2" s="24" t="n"/>
      <c r="QUR2" s="24" t="n"/>
      <c r="QUS2" s="24" t="n"/>
      <c r="QUT2" s="24" t="n"/>
      <c r="QUU2" s="24" t="n"/>
      <c r="QUV2" s="24" t="n"/>
      <c r="QUW2" s="24" t="n"/>
      <c r="QUX2" s="24" t="n"/>
      <c r="QUY2" s="24" t="n"/>
      <c r="QUZ2" s="24" t="n"/>
      <c r="QVA2" s="24" t="n"/>
      <c r="QVB2" s="24" t="n"/>
      <c r="QVC2" s="24" t="n"/>
      <c r="QVD2" s="24" t="n"/>
      <c r="QVE2" s="24" t="n"/>
      <c r="QVF2" s="24" t="n"/>
      <c r="QVG2" s="24" t="n"/>
      <c r="QVH2" s="24" t="n"/>
      <c r="QVI2" s="24" t="n"/>
      <c r="QVJ2" s="24" t="n"/>
      <c r="QVK2" s="24" t="n"/>
      <c r="QVL2" s="24" t="n"/>
      <c r="QVM2" s="24" t="n"/>
      <c r="QVN2" s="24" t="n"/>
      <c r="QVO2" s="24" t="n"/>
      <c r="QVP2" s="24" t="n"/>
      <c r="QVQ2" s="24" t="n"/>
      <c r="QVR2" s="24" t="n"/>
      <c r="QVS2" s="24" t="n"/>
      <c r="QVT2" s="24" t="n"/>
      <c r="QVU2" s="24" t="n"/>
      <c r="QVV2" s="24" t="n"/>
      <c r="QVW2" s="24" t="n"/>
      <c r="QVX2" s="24" t="n"/>
      <c r="QVY2" s="24" t="n"/>
      <c r="QVZ2" s="24" t="n"/>
      <c r="QWA2" s="24" t="n"/>
      <c r="QWB2" s="24" t="n"/>
      <c r="QWC2" s="24" t="n"/>
      <c r="QWD2" s="24" t="n"/>
      <c r="QWE2" s="24" t="n"/>
      <c r="QWF2" s="24" t="n"/>
      <c r="QWG2" s="24" t="n"/>
      <c r="QWH2" s="24" t="n"/>
      <c r="QWI2" s="24" t="n"/>
      <c r="QWJ2" s="24" t="n"/>
      <c r="QWK2" s="24" t="n"/>
      <c r="QWL2" s="24" t="n"/>
      <c r="QWM2" s="24" t="n"/>
      <c r="QWN2" s="24" t="n"/>
      <c r="QWO2" s="24" t="n"/>
      <c r="QWP2" s="24" t="n"/>
      <c r="QWQ2" s="24" t="n"/>
      <c r="QWR2" s="24" t="n"/>
      <c r="QWS2" s="24" t="n"/>
      <c r="QWT2" s="24" t="n"/>
      <c r="QWU2" s="24" t="n"/>
      <c r="QWV2" s="24" t="n"/>
      <c r="QWW2" s="24" t="n"/>
      <c r="QWX2" s="24" t="n"/>
      <c r="QWY2" s="24" t="n"/>
      <c r="QWZ2" s="24" t="n"/>
      <c r="QXA2" s="24" t="n"/>
      <c r="QXB2" s="24" t="n"/>
      <c r="QXC2" s="24" t="n"/>
      <c r="QXD2" s="24" t="n"/>
      <c r="QXE2" s="24" t="n"/>
      <c r="QXF2" s="24" t="n"/>
      <c r="QXG2" s="24" t="n"/>
      <c r="QXH2" s="24" t="n"/>
      <c r="QXI2" s="24" t="n"/>
      <c r="QXJ2" s="24" t="n"/>
      <c r="QXK2" s="24" t="n"/>
      <c r="QXL2" s="24" t="n"/>
      <c r="QXM2" s="24" t="n"/>
      <c r="QXN2" s="24" t="n"/>
      <c r="QXO2" s="24" t="n"/>
      <c r="QXP2" s="24" t="n"/>
      <c r="QXQ2" s="24" t="n"/>
      <c r="QXR2" s="24" t="n"/>
      <c r="QXS2" s="24" t="n"/>
      <c r="QXT2" s="24" t="n"/>
      <c r="QXU2" s="24" t="n"/>
      <c r="QXV2" s="24" t="n"/>
      <c r="QXW2" s="24" t="n"/>
      <c r="QXX2" s="24" t="n"/>
      <c r="QXY2" s="24" t="n"/>
      <c r="QXZ2" s="24" t="n"/>
      <c r="QYA2" s="24" t="n"/>
      <c r="QYB2" s="24" t="n"/>
      <c r="QYC2" s="24" t="n"/>
      <c r="QYD2" s="24" t="n"/>
      <c r="QYE2" s="24" t="n"/>
      <c r="QYF2" s="24" t="n"/>
      <c r="QYG2" s="24" t="n"/>
      <c r="QYH2" s="24" t="n"/>
      <c r="QYI2" s="24" t="n"/>
      <c r="QYJ2" s="24" t="n"/>
      <c r="QYK2" s="24" t="n"/>
      <c r="QYL2" s="24" t="n"/>
      <c r="QYM2" s="24" t="n"/>
      <c r="QYN2" s="24" t="n"/>
      <c r="QYO2" s="24" t="n"/>
      <c r="QYP2" s="24" t="n"/>
      <c r="QYQ2" s="24" t="n"/>
      <c r="QYR2" s="24" t="n"/>
      <c r="QYS2" s="24" t="n"/>
      <c r="QYT2" s="24" t="n"/>
      <c r="QYU2" s="24" t="n"/>
      <c r="QYV2" s="24" t="n"/>
      <c r="QYW2" s="24" t="n"/>
      <c r="QYX2" s="24" t="n"/>
      <c r="QYY2" s="24" t="n"/>
      <c r="QYZ2" s="24" t="n"/>
      <c r="QZA2" s="24" t="n"/>
      <c r="QZB2" s="24" t="n"/>
      <c r="QZC2" s="24" t="n"/>
      <c r="QZD2" s="24" t="n"/>
      <c r="QZE2" s="24" t="n"/>
      <c r="QZF2" s="24" t="n"/>
      <c r="QZG2" s="24" t="n"/>
      <c r="QZH2" s="24" t="n"/>
      <c r="QZI2" s="24" t="n"/>
      <c r="QZJ2" s="24" t="n"/>
      <c r="QZK2" s="24" t="n"/>
      <c r="QZL2" s="24" t="n"/>
      <c r="QZM2" s="24" t="n"/>
      <c r="QZN2" s="24" t="n"/>
      <c r="QZO2" s="24" t="n"/>
      <c r="QZP2" s="24" t="n"/>
      <c r="QZQ2" s="24" t="n"/>
      <c r="QZR2" s="24" t="n"/>
      <c r="QZS2" s="24" t="n"/>
      <c r="QZT2" s="24" t="n"/>
      <c r="QZU2" s="24" t="n"/>
      <c r="QZV2" s="24" t="n"/>
      <c r="QZW2" s="24" t="n"/>
      <c r="QZX2" s="24" t="n"/>
      <c r="QZY2" s="24" t="n"/>
      <c r="QZZ2" s="24" t="n"/>
      <c r="RAA2" s="24" t="n"/>
      <c r="RAB2" s="24" t="n"/>
      <c r="RAC2" s="24" t="n"/>
      <c r="RAD2" s="24" t="n"/>
      <c r="RAE2" s="24" t="n"/>
      <c r="RAF2" s="24" t="n"/>
      <c r="RAG2" s="24" t="n"/>
      <c r="RAH2" s="24" t="n"/>
      <c r="RAI2" s="24" t="n"/>
      <c r="RAJ2" s="24" t="n"/>
      <c r="RAK2" s="24" t="n"/>
      <c r="RAL2" s="24" t="n"/>
      <c r="RAM2" s="24" t="n"/>
      <c r="RAN2" s="24" t="n"/>
      <c r="RAO2" s="24" t="n"/>
      <c r="RAP2" s="24" t="n"/>
      <c r="RAQ2" s="24" t="n"/>
      <c r="RAR2" s="24" t="n"/>
      <c r="RAS2" s="24" t="n"/>
      <c r="RAT2" s="24" t="n"/>
      <c r="RAU2" s="24" t="n"/>
      <c r="RAV2" s="24" t="n"/>
      <c r="RAW2" s="24" t="n"/>
      <c r="RAX2" s="24" t="n"/>
      <c r="RAY2" s="24" t="n"/>
      <c r="RAZ2" s="24" t="n"/>
      <c r="RBA2" s="24" t="n"/>
      <c r="RBB2" s="24" t="n"/>
      <c r="RBC2" s="24" t="n"/>
      <c r="RBD2" s="24" t="n"/>
      <c r="RBE2" s="24" t="n"/>
      <c r="RBF2" s="24" t="n"/>
      <c r="RBG2" s="24" t="n"/>
      <c r="RBH2" s="24" t="n"/>
      <c r="RBI2" s="24" t="n"/>
      <c r="RBJ2" s="24" t="n"/>
      <c r="RBK2" s="24" t="n"/>
      <c r="RBL2" s="24" t="n"/>
      <c r="RBM2" s="24" t="n"/>
      <c r="RBN2" s="24" t="n"/>
      <c r="RBO2" s="24" t="n"/>
      <c r="RBP2" s="24" t="n"/>
      <c r="RBQ2" s="24" t="n"/>
      <c r="RBR2" s="24" t="n"/>
      <c r="RBS2" s="24" t="n"/>
      <c r="RBT2" s="24" t="n"/>
      <c r="RBU2" s="24" t="n"/>
      <c r="RBV2" s="24" t="n"/>
      <c r="RBW2" s="24" t="n"/>
      <c r="RBX2" s="24" t="n"/>
      <c r="RBY2" s="24" t="n"/>
      <c r="RBZ2" s="24" t="n"/>
      <c r="RCA2" s="24" t="n"/>
      <c r="RCB2" s="24" t="n"/>
      <c r="RCC2" s="24" t="n"/>
      <c r="RCD2" s="24" t="n"/>
      <c r="RCE2" s="24" t="n"/>
      <c r="RCF2" s="24" t="n"/>
      <c r="RCG2" s="24" t="n"/>
      <c r="RCH2" s="24" t="n"/>
      <c r="RCI2" s="24" t="n"/>
      <c r="RCJ2" s="24" t="n"/>
      <c r="RCK2" s="24" t="n"/>
      <c r="RCL2" s="24" t="n"/>
      <c r="RCM2" s="24" t="n"/>
      <c r="RCN2" s="24" t="n"/>
      <c r="RCO2" s="24" t="n"/>
      <c r="RCP2" s="24" t="n"/>
      <c r="RCQ2" s="24" t="n"/>
      <c r="RCR2" s="24" t="n"/>
      <c r="RCS2" s="24" t="n"/>
      <c r="RCT2" s="24" t="n"/>
      <c r="RCU2" s="24" t="n"/>
      <c r="RCV2" s="24" t="n"/>
      <c r="RCW2" s="24" t="n"/>
      <c r="RCX2" s="24" t="n"/>
      <c r="RCY2" s="24" t="n"/>
      <c r="RCZ2" s="24" t="n"/>
      <c r="RDA2" s="24" t="n"/>
      <c r="RDB2" s="24" t="n"/>
      <c r="RDC2" s="24" t="n"/>
      <c r="RDD2" s="24" t="n"/>
      <c r="RDE2" s="24" t="n"/>
      <c r="RDF2" s="24" t="n"/>
      <c r="RDG2" s="24" t="n"/>
      <c r="RDH2" s="24" t="n"/>
      <c r="RDI2" s="24" t="n"/>
      <c r="RDJ2" s="24" t="n"/>
      <c r="RDK2" s="24" t="n"/>
      <c r="RDL2" s="24" t="n"/>
      <c r="RDM2" s="24" t="n"/>
      <c r="RDN2" s="24" t="n"/>
      <c r="RDO2" s="24" t="n"/>
      <c r="RDP2" s="24" t="n"/>
      <c r="RDQ2" s="24" t="n"/>
      <c r="RDR2" s="24" t="n"/>
      <c r="RDS2" s="24" t="n"/>
      <c r="RDT2" s="24" t="n"/>
      <c r="RDU2" s="24" t="n"/>
      <c r="RDV2" s="24" t="n"/>
      <c r="RDW2" s="24" t="n"/>
      <c r="RDX2" s="24" t="n"/>
      <c r="RDY2" s="24" t="n"/>
      <c r="RDZ2" s="24" t="n"/>
      <c r="REA2" s="24" t="n"/>
      <c r="REB2" s="24" t="n"/>
      <c r="REC2" s="24" t="n"/>
      <c r="RED2" s="24" t="n"/>
      <c r="REE2" s="24" t="n"/>
      <c r="REF2" s="24" t="n"/>
      <c r="REG2" s="24" t="n"/>
      <c r="REH2" s="24" t="n"/>
      <c r="REI2" s="24" t="n"/>
      <c r="REJ2" s="24" t="n"/>
      <c r="REK2" s="24" t="n"/>
      <c r="REL2" s="24" t="n"/>
      <c r="REM2" s="24" t="n"/>
      <c r="REN2" s="24" t="n"/>
      <c r="REO2" s="24" t="n"/>
      <c r="REP2" s="24" t="n"/>
      <c r="REQ2" s="24" t="n"/>
      <c r="RER2" s="24" t="n"/>
      <c r="RES2" s="24" t="n"/>
      <c r="RET2" s="24" t="n"/>
      <c r="REU2" s="24" t="n"/>
      <c r="REV2" s="24" t="n"/>
      <c r="REW2" s="24" t="n"/>
      <c r="REX2" s="24" t="n"/>
      <c r="REY2" s="24" t="n"/>
      <c r="REZ2" s="24" t="n"/>
      <c r="RFA2" s="24" t="n"/>
      <c r="RFB2" s="24" t="n"/>
      <c r="RFC2" s="24" t="n"/>
      <c r="RFD2" s="24" t="n"/>
      <c r="RFE2" s="24" t="n"/>
      <c r="RFF2" s="24" t="n"/>
      <c r="RFG2" s="24" t="n"/>
      <c r="RFH2" s="24" t="n"/>
      <c r="RFI2" s="24" t="n"/>
      <c r="RFJ2" s="24" t="n"/>
      <c r="RFK2" s="24" t="n"/>
      <c r="RFL2" s="24" t="n"/>
      <c r="RFM2" s="24" t="n"/>
      <c r="RFN2" s="24" t="n"/>
      <c r="RFO2" s="24" t="n"/>
      <c r="RFP2" s="24" t="n"/>
      <c r="RFQ2" s="24" t="n"/>
      <c r="RFR2" s="24" t="n"/>
      <c r="RFS2" s="24" t="n"/>
      <c r="RFT2" s="24" t="n"/>
      <c r="RFU2" s="24" t="n"/>
      <c r="RFV2" s="24" t="n"/>
      <c r="RFW2" s="24" t="n"/>
      <c r="RFX2" s="24" t="n"/>
      <c r="RFY2" s="24" t="n"/>
      <c r="RFZ2" s="24" t="n"/>
      <c r="RGA2" s="24" t="n"/>
      <c r="RGB2" s="24" t="n"/>
      <c r="RGC2" s="24" t="n"/>
      <c r="RGD2" s="24" t="n"/>
      <c r="RGE2" s="24" t="n"/>
      <c r="RGF2" s="24" t="n"/>
      <c r="RGG2" s="24" t="n"/>
      <c r="RGH2" s="24" t="n"/>
      <c r="RGI2" s="24" t="n"/>
      <c r="RGJ2" s="24" t="n"/>
      <c r="RGK2" s="24" t="n"/>
      <c r="RGL2" s="24" t="n"/>
      <c r="RGM2" s="24" t="n"/>
      <c r="RGN2" s="24" t="n"/>
      <c r="RGO2" s="24" t="n"/>
      <c r="RGP2" s="24" t="n"/>
      <c r="RGQ2" s="24" t="n"/>
      <c r="RGR2" s="24" t="n"/>
      <c r="RGS2" s="24" t="n"/>
      <c r="RGT2" s="24" t="n"/>
      <c r="RGU2" s="24" t="n"/>
      <c r="RGV2" s="24" t="n"/>
      <c r="RGW2" s="24" t="n"/>
      <c r="RGX2" s="24" t="n"/>
      <c r="RGY2" s="24" t="n"/>
      <c r="RGZ2" s="24" t="n"/>
      <c r="RHA2" s="24" t="n"/>
      <c r="RHB2" s="24" t="n"/>
      <c r="RHC2" s="24" t="n"/>
      <c r="RHD2" s="24" t="n"/>
      <c r="RHE2" s="24" t="n"/>
      <c r="RHF2" s="24" t="n"/>
      <c r="RHG2" s="24" t="n"/>
      <c r="RHH2" s="24" t="n"/>
      <c r="RHI2" s="24" t="n"/>
      <c r="RHJ2" s="24" t="n"/>
      <c r="RHK2" s="24" t="n"/>
      <c r="RHL2" s="24" t="n"/>
      <c r="RHM2" s="24" t="n"/>
      <c r="RHN2" s="24" t="n"/>
      <c r="RHO2" s="24" t="n"/>
      <c r="RHP2" s="24" t="n"/>
      <c r="RHQ2" s="24" t="n"/>
      <c r="RHR2" s="24" t="n"/>
      <c r="RHS2" s="24" t="n"/>
      <c r="RHT2" s="24" t="n"/>
      <c r="RHU2" s="24" t="n"/>
      <c r="RHV2" s="24" t="n"/>
      <c r="RHW2" s="24" t="n"/>
      <c r="RHX2" s="24" t="n"/>
      <c r="RHY2" s="24" t="n"/>
      <c r="RHZ2" s="24" t="n"/>
      <c r="RIA2" s="24" t="n"/>
      <c r="RIB2" s="24" t="n"/>
      <c r="RIC2" s="24" t="n"/>
      <c r="RID2" s="24" t="n"/>
      <c r="RIE2" s="24" t="n"/>
      <c r="RIF2" s="24" t="n"/>
      <c r="RIG2" s="24" t="n"/>
      <c r="RIH2" s="24" t="n"/>
      <c r="RII2" s="24" t="n"/>
      <c r="RIJ2" s="24" t="n"/>
      <c r="RIK2" s="24" t="n"/>
      <c r="RIL2" s="24" t="n"/>
      <c r="RIM2" s="24" t="n"/>
      <c r="RIN2" s="24" t="n"/>
      <c r="RIO2" s="24" t="n"/>
      <c r="RIP2" s="24" t="n"/>
      <c r="RIQ2" s="24" t="n"/>
      <c r="RIR2" s="24" t="n"/>
      <c r="RIS2" s="24" t="n"/>
      <c r="RIT2" s="24" t="n"/>
      <c r="RIU2" s="24" t="n"/>
      <c r="RIV2" s="24" t="n"/>
      <c r="RIW2" s="24" t="n"/>
      <c r="RIX2" s="24" t="n"/>
      <c r="RIY2" s="24" t="n"/>
      <c r="RIZ2" s="24" t="n"/>
      <c r="RJA2" s="24" t="n"/>
      <c r="RJB2" s="24" t="n"/>
      <c r="RJC2" s="24" t="n"/>
      <c r="RJD2" s="24" t="n"/>
      <c r="RJE2" s="24" t="n"/>
      <c r="RJF2" s="24" t="n"/>
      <c r="RJG2" s="24" t="n"/>
      <c r="RJH2" s="24" t="n"/>
      <c r="RJI2" s="24" t="n"/>
      <c r="RJJ2" s="24" t="n"/>
      <c r="RJK2" s="24" t="n"/>
      <c r="RJL2" s="24" t="n"/>
      <c r="RJM2" s="24" t="n"/>
      <c r="RJN2" s="24" t="n"/>
      <c r="RJO2" s="24" t="n"/>
      <c r="RJP2" s="24" t="n"/>
      <c r="RJQ2" s="24" t="n"/>
      <c r="RJR2" s="24" t="n"/>
      <c r="RJS2" s="24" t="n"/>
      <c r="RJT2" s="24" t="n"/>
      <c r="RJU2" s="24" t="n"/>
      <c r="RJV2" s="24" t="n"/>
      <c r="RJW2" s="24" t="n"/>
      <c r="RJX2" s="24" t="n"/>
      <c r="RJY2" s="24" t="n"/>
      <c r="RJZ2" s="24" t="n"/>
      <c r="RKA2" s="24" t="n"/>
      <c r="RKB2" s="24" t="n"/>
      <c r="RKC2" s="24" t="n"/>
      <c r="RKD2" s="24" t="n"/>
      <c r="RKE2" s="24" t="n"/>
      <c r="RKF2" s="24" t="n"/>
      <c r="RKG2" s="24" t="n"/>
      <c r="RKH2" s="24" t="n"/>
      <c r="RKI2" s="24" t="n"/>
      <c r="RKJ2" s="24" t="n"/>
      <c r="RKK2" s="24" t="n"/>
      <c r="RKL2" s="24" t="n"/>
      <c r="RKM2" s="24" t="n"/>
      <c r="RKN2" s="24" t="n"/>
      <c r="RKO2" s="24" t="n"/>
      <c r="RKP2" s="24" t="n"/>
      <c r="RKQ2" s="24" t="n"/>
      <c r="RKR2" s="24" t="n"/>
      <c r="RKS2" s="24" t="n"/>
      <c r="RKT2" s="24" t="n"/>
      <c r="RKU2" s="24" t="n"/>
      <c r="RKV2" s="24" t="n"/>
      <c r="RKW2" s="24" t="n"/>
      <c r="RKX2" s="24" t="n"/>
      <c r="RKY2" s="24" t="n"/>
      <c r="RKZ2" s="24" t="n"/>
      <c r="RLA2" s="24" t="n"/>
      <c r="RLB2" s="24" t="n"/>
      <c r="RLC2" s="24" t="n"/>
      <c r="RLD2" s="24" t="n"/>
      <c r="RLE2" s="24" t="n"/>
      <c r="RLF2" s="24" t="n"/>
      <c r="RLG2" s="24" t="n"/>
      <c r="RLH2" s="24" t="n"/>
      <c r="RLI2" s="24" t="n"/>
      <c r="RLJ2" s="24" t="n"/>
      <c r="RLK2" s="24" t="n"/>
      <c r="RLL2" s="24" t="n"/>
      <c r="RLM2" s="24" t="n"/>
      <c r="RLN2" s="24" t="n"/>
      <c r="RLO2" s="24" t="n"/>
      <c r="RLP2" s="24" t="n"/>
      <c r="RLQ2" s="24" t="n"/>
      <c r="RLR2" s="24" t="n"/>
      <c r="RLS2" s="24" t="n"/>
      <c r="RLT2" s="24" t="n"/>
      <c r="RLU2" s="24" t="n"/>
      <c r="RLV2" s="24" t="n"/>
      <c r="RLW2" s="24" t="n"/>
      <c r="RLX2" s="24" t="n"/>
      <c r="RLY2" s="24" t="n"/>
      <c r="RLZ2" s="24" t="n"/>
      <c r="RMA2" s="24" t="n"/>
      <c r="RMB2" s="24" t="n"/>
      <c r="RMC2" s="24" t="n"/>
      <c r="RMD2" s="24" t="n"/>
      <c r="RME2" s="24" t="n"/>
      <c r="RMF2" s="24" t="n"/>
      <c r="RMG2" s="24" t="n"/>
      <c r="RMH2" s="24" t="n"/>
      <c r="RMI2" s="24" t="n"/>
      <c r="RMJ2" s="24" t="n"/>
      <c r="RMK2" s="24" t="n"/>
      <c r="RML2" s="24" t="n"/>
      <c r="RMM2" s="24" t="n"/>
      <c r="RMN2" s="24" t="n"/>
      <c r="RMO2" s="24" t="n"/>
      <c r="RMP2" s="24" t="n"/>
      <c r="RMQ2" s="24" t="n"/>
      <c r="RMR2" s="24" t="n"/>
      <c r="RMS2" s="24" t="n"/>
      <c r="RMT2" s="24" t="n"/>
      <c r="RMU2" s="24" t="n"/>
      <c r="RMV2" s="24" t="n"/>
      <c r="RMW2" s="24" t="n"/>
      <c r="RMX2" s="24" t="n"/>
      <c r="RMY2" s="24" t="n"/>
      <c r="RMZ2" s="24" t="n"/>
      <c r="RNA2" s="24" t="n"/>
      <c r="RNB2" s="24" t="n"/>
      <c r="RNC2" s="24" t="n"/>
      <c r="RND2" s="24" t="n"/>
      <c r="RNE2" s="24" t="n"/>
      <c r="RNF2" s="24" t="n"/>
      <c r="RNG2" s="24" t="n"/>
      <c r="RNH2" s="24" t="n"/>
      <c r="RNI2" s="24" t="n"/>
      <c r="RNJ2" s="24" t="n"/>
      <c r="RNK2" s="24" t="n"/>
      <c r="RNL2" s="24" t="n"/>
      <c r="RNM2" s="24" t="n"/>
      <c r="RNN2" s="24" t="n"/>
      <c r="RNO2" s="24" t="n"/>
      <c r="RNP2" s="24" t="n"/>
      <c r="RNQ2" s="24" t="n"/>
      <c r="RNR2" s="24" t="n"/>
      <c r="RNS2" s="24" t="n"/>
      <c r="RNT2" s="24" t="n"/>
      <c r="RNU2" s="24" t="n"/>
      <c r="RNV2" s="24" t="n"/>
      <c r="RNW2" s="24" t="n"/>
      <c r="RNX2" s="24" t="n"/>
      <c r="RNY2" s="24" t="n"/>
      <c r="RNZ2" s="24" t="n"/>
      <c r="ROA2" s="24" t="n"/>
      <c r="ROB2" s="24" t="n"/>
      <c r="ROC2" s="24" t="n"/>
      <c r="ROD2" s="24" t="n"/>
      <c r="ROE2" s="24" t="n"/>
      <c r="ROF2" s="24" t="n"/>
      <c r="ROG2" s="24" t="n"/>
      <c r="ROH2" s="24" t="n"/>
      <c r="ROI2" s="24" t="n"/>
      <c r="ROJ2" s="24" t="n"/>
      <c r="ROK2" s="24" t="n"/>
      <c r="ROL2" s="24" t="n"/>
      <c r="ROM2" s="24" t="n"/>
      <c r="RON2" s="24" t="n"/>
      <c r="ROO2" s="24" t="n"/>
      <c r="ROP2" s="24" t="n"/>
      <c r="ROQ2" s="24" t="n"/>
      <c r="ROR2" s="24" t="n"/>
      <c r="ROS2" s="24" t="n"/>
      <c r="ROT2" s="24" t="n"/>
      <c r="ROU2" s="24" t="n"/>
      <c r="ROV2" s="24" t="n"/>
      <c r="ROW2" s="24" t="n"/>
      <c r="ROX2" s="24" t="n"/>
      <c r="ROY2" s="24" t="n"/>
      <c r="ROZ2" s="24" t="n"/>
      <c r="RPA2" s="24" t="n"/>
      <c r="RPB2" s="24" t="n"/>
      <c r="RPC2" s="24" t="n"/>
      <c r="RPD2" s="24" t="n"/>
      <c r="RPE2" s="24" t="n"/>
      <c r="RPF2" s="24" t="n"/>
      <c r="RPG2" s="24" t="n"/>
      <c r="RPH2" s="24" t="n"/>
      <c r="RPI2" s="24" t="n"/>
      <c r="RPJ2" s="24" t="n"/>
      <c r="RPK2" s="24" t="n"/>
      <c r="RPL2" s="24" t="n"/>
      <c r="RPM2" s="24" t="n"/>
      <c r="RPN2" s="24" t="n"/>
      <c r="RPO2" s="24" t="n"/>
      <c r="RPP2" s="24" t="n"/>
      <c r="RPQ2" s="24" t="n"/>
      <c r="RPR2" s="24" t="n"/>
      <c r="RPS2" s="24" t="n"/>
      <c r="RPT2" s="24" t="n"/>
      <c r="RPU2" s="24" t="n"/>
      <c r="RPV2" s="24" t="n"/>
      <c r="RPW2" s="24" t="n"/>
      <c r="RPX2" s="24" t="n"/>
      <c r="RPY2" s="24" t="n"/>
      <c r="RPZ2" s="24" t="n"/>
      <c r="RQA2" s="24" t="n"/>
      <c r="RQB2" s="24" t="n"/>
      <c r="RQC2" s="24" t="n"/>
      <c r="RQD2" s="24" t="n"/>
      <c r="RQE2" s="24" t="n"/>
      <c r="RQF2" s="24" t="n"/>
      <c r="RQG2" s="24" t="n"/>
      <c r="RQH2" s="24" t="n"/>
      <c r="RQI2" s="24" t="n"/>
      <c r="RQJ2" s="24" t="n"/>
      <c r="RQK2" s="24" t="n"/>
      <c r="RQL2" s="24" t="n"/>
      <c r="RQM2" s="24" t="n"/>
      <c r="RQN2" s="24" t="n"/>
      <c r="RQO2" s="24" t="n"/>
      <c r="RQP2" s="24" t="n"/>
      <c r="RQQ2" s="24" t="n"/>
      <c r="RQR2" s="24" t="n"/>
      <c r="RQS2" s="24" t="n"/>
      <c r="RQT2" s="24" t="n"/>
      <c r="RQU2" s="24" t="n"/>
      <c r="RQV2" s="24" t="n"/>
      <c r="RQW2" s="24" t="n"/>
      <c r="RQX2" s="24" t="n"/>
      <c r="RQY2" s="24" t="n"/>
      <c r="RQZ2" s="24" t="n"/>
      <c r="RRA2" s="24" t="n"/>
      <c r="RRB2" s="24" t="n"/>
      <c r="RRC2" s="24" t="n"/>
      <c r="RRD2" s="24" t="n"/>
      <c r="RRE2" s="24" t="n"/>
      <c r="RRF2" s="24" t="n"/>
      <c r="RRG2" s="24" t="n"/>
      <c r="RRH2" s="24" t="n"/>
      <c r="RRI2" s="24" t="n"/>
      <c r="RRJ2" s="24" t="n"/>
      <c r="RRK2" s="24" t="n"/>
      <c r="RRL2" s="24" t="n"/>
      <c r="RRM2" s="24" t="n"/>
      <c r="RRN2" s="24" t="n"/>
      <c r="RRO2" s="24" t="n"/>
      <c r="RRP2" s="24" t="n"/>
      <c r="RRQ2" s="24" t="n"/>
      <c r="RRR2" s="24" t="n"/>
      <c r="RRS2" s="24" t="n"/>
      <c r="RRT2" s="24" t="n"/>
      <c r="RRU2" s="24" t="n"/>
      <c r="RRV2" s="24" t="n"/>
      <c r="RRW2" s="24" t="n"/>
      <c r="RRX2" s="24" t="n"/>
      <c r="RRY2" s="24" t="n"/>
      <c r="RRZ2" s="24" t="n"/>
      <c r="RSA2" s="24" t="n"/>
      <c r="RSB2" s="24" t="n"/>
      <c r="RSC2" s="24" t="n"/>
      <c r="RSD2" s="24" t="n"/>
      <c r="RSE2" s="24" t="n"/>
      <c r="RSF2" s="24" t="n"/>
      <c r="RSG2" s="24" t="n"/>
      <c r="RSH2" s="24" t="n"/>
      <c r="RSI2" s="24" t="n"/>
      <c r="RSJ2" s="24" t="n"/>
      <c r="RSK2" s="24" t="n"/>
      <c r="RSL2" s="24" t="n"/>
      <c r="RSM2" s="24" t="n"/>
      <c r="RSN2" s="24" t="n"/>
      <c r="RSO2" s="24" t="n"/>
      <c r="RSP2" s="24" t="n"/>
      <c r="RSQ2" s="24" t="n"/>
      <c r="RSR2" s="24" t="n"/>
      <c r="RSS2" s="24" t="n"/>
      <c r="RST2" s="24" t="n"/>
      <c r="RSU2" s="24" t="n"/>
      <c r="RSV2" s="24" t="n"/>
      <c r="RSW2" s="24" t="n"/>
      <c r="RSX2" s="24" t="n"/>
      <c r="RSY2" s="24" t="n"/>
      <c r="RSZ2" s="24" t="n"/>
      <c r="RTA2" s="24" t="n"/>
      <c r="RTB2" s="24" t="n"/>
      <c r="RTC2" s="24" t="n"/>
      <c r="RTD2" s="24" t="n"/>
      <c r="RTE2" s="24" t="n"/>
      <c r="RTF2" s="24" t="n"/>
      <c r="RTG2" s="24" t="n"/>
      <c r="RTH2" s="24" t="n"/>
      <c r="RTI2" s="24" t="n"/>
      <c r="RTJ2" s="24" t="n"/>
      <c r="RTK2" s="24" t="n"/>
      <c r="RTL2" s="24" t="n"/>
      <c r="RTM2" s="24" t="n"/>
      <c r="RTN2" s="24" t="n"/>
      <c r="RTO2" s="24" t="n"/>
      <c r="RTP2" s="24" t="n"/>
      <c r="RTQ2" s="24" t="n"/>
      <c r="RTR2" s="24" t="n"/>
      <c r="RTS2" s="24" t="n"/>
      <c r="RTT2" s="24" t="n"/>
      <c r="RTU2" s="24" t="n"/>
      <c r="RTV2" s="24" t="n"/>
      <c r="RTW2" s="24" t="n"/>
      <c r="RTX2" s="24" t="n"/>
      <c r="RTY2" s="24" t="n"/>
      <c r="RTZ2" s="24" t="n"/>
      <c r="RUA2" s="24" t="n"/>
      <c r="RUB2" s="24" t="n"/>
      <c r="RUC2" s="24" t="n"/>
      <c r="RUD2" s="24" t="n"/>
      <c r="RUE2" s="24" t="n"/>
      <c r="RUF2" s="24" t="n"/>
      <c r="RUG2" s="24" t="n"/>
      <c r="RUH2" s="24" t="n"/>
      <c r="RUI2" s="24" t="n"/>
      <c r="RUJ2" s="24" t="n"/>
      <c r="RUK2" s="24" t="n"/>
      <c r="RUL2" s="24" t="n"/>
      <c r="RUM2" s="24" t="n"/>
      <c r="RUN2" s="24" t="n"/>
      <c r="RUO2" s="24" t="n"/>
      <c r="RUP2" s="24" t="n"/>
      <c r="RUQ2" s="24" t="n"/>
      <c r="RUR2" s="24" t="n"/>
      <c r="RUS2" s="24" t="n"/>
      <c r="RUT2" s="24" t="n"/>
      <c r="RUU2" s="24" t="n"/>
      <c r="RUV2" s="24" t="n"/>
      <c r="RUW2" s="24" t="n"/>
      <c r="RUX2" s="24" t="n"/>
      <c r="RUY2" s="24" t="n"/>
      <c r="RUZ2" s="24" t="n"/>
      <c r="RVA2" s="24" t="n"/>
      <c r="RVB2" s="24" t="n"/>
      <c r="RVC2" s="24" t="n"/>
      <c r="RVD2" s="24" t="n"/>
      <c r="RVE2" s="24" t="n"/>
      <c r="RVF2" s="24" t="n"/>
      <c r="RVG2" s="24" t="n"/>
      <c r="RVH2" s="24" t="n"/>
      <c r="RVI2" s="24" t="n"/>
      <c r="RVJ2" s="24" t="n"/>
      <c r="RVK2" s="24" t="n"/>
      <c r="RVL2" s="24" t="n"/>
      <c r="RVM2" s="24" t="n"/>
      <c r="RVN2" s="24" t="n"/>
      <c r="RVO2" s="24" t="n"/>
      <c r="RVP2" s="24" t="n"/>
      <c r="RVQ2" s="24" t="n"/>
      <c r="RVR2" s="24" t="n"/>
      <c r="RVS2" s="24" t="n"/>
      <c r="RVT2" s="24" t="n"/>
      <c r="RVU2" s="24" t="n"/>
      <c r="RVV2" s="24" t="n"/>
      <c r="RVW2" s="24" t="n"/>
      <c r="RVX2" s="24" t="n"/>
      <c r="RVY2" s="24" t="n"/>
      <c r="RVZ2" s="24" t="n"/>
      <c r="RWA2" s="24" t="n"/>
      <c r="RWB2" s="24" t="n"/>
      <c r="RWC2" s="24" t="n"/>
      <c r="RWD2" s="24" t="n"/>
      <c r="RWE2" s="24" t="n"/>
      <c r="RWF2" s="24" t="n"/>
      <c r="RWG2" s="24" t="n"/>
      <c r="RWH2" s="24" t="n"/>
      <c r="RWI2" s="24" t="n"/>
      <c r="RWJ2" s="24" t="n"/>
      <c r="RWK2" s="24" t="n"/>
      <c r="RWL2" s="24" t="n"/>
      <c r="RWM2" s="24" t="n"/>
      <c r="RWN2" s="24" t="n"/>
      <c r="RWO2" s="24" t="n"/>
      <c r="RWP2" s="24" t="n"/>
      <c r="RWQ2" s="24" t="n"/>
      <c r="RWR2" s="24" t="n"/>
      <c r="RWS2" s="24" t="n"/>
      <c r="RWT2" s="24" t="n"/>
      <c r="RWU2" s="24" t="n"/>
      <c r="RWV2" s="24" t="n"/>
      <c r="RWW2" s="24" t="n"/>
      <c r="RWX2" s="24" t="n"/>
      <c r="RWY2" s="24" t="n"/>
      <c r="RWZ2" s="24" t="n"/>
      <c r="RXA2" s="24" t="n"/>
      <c r="RXB2" s="24" t="n"/>
      <c r="RXC2" s="24" t="n"/>
      <c r="RXD2" s="24" t="n"/>
      <c r="RXE2" s="24" t="n"/>
      <c r="RXF2" s="24" t="n"/>
      <c r="RXG2" s="24" t="n"/>
      <c r="RXH2" s="24" t="n"/>
      <c r="RXI2" s="24" t="n"/>
      <c r="RXJ2" s="24" t="n"/>
      <c r="RXK2" s="24" t="n"/>
      <c r="RXL2" s="24" t="n"/>
      <c r="RXM2" s="24" t="n"/>
      <c r="RXN2" s="24" t="n"/>
      <c r="RXO2" s="24" t="n"/>
      <c r="RXP2" s="24" t="n"/>
      <c r="RXQ2" s="24" t="n"/>
      <c r="RXR2" s="24" t="n"/>
      <c r="RXS2" s="24" t="n"/>
      <c r="RXT2" s="24" t="n"/>
      <c r="RXU2" s="24" t="n"/>
      <c r="RXV2" s="24" t="n"/>
      <c r="RXW2" s="24" t="n"/>
      <c r="RXX2" s="24" t="n"/>
      <c r="RXY2" s="24" t="n"/>
      <c r="RXZ2" s="24" t="n"/>
      <c r="RYA2" s="24" t="n"/>
      <c r="RYB2" s="24" t="n"/>
      <c r="RYC2" s="24" t="n"/>
      <c r="RYD2" s="24" t="n"/>
      <c r="RYE2" s="24" t="n"/>
      <c r="RYF2" s="24" t="n"/>
      <c r="RYG2" s="24" t="n"/>
      <c r="RYH2" s="24" t="n"/>
      <c r="RYI2" s="24" t="n"/>
      <c r="RYJ2" s="24" t="n"/>
      <c r="RYK2" s="24" t="n"/>
      <c r="RYL2" s="24" t="n"/>
      <c r="RYM2" s="24" t="n"/>
      <c r="RYN2" s="24" t="n"/>
      <c r="RYO2" s="24" t="n"/>
      <c r="RYP2" s="24" t="n"/>
      <c r="RYQ2" s="24" t="n"/>
      <c r="RYR2" s="24" t="n"/>
      <c r="RYS2" s="24" t="n"/>
      <c r="RYT2" s="24" t="n"/>
      <c r="RYU2" s="24" t="n"/>
      <c r="RYV2" s="24" t="n"/>
      <c r="RYW2" s="24" t="n"/>
      <c r="RYX2" s="24" t="n"/>
      <c r="RYY2" s="24" t="n"/>
      <c r="RYZ2" s="24" t="n"/>
      <c r="RZA2" s="24" t="n"/>
      <c r="RZB2" s="24" t="n"/>
      <c r="RZC2" s="24" t="n"/>
      <c r="RZD2" s="24" t="n"/>
      <c r="RZE2" s="24" t="n"/>
      <c r="RZF2" s="24" t="n"/>
      <c r="RZG2" s="24" t="n"/>
      <c r="RZH2" s="24" t="n"/>
      <c r="RZI2" s="24" t="n"/>
      <c r="RZJ2" s="24" t="n"/>
      <c r="RZK2" s="24" t="n"/>
      <c r="RZL2" s="24" t="n"/>
      <c r="RZM2" s="24" t="n"/>
      <c r="RZN2" s="24" t="n"/>
      <c r="RZO2" s="24" t="n"/>
      <c r="RZP2" s="24" t="n"/>
      <c r="RZQ2" s="24" t="n"/>
      <c r="RZR2" s="24" t="n"/>
      <c r="RZS2" s="24" t="n"/>
      <c r="RZT2" s="24" t="n"/>
      <c r="RZU2" s="24" t="n"/>
      <c r="RZV2" s="24" t="n"/>
      <c r="RZW2" s="24" t="n"/>
      <c r="RZX2" s="24" t="n"/>
      <c r="RZY2" s="24" t="n"/>
      <c r="RZZ2" s="24" t="n"/>
      <c r="SAA2" s="24" t="n"/>
      <c r="SAB2" s="24" t="n"/>
      <c r="SAC2" s="24" t="n"/>
      <c r="SAD2" s="24" t="n"/>
      <c r="SAE2" s="24" t="n"/>
      <c r="SAF2" s="24" t="n"/>
      <c r="SAG2" s="24" t="n"/>
      <c r="SAH2" s="24" t="n"/>
      <c r="SAI2" s="24" t="n"/>
      <c r="SAJ2" s="24" t="n"/>
      <c r="SAK2" s="24" t="n"/>
      <c r="SAL2" s="24" t="n"/>
      <c r="SAM2" s="24" t="n"/>
      <c r="SAN2" s="24" t="n"/>
      <c r="SAO2" s="24" t="n"/>
      <c r="SAP2" s="24" t="n"/>
      <c r="SAQ2" s="24" t="n"/>
      <c r="SAR2" s="24" t="n"/>
      <c r="SAS2" s="24" t="n"/>
      <c r="SAT2" s="24" t="n"/>
      <c r="SAU2" s="24" t="n"/>
      <c r="SAV2" s="24" t="n"/>
      <c r="SAW2" s="24" t="n"/>
      <c r="SAX2" s="24" t="n"/>
      <c r="SAY2" s="24" t="n"/>
      <c r="SAZ2" s="24" t="n"/>
      <c r="SBA2" s="24" t="n"/>
      <c r="SBB2" s="24" t="n"/>
      <c r="SBC2" s="24" t="n"/>
      <c r="SBD2" s="24" t="n"/>
      <c r="SBE2" s="24" t="n"/>
      <c r="SBF2" s="24" t="n"/>
      <c r="SBG2" s="24" t="n"/>
      <c r="SBH2" s="24" t="n"/>
      <c r="SBI2" s="24" t="n"/>
      <c r="SBJ2" s="24" t="n"/>
      <c r="SBK2" s="24" t="n"/>
      <c r="SBL2" s="24" t="n"/>
      <c r="SBM2" s="24" t="n"/>
      <c r="SBN2" s="24" t="n"/>
      <c r="SBO2" s="24" t="n"/>
      <c r="SBP2" s="24" t="n"/>
      <c r="SBQ2" s="24" t="n"/>
      <c r="SBR2" s="24" t="n"/>
      <c r="SBS2" s="24" t="n"/>
      <c r="SBT2" s="24" t="n"/>
      <c r="SBU2" s="24" t="n"/>
      <c r="SBV2" s="24" t="n"/>
      <c r="SBW2" s="24" t="n"/>
      <c r="SBX2" s="24" t="n"/>
      <c r="SBY2" s="24" t="n"/>
      <c r="SBZ2" s="24" t="n"/>
      <c r="SCA2" s="24" t="n"/>
      <c r="SCB2" s="24" t="n"/>
      <c r="SCC2" s="24" t="n"/>
      <c r="SCD2" s="24" t="n"/>
      <c r="SCE2" s="24" t="n"/>
      <c r="SCF2" s="24" t="n"/>
      <c r="SCG2" s="24" t="n"/>
      <c r="SCH2" s="24" t="n"/>
      <c r="SCI2" s="24" t="n"/>
      <c r="SCJ2" s="24" t="n"/>
      <c r="SCK2" s="24" t="n"/>
      <c r="SCL2" s="24" t="n"/>
      <c r="SCM2" s="24" t="n"/>
      <c r="SCN2" s="24" t="n"/>
      <c r="SCO2" s="24" t="n"/>
      <c r="SCP2" s="24" t="n"/>
      <c r="SCQ2" s="24" t="n"/>
      <c r="SCR2" s="24" t="n"/>
      <c r="SCS2" s="24" t="n"/>
      <c r="SCT2" s="24" t="n"/>
      <c r="SCU2" s="24" t="n"/>
      <c r="SCV2" s="24" t="n"/>
      <c r="SCW2" s="24" t="n"/>
      <c r="SCX2" s="24" t="n"/>
      <c r="SCY2" s="24" t="n"/>
      <c r="SCZ2" s="24" t="n"/>
      <c r="SDA2" s="24" t="n"/>
      <c r="SDB2" s="24" t="n"/>
      <c r="SDC2" s="24" t="n"/>
      <c r="SDD2" s="24" t="n"/>
      <c r="SDE2" s="24" t="n"/>
      <c r="SDF2" s="24" t="n"/>
      <c r="SDG2" s="24" t="n"/>
      <c r="SDH2" s="24" t="n"/>
      <c r="SDI2" s="24" t="n"/>
      <c r="SDJ2" s="24" t="n"/>
      <c r="SDK2" s="24" t="n"/>
      <c r="SDL2" s="24" t="n"/>
      <c r="SDM2" s="24" t="n"/>
      <c r="SDN2" s="24" t="n"/>
      <c r="SDO2" s="24" t="n"/>
      <c r="SDP2" s="24" t="n"/>
      <c r="SDQ2" s="24" t="n"/>
      <c r="SDR2" s="24" t="n"/>
      <c r="SDS2" s="24" t="n"/>
      <c r="SDT2" s="24" t="n"/>
      <c r="SDU2" s="24" t="n"/>
      <c r="SDV2" s="24" t="n"/>
      <c r="SDW2" s="24" t="n"/>
      <c r="SDX2" s="24" t="n"/>
      <c r="SDY2" s="24" t="n"/>
      <c r="SDZ2" s="24" t="n"/>
      <c r="SEA2" s="24" t="n"/>
      <c r="SEB2" s="24" t="n"/>
      <c r="SEC2" s="24" t="n"/>
      <c r="SED2" s="24" t="n"/>
      <c r="SEE2" s="24" t="n"/>
      <c r="SEF2" s="24" t="n"/>
      <c r="SEG2" s="24" t="n"/>
      <c r="SEH2" s="24" t="n"/>
      <c r="SEI2" s="24" t="n"/>
      <c r="SEJ2" s="24" t="n"/>
      <c r="SEK2" s="24" t="n"/>
      <c r="SEL2" s="24" t="n"/>
      <c r="SEM2" s="24" t="n"/>
      <c r="SEN2" s="24" t="n"/>
      <c r="SEO2" s="24" t="n"/>
      <c r="SEP2" s="24" t="n"/>
      <c r="SEQ2" s="24" t="n"/>
      <c r="SER2" s="24" t="n"/>
      <c r="SES2" s="24" t="n"/>
      <c r="SET2" s="24" t="n"/>
      <c r="SEU2" s="24" t="n"/>
      <c r="SEV2" s="24" t="n"/>
      <c r="SEW2" s="24" t="n"/>
      <c r="SEX2" s="24" t="n"/>
      <c r="SEY2" s="24" t="n"/>
      <c r="SEZ2" s="24" t="n"/>
      <c r="SFA2" s="24" t="n"/>
      <c r="SFB2" s="24" t="n"/>
      <c r="SFC2" s="24" t="n"/>
      <c r="SFD2" s="24" t="n"/>
      <c r="SFE2" s="24" t="n"/>
      <c r="SFF2" s="24" t="n"/>
      <c r="SFG2" s="24" t="n"/>
      <c r="SFH2" s="24" t="n"/>
      <c r="SFI2" s="24" t="n"/>
      <c r="SFJ2" s="24" t="n"/>
      <c r="SFK2" s="24" t="n"/>
      <c r="SFL2" s="24" t="n"/>
      <c r="SFM2" s="24" t="n"/>
      <c r="SFN2" s="24" t="n"/>
      <c r="SFO2" s="24" t="n"/>
      <c r="SFP2" s="24" t="n"/>
      <c r="SFQ2" s="24" t="n"/>
      <c r="SFR2" s="24" t="n"/>
      <c r="SFS2" s="24" t="n"/>
      <c r="SFT2" s="24" t="n"/>
      <c r="SFU2" s="24" t="n"/>
      <c r="SFV2" s="24" t="n"/>
      <c r="SFW2" s="24" t="n"/>
      <c r="SFX2" s="24" t="n"/>
      <c r="SFY2" s="24" t="n"/>
      <c r="SFZ2" s="24" t="n"/>
      <c r="SGA2" s="24" t="n"/>
      <c r="SGB2" s="24" t="n"/>
      <c r="SGC2" s="24" t="n"/>
      <c r="SGD2" s="24" t="n"/>
      <c r="SGE2" s="24" t="n"/>
      <c r="SGF2" s="24" t="n"/>
      <c r="SGG2" s="24" t="n"/>
      <c r="SGH2" s="24" t="n"/>
      <c r="SGI2" s="24" t="n"/>
      <c r="SGJ2" s="24" t="n"/>
      <c r="SGK2" s="24" t="n"/>
      <c r="SGL2" s="24" t="n"/>
      <c r="SGM2" s="24" t="n"/>
      <c r="SGN2" s="24" t="n"/>
      <c r="SGO2" s="24" t="n"/>
      <c r="SGP2" s="24" t="n"/>
      <c r="SGQ2" s="24" t="n"/>
      <c r="SGR2" s="24" t="n"/>
      <c r="SGS2" s="24" t="n"/>
      <c r="SGT2" s="24" t="n"/>
      <c r="SGU2" s="24" t="n"/>
      <c r="SGV2" s="24" t="n"/>
      <c r="SGW2" s="24" t="n"/>
      <c r="SGX2" s="24" t="n"/>
      <c r="SGY2" s="24" t="n"/>
      <c r="SGZ2" s="24" t="n"/>
      <c r="SHA2" s="24" t="n"/>
      <c r="SHB2" s="24" t="n"/>
      <c r="SHC2" s="24" t="n"/>
      <c r="SHD2" s="24" t="n"/>
      <c r="SHE2" s="24" t="n"/>
      <c r="SHF2" s="24" t="n"/>
      <c r="SHG2" s="24" t="n"/>
      <c r="SHH2" s="24" t="n"/>
      <c r="SHI2" s="24" t="n"/>
      <c r="SHJ2" s="24" t="n"/>
      <c r="SHK2" s="24" t="n"/>
      <c r="SHL2" s="24" t="n"/>
      <c r="SHM2" s="24" t="n"/>
      <c r="SHN2" s="24" t="n"/>
      <c r="SHO2" s="24" t="n"/>
      <c r="SHP2" s="24" t="n"/>
      <c r="SHQ2" s="24" t="n"/>
      <c r="SHR2" s="24" t="n"/>
      <c r="SHS2" s="24" t="n"/>
      <c r="SHT2" s="24" t="n"/>
      <c r="SHU2" s="24" t="n"/>
      <c r="SHV2" s="24" t="n"/>
      <c r="SHW2" s="24" t="n"/>
      <c r="SHX2" s="24" t="n"/>
      <c r="SHY2" s="24" t="n"/>
      <c r="SHZ2" s="24" t="n"/>
      <c r="SIA2" s="24" t="n"/>
      <c r="SIB2" s="24" t="n"/>
      <c r="SIC2" s="24" t="n"/>
      <c r="SID2" s="24" t="n"/>
      <c r="SIE2" s="24" t="n"/>
      <c r="SIF2" s="24" t="n"/>
      <c r="SIG2" s="24" t="n"/>
      <c r="SIH2" s="24" t="n"/>
      <c r="SII2" s="24" t="n"/>
      <c r="SIJ2" s="24" t="n"/>
      <c r="SIK2" s="24" t="n"/>
      <c r="SIL2" s="24" t="n"/>
      <c r="SIM2" s="24" t="n"/>
      <c r="SIN2" s="24" t="n"/>
      <c r="SIO2" s="24" t="n"/>
      <c r="SIP2" s="24" t="n"/>
      <c r="SIQ2" s="24" t="n"/>
      <c r="SIR2" s="24" t="n"/>
      <c r="SIS2" s="24" t="n"/>
      <c r="SIT2" s="24" t="n"/>
      <c r="SIU2" s="24" t="n"/>
      <c r="SIV2" s="24" t="n"/>
      <c r="SIW2" s="24" t="n"/>
      <c r="SIX2" s="24" t="n"/>
      <c r="SIY2" s="24" t="n"/>
      <c r="SIZ2" s="24" t="n"/>
      <c r="SJA2" s="24" t="n"/>
      <c r="SJB2" s="24" t="n"/>
      <c r="SJC2" s="24" t="n"/>
      <c r="SJD2" s="24" t="n"/>
      <c r="SJE2" s="24" t="n"/>
      <c r="SJF2" s="24" t="n"/>
      <c r="SJG2" s="24" t="n"/>
      <c r="SJH2" s="24" t="n"/>
      <c r="SJI2" s="24" t="n"/>
      <c r="SJJ2" s="24" t="n"/>
      <c r="SJK2" s="24" t="n"/>
      <c r="SJL2" s="24" t="n"/>
      <c r="SJM2" s="24" t="n"/>
      <c r="SJN2" s="24" t="n"/>
      <c r="SJO2" s="24" t="n"/>
      <c r="SJP2" s="24" t="n"/>
      <c r="SJQ2" s="24" t="n"/>
      <c r="SJR2" s="24" t="n"/>
      <c r="SJS2" s="24" t="n"/>
      <c r="SJT2" s="24" t="n"/>
      <c r="SJU2" s="24" t="n"/>
      <c r="SJV2" s="24" t="n"/>
      <c r="SJW2" s="24" t="n"/>
      <c r="SJX2" s="24" t="n"/>
      <c r="SJY2" s="24" t="n"/>
      <c r="SJZ2" s="24" t="n"/>
      <c r="SKA2" s="24" t="n"/>
      <c r="SKB2" s="24" t="n"/>
      <c r="SKC2" s="24" t="n"/>
      <c r="SKD2" s="24" t="n"/>
      <c r="SKE2" s="24" t="n"/>
      <c r="SKF2" s="24" t="n"/>
      <c r="SKG2" s="24" t="n"/>
      <c r="SKH2" s="24" t="n"/>
      <c r="SKI2" s="24" t="n"/>
      <c r="SKJ2" s="24" t="n"/>
      <c r="SKK2" s="24" t="n"/>
      <c r="SKL2" s="24" t="n"/>
      <c r="SKM2" s="24" t="n"/>
      <c r="SKN2" s="24" t="n"/>
      <c r="SKO2" s="24" t="n"/>
      <c r="SKP2" s="24" t="n"/>
      <c r="SKQ2" s="24" t="n"/>
      <c r="SKR2" s="24" t="n"/>
      <c r="SKS2" s="24" t="n"/>
      <c r="SKT2" s="24" t="n"/>
      <c r="SKU2" s="24" t="n"/>
      <c r="SKV2" s="24" t="n"/>
      <c r="SKW2" s="24" t="n"/>
      <c r="SKX2" s="24" t="n"/>
      <c r="SKY2" s="24" t="n"/>
      <c r="SKZ2" s="24" t="n"/>
      <c r="SLA2" s="24" t="n"/>
      <c r="SLB2" s="24" t="n"/>
      <c r="SLC2" s="24" t="n"/>
      <c r="SLD2" s="24" t="n"/>
      <c r="SLE2" s="24" t="n"/>
      <c r="SLF2" s="24" t="n"/>
      <c r="SLG2" s="24" t="n"/>
      <c r="SLH2" s="24" t="n"/>
      <c r="SLI2" s="24" t="n"/>
      <c r="SLJ2" s="24" t="n"/>
      <c r="SLK2" s="24" t="n"/>
      <c r="SLL2" s="24" t="n"/>
      <c r="SLM2" s="24" t="n"/>
      <c r="SLN2" s="24" t="n"/>
      <c r="SLO2" s="24" t="n"/>
      <c r="SLP2" s="24" t="n"/>
      <c r="SLQ2" s="24" t="n"/>
      <c r="SLR2" s="24" t="n"/>
      <c r="SLS2" s="24" t="n"/>
      <c r="SLT2" s="24" t="n"/>
      <c r="SLU2" s="24" t="n"/>
      <c r="SLV2" s="24" t="n"/>
      <c r="SLW2" s="24" t="n"/>
      <c r="SLX2" s="24" t="n"/>
      <c r="SLY2" s="24" t="n"/>
      <c r="SLZ2" s="24" t="n"/>
      <c r="SMA2" s="24" t="n"/>
      <c r="SMB2" s="24" t="n"/>
      <c r="SMC2" s="24" t="n"/>
      <c r="SMD2" s="24" t="n"/>
      <c r="SME2" s="24" t="n"/>
      <c r="SMF2" s="24" t="n"/>
      <c r="SMG2" s="24" t="n"/>
      <c r="SMH2" s="24" t="n"/>
      <c r="SMI2" s="24" t="n"/>
      <c r="SMJ2" s="24" t="n"/>
      <c r="SMK2" s="24" t="n"/>
      <c r="SML2" s="24" t="n"/>
      <c r="SMM2" s="24" t="n"/>
      <c r="SMN2" s="24" t="n"/>
      <c r="SMO2" s="24" t="n"/>
      <c r="SMP2" s="24" t="n"/>
      <c r="SMQ2" s="24" t="n"/>
      <c r="SMR2" s="24" t="n"/>
      <c r="SMS2" s="24" t="n"/>
      <c r="SMT2" s="24" t="n"/>
      <c r="SMU2" s="24" t="n"/>
      <c r="SMV2" s="24" t="n"/>
      <c r="SMW2" s="24" t="n"/>
      <c r="SMX2" s="24" t="n"/>
      <c r="SMY2" s="24" t="n"/>
      <c r="SMZ2" s="24" t="n"/>
      <c r="SNA2" s="24" t="n"/>
      <c r="SNB2" s="24" t="n"/>
      <c r="SNC2" s="24" t="n"/>
      <c r="SND2" s="24" t="n"/>
      <c r="SNE2" s="24" t="n"/>
      <c r="SNF2" s="24" t="n"/>
      <c r="SNG2" s="24" t="n"/>
      <c r="SNH2" s="24" t="n"/>
      <c r="SNI2" s="24" t="n"/>
      <c r="SNJ2" s="24" t="n"/>
      <c r="SNK2" s="24" t="n"/>
      <c r="SNL2" s="24" t="n"/>
      <c r="SNM2" s="24" t="n"/>
      <c r="SNN2" s="24" t="n"/>
      <c r="SNO2" s="24" t="n"/>
      <c r="SNP2" s="24" t="n"/>
      <c r="SNQ2" s="24" t="n"/>
      <c r="SNR2" s="24" t="n"/>
      <c r="SNS2" s="24" t="n"/>
      <c r="SNT2" s="24" t="n"/>
      <c r="SNU2" s="24" t="n"/>
      <c r="SNV2" s="24" t="n"/>
      <c r="SNW2" s="24" t="n"/>
      <c r="SNX2" s="24" t="n"/>
      <c r="SNY2" s="24" t="n"/>
      <c r="SNZ2" s="24" t="n"/>
      <c r="SOA2" s="24" t="n"/>
      <c r="SOB2" s="24" t="n"/>
      <c r="SOC2" s="24" t="n"/>
      <c r="SOD2" s="24" t="n"/>
      <c r="SOE2" s="24" t="n"/>
      <c r="SOF2" s="24" t="n"/>
      <c r="SOG2" s="24" t="n"/>
      <c r="SOH2" s="24" t="n"/>
      <c r="SOI2" s="24" t="n"/>
      <c r="SOJ2" s="24" t="n"/>
      <c r="SOK2" s="24" t="n"/>
      <c r="SOL2" s="24" t="n"/>
      <c r="SOM2" s="24" t="n"/>
      <c r="SON2" s="24" t="n"/>
      <c r="SOO2" s="24" t="n"/>
      <c r="SOP2" s="24" t="n"/>
      <c r="SOQ2" s="24" t="n"/>
      <c r="SOR2" s="24" t="n"/>
      <c r="SOS2" s="24" t="n"/>
      <c r="SOT2" s="24" t="n"/>
      <c r="SOU2" s="24" t="n"/>
      <c r="SOV2" s="24" t="n"/>
      <c r="SOW2" s="24" t="n"/>
      <c r="SOX2" s="24" t="n"/>
      <c r="SOY2" s="24" t="n"/>
      <c r="SOZ2" s="24" t="n"/>
      <c r="SPA2" s="24" t="n"/>
      <c r="SPB2" s="24" t="n"/>
      <c r="SPC2" s="24" t="n"/>
      <c r="SPD2" s="24" t="n"/>
      <c r="SPE2" s="24" t="n"/>
      <c r="SPF2" s="24" t="n"/>
      <c r="SPG2" s="24" t="n"/>
      <c r="SPH2" s="24" t="n"/>
      <c r="SPI2" s="24" t="n"/>
      <c r="SPJ2" s="24" t="n"/>
      <c r="SPK2" s="24" t="n"/>
      <c r="SPL2" s="24" t="n"/>
      <c r="SPM2" s="24" t="n"/>
      <c r="SPN2" s="24" t="n"/>
      <c r="SPO2" s="24" t="n"/>
      <c r="SPP2" s="24" t="n"/>
      <c r="SPQ2" s="24" t="n"/>
      <c r="SPR2" s="24" t="n"/>
      <c r="SPS2" s="24" t="n"/>
      <c r="SPT2" s="24" t="n"/>
      <c r="SPU2" s="24" t="n"/>
      <c r="SPV2" s="24" t="n"/>
      <c r="SPW2" s="24" t="n"/>
      <c r="SPX2" s="24" t="n"/>
      <c r="SPY2" s="24" t="n"/>
      <c r="SPZ2" s="24" t="n"/>
      <c r="SQA2" s="24" t="n"/>
      <c r="SQB2" s="24" t="n"/>
      <c r="SQC2" s="24" t="n"/>
      <c r="SQD2" s="24" t="n"/>
      <c r="SQE2" s="24" t="n"/>
      <c r="SQF2" s="24" t="n"/>
      <c r="SQG2" s="24" t="n"/>
      <c r="SQH2" s="24" t="n"/>
      <c r="SQI2" s="24" t="n"/>
      <c r="SQJ2" s="24" t="n"/>
      <c r="SQK2" s="24" t="n"/>
      <c r="SQL2" s="24" t="n"/>
      <c r="SQM2" s="24" t="n"/>
      <c r="SQN2" s="24" t="n"/>
      <c r="SQO2" s="24" t="n"/>
      <c r="SQP2" s="24" t="n"/>
      <c r="SQQ2" s="24" t="n"/>
      <c r="SQR2" s="24" t="n"/>
      <c r="SQS2" s="24" t="n"/>
      <c r="SQT2" s="24" t="n"/>
      <c r="SQU2" s="24" t="n"/>
      <c r="SQV2" s="24" t="n"/>
      <c r="SQW2" s="24" t="n"/>
      <c r="SQX2" s="24" t="n"/>
      <c r="SQY2" s="24" t="n"/>
      <c r="SQZ2" s="24" t="n"/>
      <c r="SRA2" s="24" t="n"/>
      <c r="SRB2" s="24" t="n"/>
      <c r="SRC2" s="24" t="n"/>
      <c r="SRD2" s="24" t="n"/>
      <c r="SRE2" s="24" t="n"/>
      <c r="SRF2" s="24" t="n"/>
      <c r="SRG2" s="24" t="n"/>
      <c r="SRH2" s="24" t="n"/>
      <c r="SRI2" s="24" t="n"/>
      <c r="SRJ2" s="24" t="n"/>
      <c r="SRK2" s="24" t="n"/>
      <c r="SRL2" s="24" t="n"/>
      <c r="SRM2" s="24" t="n"/>
      <c r="SRN2" s="24" t="n"/>
      <c r="SRO2" s="24" t="n"/>
      <c r="SRP2" s="24" t="n"/>
      <c r="SRQ2" s="24" t="n"/>
      <c r="SRR2" s="24" t="n"/>
      <c r="SRS2" s="24" t="n"/>
      <c r="SRT2" s="24" t="n"/>
      <c r="SRU2" s="24" t="n"/>
      <c r="SRV2" s="24" t="n"/>
      <c r="SRW2" s="24" t="n"/>
      <c r="SRX2" s="24" t="n"/>
      <c r="SRY2" s="24" t="n"/>
      <c r="SRZ2" s="24" t="n"/>
      <c r="SSA2" s="24" t="n"/>
      <c r="SSB2" s="24" t="n"/>
      <c r="SSC2" s="24" t="n"/>
      <c r="SSD2" s="24" t="n"/>
      <c r="SSE2" s="24" t="n"/>
      <c r="SSF2" s="24" t="n"/>
      <c r="SSG2" s="24" t="n"/>
      <c r="SSH2" s="24" t="n"/>
      <c r="SSI2" s="24" t="n"/>
      <c r="SSJ2" s="24" t="n"/>
      <c r="SSK2" s="24" t="n"/>
      <c r="SSL2" s="24" t="n"/>
      <c r="SSM2" s="24" t="n"/>
      <c r="SSN2" s="24" t="n"/>
      <c r="SSO2" s="24" t="n"/>
      <c r="SSP2" s="24" t="n"/>
      <c r="SSQ2" s="24" t="n"/>
      <c r="SSR2" s="24" t="n"/>
      <c r="SSS2" s="24" t="n"/>
      <c r="SST2" s="24" t="n"/>
      <c r="SSU2" s="24" t="n"/>
      <c r="SSV2" s="24" t="n"/>
      <c r="SSW2" s="24" t="n"/>
      <c r="SSX2" s="24" t="n"/>
      <c r="SSY2" s="24" t="n"/>
      <c r="SSZ2" s="24" t="n"/>
      <c r="STA2" s="24" t="n"/>
      <c r="STB2" s="24" t="n"/>
      <c r="STC2" s="24" t="n"/>
      <c r="STD2" s="24" t="n"/>
      <c r="STE2" s="24" t="n"/>
      <c r="STF2" s="24" t="n"/>
      <c r="STG2" s="24" t="n"/>
      <c r="STH2" s="24" t="n"/>
      <c r="STI2" s="24" t="n"/>
      <c r="STJ2" s="24" t="n"/>
      <c r="STK2" s="24" t="n"/>
      <c r="STL2" s="24" t="n"/>
      <c r="STM2" s="24" t="n"/>
      <c r="STN2" s="24" t="n"/>
      <c r="STO2" s="24" t="n"/>
      <c r="STP2" s="24" t="n"/>
      <c r="STQ2" s="24" t="n"/>
      <c r="STR2" s="24" t="n"/>
      <c r="STS2" s="24" t="n"/>
      <c r="STT2" s="24" t="n"/>
      <c r="STU2" s="24" t="n"/>
      <c r="STV2" s="24" t="n"/>
      <c r="STW2" s="24" t="n"/>
      <c r="STX2" s="24" t="n"/>
      <c r="STY2" s="24" t="n"/>
      <c r="STZ2" s="24" t="n"/>
      <c r="SUA2" s="24" t="n"/>
      <c r="SUB2" s="24" t="n"/>
      <c r="SUC2" s="24" t="n"/>
      <c r="SUD2" s="24" t="n"/>
      <c r="SUE2" s="24" t="n"/>
      <c r="SUF2" s="24" t="n"/>
      <c r="SUG2" s="24" t="n"/>
      <c r="SUH2" s="24" t="n"/>
      <c r="SUI2" s="24" t="n"/>
      <c r="SUJ2" s="24" t="n"/>
      <c r="SUK2" s="24" t="n"/>
      <c r="SUL2" s="24" t="n"/>
      <c r="SUM2" s="24" t="n"/>
      <c r="SUN2" s="24" t="n"/>
      <c r="SUO2" s="24" t="n"/>
      <c r="SUP2" s="24" t="n"/>
      <c r="SUQ2" s="24" t="n"/>
      <c r="SUR2" s="24" t="n"/>
      <c r="SUS2" s="24" t="n"/>
      <c r="SUT2" s="24" t="n"/>
      <c r="SUU2" s="24" t="n"/>
      <c r="SUV2" s="24" t="n"/>
      <c r="SUW2" s="24" t="n"/>
      <c r="SUX2" s="24" t="n"/>
      <c r="SUY2" s="24" t="n"/>
      <c r="SUZ2" s="24" t="n"/>
      <c r="SVA2" s="24" t="n"/>
      <c r="SVB2" s="24" t="n"/>
      <c r="SVC2" s="24" t="n"/>
      <c r="SVD2" s="24" t="n"/>
      <c r="SVE2" s="24" t="n"/>
      <c r="SVF2" s="24" t="n"/>
      <c r="SVG2" s="24" t="n"/>
      <c r="SVH2" s="24" t="n"/>
      <c r="SVI2" s="24" t="n"/>
      <c r="SVJ2" s="24" t="n"/>
      <c r="SVK2" s="24" t="n"/>
      <c r="SVL2" s="24" t="n"/>
      <c r="SVM2" s="24" t="n"/>
      <c r="SVN2" s="24" t="n"/>
      <c r="SVO2" s="24" t="n"/>
      <c r="SVP2" s="24" t="n"/>
      <c r="SVQ2" s="24" t="n"/>
      <c r="SVR2" s="24" t="n"/>
      <c r="SVS2" s="24" t="n"/>
      <c r="SVT2" s="24" t="n"/>
      <c r="SVU2" s="24" t="n"/>
      <c r="SVV2" s="24" t="n"/>
      <c r="SVW2" s="24" t="n"/>
      <c r="SVX2" s="24" t="n"/>
      <c r="SVY2" s="24" t="n"/>
      <c r="SVZ2" s="24" t="n"/>
      <c r="SWA2" s="24" t="n"/>
      <c r="SWB2" s="24" t="n"/>
      <c r="SWC2" s="24" t="n"/>
      <c r="SWD2" s="24" t="n"/>
      <c r="SWE2" s="24" t="n"/>
      <c r="SWF2" s="24" t="n"/>
      <c r="SWG2" s="24" t="n"/>
      <c r="SWH2" s="24" t="n"/>
      <c r="SWI2" s="24" t="n"/>
      <c r="SWJ2" s="24" t="n"/>
      <c r="SWK2" s="24" t="n"/>
      <c r="SWL2" s="24" t="n"/>
      <c r="SWM2" s="24" t="n"/>
      <c r="SWN2" s="24" t="n"/>
      <c r="SWO2" s="24" t="n"/>
      <c r="SWP2" s="24" t="n"/>
      <c r="SWQ2" s="24" t="n"/>
      <c r="SWR2" s="24" t="n"/>
      <c r="SWS2" s="24" t="n"/>
      <c r="SWT2" s="24" t="n"/>
      <c r="SWU2" s="24" t="n"/>
      <c r="SWV2" s="24" t="n"/>
      <c r="SWW2" s="24" t="n"/>
      <c r="SWX2" s="24" t="n"/>
      <c r="SWY2" s="24" t="n"/>
      <c r="SWZ2" s="24" t="n"/>
      <c r="SXA2" s="24" t="n"/>
      <c r="SXB2" s="24" t="n"/>
      <c r="SXC2" s="24" t="n"/>
      <c r="SXD2" s="24" t="n"/>
      <c r="SXE2" s="24" t="n"/>
      <c r="SXF2" s="24" t="n"/>
      <c r="SXG2" s="24" t="n"/>
      <c r="SXH2" s="24" t="n"/>
      <c r="SXI2" s="24" t="n"/>
      <c r="SXJ2" s="24" t="n"/>
      <c r="SXK2" s="24" t="n"/>
      <c r="SXL2" s="24" t="n"/>
      <c r="SXM2" s="24" t="n"/>
      <c r="SXN2" s="24" t="n"/>
      <c r="SXO2" s="24" t="n"/>
      <c r="SXP2" s="24" t="n"/>
      <c r="SXQ2" s="24" t="n"/>
      <c r="SXR2" s="24" t="n"/>
      <c r="SXS2" s="24" t="n"/>
      <c r="SXT2" s="24" t="n"/>
      <c r="SXU2" s="24" t="n"/>
      <c r="SXV2" s="24" t="n"/>
      <c r="SXW2" s="24" t="n"/>
      <c r="SXX2" s="24" t="n"/>
      <c r="SXY2" s="24" t="n"/>
      <c r="SXZ2" s="24" t="n"/>
      <c r="SYA2" s="24" t="n"/>
      <c r="SYB2" s="24" t="n"/>
      <c r="SYC2" s="24" t="n"/>
      <c r="SYD2" s="24" t="n"/>
      <c r="SYE2" s="24" t="n"/>
      <c r="SYF2" s="24" t="n"/>
      <c r="SYG2" s="24" t="n"/>
      <c r="SYH2" s="24" t="n"/>
      <c r="SYI2" s="24" t="n"/>
      <c r="SYJ2" s="24" t="n"/>
      <c r="SYK2" s="24" t="n"/>
      <c r="SYL2" s="24" t="n"/>
      <c r="SYM2" s="24" t="n"/>
      <c r="SYN2" s="24" t="n"/>
      <c r="SYO2" s="24" t="n"/>
      <c r="SYP2" s="24" t="n"/>
      <c r="SYQ2" s="24" t="n"/>
      <c r="SYR2" s="24" t="n"/>
      <c r="SYS2" s="24" t="n"/>
      <c r="SYT2" s="24" t="n"/>
      <c r="SYU2" s="24" t="n"/>
      <c r="SYV2" s="24" t="n"/>
      <c r="SYW2" s="24" t="n"/>
      <c r="SYX2" s="24" t="n"/>
      <c r="SYY2" s="24" t="n"/>
      <c r="SYZ2" s="24" t="n"/>
      <c r="SZA2" s="24" t="n"/>
      <c r="SZB2" s="24" t="n"/>
      <c r="SZC2" s="24" t="n"/>
      <c r="SZD2" s="24" t="n"/>
      <c r="SZE2" s="24" t="n"/>
      <c r="SZF2" s="24" t="n"/>
      <c r="SZG2" s="24" t="n"/>
      <c r="SZH2" s="24" t="n"/>
      <c r="SZI2" s="24" t="n"/>
      <c r="SZJ2" s="24" t="n"/>
      <c r="SZK2" s="24" t="n"/>
      <c r="SZL2" s="24" t="n"/>
      <c r="SZM2" s="24" t="n"/>
      <c r="SZN2" s="24" t="n"/>
      <c r="SZO2" s="24" t="n"/>
      <c r="SZP2" s="24" t="n"/>
      <c r="SZQ2" s="24" t="n"/>
      <c r="SZR2" s="24" t="n"/>
      <c r="SZS2" s="24" t="n"/>
      <c r="SZT2" s="24" t="n"/>
      <c r="SZU2" s="24" t="n"/>
      <c r="SZV2" s="24" t="n"/>
      <c r="SZW2" s="24" t="n"/>
      <c r="SZX2" s="24" t="n"/>
      <c r="SZY2" s="24" t="n"/>
      <c r="SZZ2" s="24" t="n"/>
      <c r="TAA2" s="24" t="n"/>
      <c r="TAB2" s="24" t="n"/>
      <c r="TAC2" s="24" t="n"/>
      <c r="TAD2" s="24" t="n"/>
      <c r="TAE2" s="24" t="n"/>
      <c r="TAF2" s="24" t="n"/>
      <c r="TAG2" s="24" t="n"/>
      <c r="TAH2" s="24" t="n"/>
      <c r="TAI2" s="24" t="n"/>
      <c r="TAJ2" s="24" t="n"/>
      <c r="TAK2" s="24" t="n"/>
      <c r="TAL2" s="24" t="n"/>
      <c r="TAM2" s="24" t="n"/>
      <c r="TAN2" s="24" t="n"/>
      <c r="TAO2" s="24" t="n"/>
      <c r="TAP2" s="24" t="n"/>
      <c r="TAQ2" s="24" t="n"/>
      <c r="TAR2" s="24" t="n"/>
      <c r="TAS2" s="24" t="n"/>
      <c r="TAT2" s="24" t="n"/>
      <c r="TAU2" s="24" t="n"/>
      <c r="TAV2" s="24" t="n"/>
      <c r="TAW2" s="24" t="n"/>
      <c r="TAX2" s="24" t="n"/>
      <c r="TAY2" s="24" t="n"/>
      <c r="TAZ2" s="24" t="n"/>
      <c r="TBA2" s="24" t="n"/>
      <c r="TBB2" s="24" t="n"/>
      <c r="TBC2" s="24" t="n"/>
      <c r="TBD2" s="24" t="n"/>
      <c r="TBE2" s="24" t="n"/>
      <c r="TBF2" s="24" t="n"/>
      <c r="TBG2" s="24" t="n"/>
      <c r="TBH2" s="24" t="n"/>
      <c r="TBI2" s="24" t="n"/>
      <c r="TBJ2" s="24" t="n"/>
      <c r="TBK2" s="24" t="n"/>
      <c r="TBL2" s="24" t="n"/>
      <c r="TBM2" s="24" t="n"/>
      <c r="TBN2" s="24" t="n"/>
      <c r="TBO2" s="24" t="n"/>
      <c r="TBP2" s="24" t="n"/>
      <c r="TBQ2" s="24" t="n"/>
      <c r="TBR2" s="24" t="n"/>
      <c r="TBS2" s="24" t="n"/>
      <c r="TBT2" s="24" t="n"/>
      <c r="TBU2" s="24" t="n"/>
      <c r="TBV2" s="24" t="n"/>
      <c r="TBW2" s="24" t="n"/>
      <c r="TBX2" s="24" t="n"/>
      <c r="TBY2" s="24" t="n"/>
      <c r="TBZ2" s="24" t="n"/>
      <c r="TCA2" s="24" t="n"/>
      <c r="TCB2" s="24" t="n"/>
      <c r="TCC2" s="24" t="n"/>
      <c r="TCD2" s="24" t="n"/>
      <c r="TCE2" s="24" t="n"/>
      <c r="TCF2" s="24" t="n"/>
      <c r="TCG2" s="24" t="n"/>
      <c r="TCH2" s="24" t="n"/>
      <c r="TCI2" s="24" t="n"/>
      <c r="TCJ2" s="24" t="n"/>
      <c r="TCK2" s="24" t="n"/>
      <c r="TCL2" s="24" t="n"/>
      <c r="TCM2" s="24" t="n"/>
      <c r="TCN2" s="24" t="n"/>
      <c r="TCO2" s="24" t="n"/>
      <c r="TCP2" s="24" t="n"/>
      <c r="TCQ2" s="24" t="n"/>
      <c r="TCR2" s="24" t="n"/>
      <c r="TCS2" s="24" t="n"/>
      <c r="TCT2" s="24" t="n"/>
      <c r="TCU2" s="24" t="n"/>
      <c r="TCV2" s="24" t="n"/>
      <c r="TCW2" s="24" t="n"/>
      <c r="TCX2" s="24" t="n"/>
      <c r="TCY2" s="24" t="n"/>
      <c r="TCZ2" s="24" t="n"/>
      <c r="TDA2" s="24" t="n"/>
      <c r="TDB2" s="24" t="n"/>
      <c r="TDC2" s="24" t="n"/>
      <c r="TDD2" s="24" t="n"/>
      <c r="TDE2" s="24" t="n"/>
      <c r="TDF2" s="24" t="n"/>
      <c r="TDG2" s="24" t="n"/>
      <c r="TDH2" s="24" t="n"/>
      <c r="TDI2" s="24" t="n"/>
      <c r="TDJ2" s="24" t="n"/>
      <c r="TDK2" s="24" t="n"/>
      <c r="TDL2" s="24" t="n"/>
      <c r="TDM2" s="24" t="n"/>
      <c r="TDN2" s="24" t="n"/>
      <c r="TDO2" s="24" t="n"/>
      <c r="TDP2" s="24" t="n"/>
      <c r="TDQ2" s="24" t="n"/>
      <c r="TDR2" s="24" t="n"/>
      <c r="TDS2" s="24" t="n"/>
      <c r="TDT2" s="24" t="n"/>
      <c r="TDU2" s="24" t="n"/>
      <c r="TDV2" s="24" t="n"/>
      <c r="TDW2" s="24" t="n"/>
      <c r="TDX2" s="24" t="n"/>
      <c r="TDY2" s="24" t="n"/>
      <c r="TDZ2" s="24" t="n"/>
      <c r="TEA2" s="24" t="n"/>
      <c r="TEB2" s="24" t="n"/>
      <c r="TEC2" s="24" t="n"/>
      <c r="TED2" s="24" t="n"/>
      <c r="TEE2" s="24" t="n"/>
      <c r="TEF2" s="24" t="n"/>
      <c r="TEG2" s="24" t="n"/>
      <c r="TEH2" s="24" t="n"/>
      <c r="TEI2" s="24" t="n"/>
      <c r="TEJ2" s="24" t="n"/>
      <c r="TEK2" s="24" t="n"/>
      <c r="TEL2" s="24" t="n"/>
      <c r="TEM2" s="24" t="n"/>
      <c r="TEN2" s="24" t="n"/>
      <c r="TEO2" s="24" t="n"/>
      <c r="TEP2" s="24" t="n"/>
      <c r="TEQ2" s="24" t="n"/>
      <c r="TER2" s="24" t="n"/>
      <c r="TES2" s="24" t="n"/>
      <c r="TET2" s="24" t="n"/>
      <c r="TEU2" s="24" t="n"/>
      <c r="TEV2" s="24" t="n"/>
      <c r="TEW2" s="24" t="n"/>
      <c r="TEX2" s="24" t="n"/>
      <c r="TEY2" s="24" t="n"/>
      <c r="TEZ2" s="24" t="n"/>
      <c r="TFA2" s="24" t="n"/>
      <c r="TFB2" s="24" t="n"/>
      <c r="TFC2" s="24" t="n"/>
      <c r="TFD2" s="24" t="n"/>
      <c r="TFE2" s="24" t="n"/>
      <c r="TFF2" s="24" t="n"/>
      <c r="TFG2" s="24" t="n"/>
      <c r="TFH2" s="24" t="n"/>
      <c r="TFI2" s="24" t="n"/>
      <c r="TFJ2" s="24" t="n"/>
      <c r="TFK2" s="24" t="n"/>
      <c r="TFL2" s="24" t="n"/>
      <c r="TFM2" s="24" t="n"/>
      <c r="TFN2" s="24" t="n"/>
      <c r="TFO2" s="24" t="n"/>
      <c r="TFP2" s="24" t="n"/>
      <c r="TFQ2" s="24" t="n"/>
      <c r="TFR2" s="24" t="n"/>
      <c r="TFS2" s="24" t="n"/>
      <c r="TFT2" s="24" t="n"/>
      <c r="TFU2" s="24" t="n"/>
      <c r="TFV2" s="24" t="n"/>
      <c r="TFW2" s="24" t="n"/>
      <c r="TFX2" s="24" t="n"/>
      <c r="TFY2" s="24" t="n"/>
      <c r="TFZ2" s="24" t="n"/>
      <c r="TGA2" s="24" t="n"/>
      <c r="TGB2" s="24" t="n"/>
      <c r="TGC2" s="24" t="n"/>
      <c r="TGD2" s="24" t="n"/>
      <c r="TGE2" s="24" t="n"/>
      <c r="TGF2" s="24" t="n"/>
      <c r="TGG2" s="24" t="n"/>
      <c r="TGH2" s="24" t="n"/>
      <c r="TGI2" s="24" t="n"/>
      <c r="TGJ2" s="24" t="n"/>
      <c r="TGK2" s="24" t="n"/>
      <c r="TGL2" s="24" t="n"/>
      <c r="TGM2" s="24" t="n"/>
      <c r="TGN2" s="24" t="n"/>
      <c r="TGO2" s="24" t="n"/>
      <c r="TGP2" s="24" t="n"/>
      <c r="TGQ2" s="24" t="n"/>
      <c r="TGR2" s="24" t="n"/>
      <c r="TGS2" s="24" t="n"/>
      <c r="TGT2" s="24" t="n"/>
      <c r="TGU2" s="24" t="n"/>
      <c r="TGV2" s="24" t="n"/>
      <c r="TGW2" s="24" t="n"/>
      <c r="TGX2" s="24" t="n"/>
      <c r="TGY2" s="24" t="n"/>
      <c r="TGZ2" s="24" t="n"/>
      <c r="THA2" s="24" t="n"/>
      <c r="THB2" s="24" t="n"/>
      <c r="THC2" s="24" t="n"/>
      <c r="THD2" s="24" t="n"/>
      <c r="THE2" s="24" t="n"/>
      <c r="THF2" s="24" t="n"/>
      <c r="THG2" s="24" t="n"/>
      <c r="THH2" s="24" t="n"/>
      <c r="THI2" s="24" t="n"/>
      <c r="THJ2" s="24" t="n"/>
      <c r="THK2" s="24" t="n"/>
      <c r="THL2" s="24" t="n"/>
      <c r="THM2" s="24" t="n"/>
      <c r="THN2" s="24" t="n"/>
      <c r="THO2" s="24" t="n"/>
      <c r="THP2" s="24" t="n"/>
      <c r="THQ2" s="24" t="n"/>
      <c r="THR2" s="24" t="n"/>
      <c r="THS2" s="24" t="n"/>
      <c r="THT2" s="24" t="n"/>
      <c r="THU2" s="24" t="n"/>
      <c r="THV2" s="24" t="n"/>
      <c r="THW2" s="24" t="n"/>
      <c r="THX2" s="24" t="n"/>
      <c r="THY2" s="24" t="n"/>
      <c r="THZ2" s="24" t="n"/>
      <c r="TIA2" s="24" t="n"/>
      <c r="TIB2" s="24" t="n"/>
      <c r="TIC2" s="24" t="n"/>
      <c r="TID2" s="24" t="n"/>
      <c r="TIE2" s="24" t="n"/>
      <c r="TIF2" s="24" t="n"/>
      <c r="TIG2" s="24" t="n"/>
      <c r="TIH2" s="24" t="n"/>
      <c r="TII2" s="24" t="n"/>
      <c r="TIJ2" s="24" t="n"/>
      <c r="TIK2" s="24" t="n"/>
      <c r="TIL2" s="24" t="n"/>
      <c r="TIM2" s="24" t="n"/>
      <c r="TIN2" s="24" t="n"/>
      <c r="TIO2" s="24" t="n"/>
      <c r="TIP2" s="24" t="n"/>
      <c r="TIQ2" s="24" t="n"/>
      <c r="TIR2" s="24" t="n"/>
      <c r="TIS2" s="24" t="n"/>
      <c r="TIT2" s="24" t="n"/>
      <c r="TIU2" s="24" t="n"/>
      <c r="TIV2" s="24" t="n"/>
      <c r="TIW2" s="24" t="n"/>
      <c r="TIX2" s="24" t="n"/>
      <c r="TIY2" s="24" t="n"/>
      <c r="TIZ2" s="24" t="n"/>
      <c r="TJA2" s="24" t="n"/>
      <c r="TJB2" s="24" t="n"/>
      <c r="TJC2" s="24" t="n"/>
      <c r="TJD2" s="24" t="n"/>
      <c r="TJE2" s="24" t="n"/>
      <c r="TJF2" s="24" t="n"/>
      <c r="TJG2" s="24" t="n"/>
      <c r="TJH2" s="24" t="n"/>
      <c r="TJI2" s="24" t="n"/>
      <c r="TJJ2" s="24" t="n"/>
      <c r="TJK2" s="24" t="n"/>
      <c r="TJL2" s="24" t="n"/>
      <c r="TJM2" s="24" t="n"/>
      <c r="TJN2" s="24" t="n"/>
      <c r="TJO2" s="24" t="n"/>
      <c r="TJP2" s="24" t="n"/>
      <c r="TJQ2" s="24" t="n"/>
      <c r="TJR2" s="24" t="n"/>
      <c r="TJS2" s="24" t="n"/>
      <c r="TJT2" s="24" t="n"/>
      <c r="TJU2" s="24" t="n"/>
      <c r="TJV2" s="24" t="n"/>
      <c r="TJW2" s="24" t="n"/>
      <c r="TJX2" s="24" t="n"/>
      <c r="TJY2" s="24" t="n"/>
      <c r="TJZ2" s="24" t="n"/>
      <c r="TKA2" s="24" t="n"/>
      <c r="TKB2" s="24" t="n"/>
      <c r="TKC2" s="24" t="n"/>
      <c r="TKD2" s="24" t="n"/>
      <c r="TKE2" s="24" t="n"/>
      <c r="TKF2" s="24" t="n"/>
      <c r="TKG2" s="24" t="n"/>
      <c r="TKH2" s="24" t="n"/>
      <c r="TKI2" s="24" t="n"/>
      <c r="TKJ2" s="24" t="n"/>
      <c r="TKK2" s="24" t="n"/>
      <c r="TKL2" s="24" t="n"/>
      <c r="TKM2" s="24" t="n"/>
      <c r="TKN2" s="24" t="n"/>
      <c r="TKO2" s="24" t="n"/>
      <c r="TKP2" s="24" t="n"/>
      <c r="TKQ2" s="24" t="n"/>
      <c r="TKR2" s="24" t="n"/>
      <c r="TKS2" s="24" t="n"/>
      <c r="TKT2" s="24" t="n"/>
      <c r="TKU2" s="24" t="n"/>
      <c r="TKV2" s="24" t="n"/>
      <c r="TKW2" s="24" t="n"/>
      <c r="TKX2" s="24" t="n"/>
      <c r="TKY2" s="24" t="n"/>
      <c r="TKZ2" s="24" t="n"/>
      <c r="TLA2" s="24" t="n"/>
      <c r="TLB2" s="24" t="n"/>
      <c r="TLC2" s="24" t="n"/>
      <c r="TLD2" s="24" t="n"/>
      <c r="TLE2" s="24" t="n"/>
      <c r="TLF2" s="24" t="n"/>
      <c r="TLG2" s="24" t="n"/>
      <c r="TLH2" s="24" t="n"/>
      <c r="TLI2" s="24" t="n"/>
      <c r="TLJ2" s="24" t="n"/>
      <c r="TLK2" s="24" t="n"/>
      <c r="TLL2" s="24" t="n"/>
      <c r="TLM2" s="24" t="n"/>
      <c r="TLN2" s="24" t="n"/>
      <c r="TLO2" s="24" t="n"/>
      <c r="TLP2" s="24" t="n"/>
      <c r="TLQ2" s="24" t="n"/>
      <c r="TLR2" s="24" t="n"/>
      <c r="TLS2" s="24" t="n"/>
      <c r="TLT2" s="24" t="n"/>
      <c r="TLU2" s="24" t="n"/>
      <c r="TLV2" s="24" t="n"/>
      <c r="TLW2" s="24" t="n"/>
      <c r="TLX2" s="24" t="n"/>
      <c r="TLY2" s="24" t="n"/>
      <c r="TLZ2" s="24" t="n"/>
      <c r="TMA2" s="24" t="n"/>
      <c r="TMB2" s="24" t="n"/>
      <c r="TMC2" s="24" t="n"/>
      <c r="TMD2" s="24" t="n"/>
      <c r="TME2" s="24" t="n"/>
      <c r="TMF2" s="24" t="n"/>
      <c r="TMG2" s="24" t="n"/>
      <c r="TMH2" s="24" t="n"/>
      <c r="TMI2" s="24" t="n"/>
      <c r="TMJ2" s="24" t="n"/>
      <c r="TMK2" s="24" t="n"/>
      <c r="TML2" s="24" t="n"/>
      <c r="TMM2" s="24" t="n"/>
      <c r="TMN2" s="24" t="n"/>
      <c r="TMO2" s="24" t="n"/>
      <c r="TMP2" s="24" t="n"/>
      <c r="TMQ2" s="24" t="n"/>
      <c r="TMR2" s="24" t="n"/>
      <c r="TMS2" s="24" t="n"/>
      <c r="TMT2" s="24" t="n"/>
      <c r="TMU2" s="24" t="n"/>
      <c r="TMV2" s="24" t="n"/>
      <c r="TMW2" s="24" t="n"/>
      <c r="TMX2" s="24" t="n"/>
      <c r="TMY2" s="24" t="n"/>
      <c r="TMZ2" s="24" t="n"/>
      <c r="TNA2" s="24" t="n"/>
      <c r="TNB2" s="24" t="n"/>
      <c r="TNC2" s="24" t="n"/>
      <c r="TND2" s="24" t="n"/>
      <c r="TNE2" s="24" t="n"/>
      <c r="TNF2" s="24" t="n"/>
      <c r="TNG2" s="24" t="n"/>
      <c r="TNH2" s="24" t="n"/>
      <c r="TNI2" s="24" t="n"/>
      <c r="TNJ2" s="24" t="n"/>
      <c r="TNK2" s="24" t="n"/>
      <c r="TNL2" s="24" t="n"/>
      <c r="TNM2" s="24" t="n"/>
      <c r="TNN2" s="24" t="n"/>
      <c r="TNO2" s="24" t="n"/>
      <c r="TNP2" s="24" t="n"/>
      <c r="TNQ2" s="24" t="n"/>
      <c r="TNR2" s="24" t="n"/>
      <c r="TNS2" s="24" t="n"/>
      <c r="TNT2" s="24" t="n"/>
      <c r="TNU2" s="24" t="n"/>
      <c r="TNV2" s="24" t="n"/>
      <c r="TNW2" s="24" t="n"/>
      <c r="TNX2" s="24" t="n"/>
      <c r="TNY2" s="24" t="n"/>
      <c r="TNZ2" s="24" t="n"/>
      <c r="TOA2" s="24" t="n"/>
      <c r="TOB2" s="24" t="n"/>
      <c r="TOC2" s="24" t="n"/>
      <c r="TOD2" s="24" t="n"/>
      <c r="TOE2" s="24" t="n"/>
      <c r="TOF2" s="24" t="n"/>
      <c r="TOG2" s="24" t="n"/>
      <c r="TOH2" s="24" t="n"/>
      <c r="TOI2" s="24" t="n"/>
      <c r="TOJ2" s="24" t="n"/>
      <c r="TOK2" s="24" t="n"/>
      <c r="TOL2" s="24" t="n"/>
      <c r="TOM2" s="24" t="n"/>
      <c r="TON2" s="24" t="n"/>
      <c r="TOO2" s="24" t="n"/>
      <c r="TOP2" s="24" t="n"/>
      <c r="TOQ2" s="24" t="n"/>
      <c r="TOR2" s="24" t="n"/>
      <c r="TOS2" s="24" t="n"/>
      <c r="TOT2" s="24" t="n"/>
      <c r="TOU2" s="24" t="n"/>
      <c r="TOV2" s="24" t="n"/>
      <c r="TOW2" s="24" t="n"/>
      <c r="TOX2" s="24" t="n"/>
      <c r="TOY2" s="24" t="n"/>
      <c r="TOZ2" s="24" t="n"/>
      <c r="TPA2" s="24" t="n"/>
      <c r="TPB2" s="24" t="n"/>
      <c r="TPC2" s="24" t="n"/>
      <c r="TPD2" s="24" t="n"/>
      <c r="TPE2" s="24" t="n"/>
      <c r="TPF2" s="24" t="n"/>
      <c r="TPG2" s="24" t="n"/>
      <c r="TPH2" s="24" t="n"/>
      <c r="TPI2" s="24" t="n"/>
      <c r="TPJ2" s="24" t="n"/>
      <c r="TPK2" s="24" t="n"/>
      <c r="TPL2" s="24" t="n"/>
      <c r="TPM2" s="24" t="n"/>
      <c r="TPN2" s="24" t="n"/>
      <c r="TPO2" s="24" t="n"/>
      <c r="TPP2" s="24" t="n"/>
      <c r="TPQ2" s="24" t="n"/>
      <c r="TPR2" s="24" t="n"/>
      <c r="TPS2" s="24" t="n"/>
      <c r="TPT2" s="24" t="n"/>
      <c r="TPU2" s="24" t="n"/>
      <c r="TPV2" s="24" t="n"/>
      <c r="TPW2" s="24" t="n"/>
      <c r="TPX2" s="24" t="n"/>
      <c r="TPY2" s="24" t="n"/>
      <c r="TPZ2" s="24" t="n"/>
      <c r="TQA2" s="24" t="n"/>
      <c r="TQB2" s="24" t="n"/>
      <c r="TQC2" s="24" t="n"/>
      <c r="TQD2" s="24" t="n"/>
      <c r="TQE2" s="24" t="n"/>
      <c r="TQF2" s="24" t="n"/>
      <c r="TQG2" s="24" t="n"/>
      <c r="TQH2" s="24" t="n"/>
      <c r="TQI2" s="24" t="n"/>
      <c r="TQJ2" s="24" t="n"/>
      <c r="TQK2" s="24" t="n"/>
      <c r="TQL2" s="24" t="n"/>
      <c r="TQM2" s="24" t="n"/>
      <c r="TQN2" s="24" t="n"/>
      <c r="TQO2" s="24" t="n"/>
      <c r="TQP2" s="24" t="n"/>
      <c r="TQQ2" s="24" t="n"/>
      <c r="TQR2" s="24" t="n"/>
      <c r="TQS2" s="24" t="n"/>
      <c r="TQT2" s="24" t="n"/>
      <c r="TQU2" s="24" t="n"/>
      <c r="TQV2" s="24" t="n"/>
      <c r="TQW2" s="24" t="n"/>
      <c r="TQX2" s="24" t="n"/>
      <c r="TQY2" s="24" t="n"/>
      <c r="TQZ2" s="24" t="n"/>
      <c r="TRA2" s="24" t="n"/>
      <c r="TRB2" s="24" t="n"/>
      <c r="TRC2" s="24" t="n"/>
      <c r="TRD2" s="24" t="n"/>
      <c r="TRE2" s="24" t="n"/>
      <c r="TRF2" s="24" t="n"/>
      <c r="TRG2" s="24" t="n"/>
      <c r="TRH2" s="24" t="n"/>
      <c r="TRI2" s="24" t="n"/>
      <c r="TRJ2" s="24" t="n"/>
      <c r="TRK2" s="24" t="n"/>
      <c r="TRL2" s="24" t="n"/>
      <c r="TRM2" s="24" t="n"/>
      <c r="TRN2" s="24" t="n"/>
      <c r="TRO2" s="24" t="n"/>
      <c r="TRP2" s="24" t="n"/>
      <c r="TRQ2" s="24" t="n"/>
      <c r="TRR2" s="24" t="n"/>
      <c r="TRS2" s="24" t="n"/>
      <c r="TRT2" s="24" t="n"/>
      <c r="TRU2" s="24" t="n"/>
      <c r="TRV2" s="24" t="n"/>
      <c r="TRW2" s="24" t="n"/>
      <c r="TRX2" s="24" t="n"/>
      <c r="TRY2" s="24" t="n"/>
      <c r="TRZ2" s="24" t="n"/>
      <c r="TSA2" s="24" t="n"/>
      <c r="TSB2" s="24" t="n"/>
      <c r="TSC2" s="24" t="n"/>
      <c r="TSD2" s="24" t="n"/>
      <c r="TSE2" s="24" t="n"/>
      <c r="TSF2" s="24" t="n"/>
      <c r="TSG2" s="24" t="n"/>
      <c r="TSH2" s="24" t="n"/>
      <c r="TSI2" s="24" t="n"/>
      <c r="TSJ2" s="24" t="n"/>
      <c r="TSK2" s="24" t="n"/>
      <c r="TSL2" s="24" t="n"/>
      <c r="TSM2" s="24" t="n"/>
      <c r="TSN2" s="24" t="n"/>
      <c r="TSO2" s="24" t="n"/>
      <c r="TSP2" s="24" t="n"/>
      <c r="TSQ2" s="24" t="n"/>
      <c r="TSR2" s="24" t="n"/>
      <c r="TSS2" s="24" t="n"/>
      <c r="TST2" s="24" t="n"/>
      <c r="TSU2" s="24" t="n"/>
      <c r="TSV2" s="24" t="n"/>
      <c r="TSW2" s="24" t="n"/>
      <c r="TSX2" s="24" t="n"/>
      <c r="TSY2" s="24" t="n"/>
      <c r="TSZ2" s="24" t="n"/>
      <c r="TTA2" s="24" t="n"/>
      <c r="TTB2" s="24" t="n"/>
      <c r="TTC2" s="24" t="n"/>
      <c r="TTD2" s="24" t="n"/>
      <c r="TTE2" s="24" t="n"/>
      <c r="TTF2" s="24" t="n"/>
      <c r="TTG2" s="24" t="n"/>
      <c r="TTH2" s="24" t="n"/>
      <c r="TTI2" s="24" t="n"/>
      <c r="TTJ2" s="24" t="n"/>
      <c r="TTK2" s="24" t="n"/>
      <c r="TTL2" s="24" t="n"/>
      <c r="TTM2" s="24" t="n"/>
      <c r="TTN2" s="24" t="n"/>
      <c r="TTO2" s="24" t="n"/>
      <c r="TTP2" s="24" t="n"/>
      <c r="TTQ2" s="24" t="n"/>
      <c r="TTR2" s="24" t="n"/>
      <c r="TTS2" s="24" t="n"/>
      <c r="TTT2" s="24" t="n"/>
      <c r="TTU2" s="24" t="n"/>
      <c r="TTV2" s="24" t="n"/>
      <c r="TTW2" s="24" t="n"/>
      <c r="TTX2" s="24" t="n"/>
      <c r="TTY2" s="24" t="n"/>
      <c r="TTZ2" s="24" t="n"/>
      <c r="TUA2" s="24" t="n"/>
      <c r="TUB2" s="24" t="n"/>
      <c r="TUC2" s="24" t="n"/>
      <c r="TUD2" s="24" t="n"/>
      <c r="TUE2" s="24" t="n"/>
      <c r="TUF2" s="24" t="n"/>
      <c r="TUG2" s="24" t="n"/>
      <c r="TUH2" s="24" t="n"/>
      <c r="TUI2" s="24" t="n"/>
      <c r="TUJ2" s="24" t="n"/>
      <c r="TUK2" s="24" t="n"/>
      <c r="TUL2" s="24" t="n"/>
      <c r="TUM2" s="24" t="n"/>
      <c r="TUN2" s="24" t="n"/>
      <c r="TUO2" s="24" t="n"/>
      <c r="TUP2" s="24" t="n"/>
      <c r="TUQ2" s="24" t="n"/>
      <c r="TUR2" s="24" t="n"/>
      <c r="TUS2" s="24" t="n"/>
      <c r="TUT2" s="24" t="n"/>
      <c r="TUU2" s="24" t="n"/>
      <c r="TUV2" s="24" t="n"/>
      <c r="TUW2" s="24" t="n"/>
      <c r="TUX2" s="24" t="n"/>
      <c r="TUY2" s="24" t="n"/>
      <c r="TUZ2" s="24" t="n"/>
      <c r="TVA2" s="24" t="n"/>
      <c r="TVB2" s="24" t="n"/>
      <c r="TVC2" s="24" t="n"/>
      <c r="TVD2" s="24" t="n"/>
      <c r="TVE2" s="24" t="n"/>
      <c r="TVF2" s="24" t="n"/>
      <c r="TVG2" s="24" t="n"/>
      <c r="TVH2" s="24" t="n"/>
      <c r="TVI2" s="24" t="n"/>
      <c r="TVJ2" s="24" t="n"/>
      <c r="TVK2" s="24" t="n"/>
      <c r="TVL2" s="24" t="n"/>
      <c r="TVM2" s="24" t="n"/>
      <c r="TVN2" s="24" t="n"/>
      <c r="TVO2" s="24" t="n"/>
      <c r="TVP2" s="24" t="n"/>
      <c r="TVQ2" s="24" t="n"/>
      <c r="TVR2" s="24" t="n"/>
      <c r="TVS2" s="24" t="n"/>
      <c r="TVT2" s="24" t="n"/>
      <c r="TVU2" s="24" t="n"/>
      <c r="TVV2" s="24" t="n"/>
      <c r="TVW2" s="24" t="n"/>
      <c r="TVX2" s="24" t="n"/>
      <c r="TVY2" s="24" t="n"/>
      <c r="TVZ2" s="24" t="n"/>
      <c r="TWA2" s="24" t="n"/>
      <c r="TWB2" s="24" t="n"/>
      <c r="TWC2" s="24" t="n"/>
      <c r="TWD2" s="24" t="n"/>
      <c r="TWE2" s="24" t="n"/>
      <c r="TWF2" s="24" t="n"/>
      <c r="TWG2" s="24" t="n"/>
      <c r="TWH2" s="24" t="n"/>
      <c r="TWI2" s="24" t="n"/>
      <c r="TWJ2" s="24" t="n"/>
      <c r="TWK2" s="24" t="n"/>
      <c r="TWL2" s="24" t="n"/>
      <c r="TWM2" s="24" t="n"/>
      <c r="TWN2" s="24" t="n"/>
      <c r="TWO2" s="24" t="n"/>
      <c r="TWP2" s="24" t="n"/>
      <c r="TWQ2" s="24" t="n"/>
      <c r="TWR2" s="24" t="n"/>
      <c r="TWS2" s="24" t="n"/>
      <c r="TWT2" s="24" t="n"/>
      <c r="TWU2" s="24" t="n"/>
      <c r="TWV2" s="24" t="n"/>
      <c r="TWW2" s="24" t="n"/>
      <c r="TWX2" s="24" t="n"/>
      <c r="TWY2" s="24" t="n"/>
      <c r="TWZ2" s="24" t="n"/>
      <c r="TXA2" s="24" t="n"/>
      <c r="TXB2" s="24" t="n"/>
      <c r="TXC2" s="24" t="n"/>
      <c r="TXD2" s="24" t="n"/>
      <c r="TXE2" s="24" t="n"/>
      <c r="TXF2" s="24" t="n"/>
      <c r="TXG2" s="24" t="n"/>
      <c r="TXH2" s="24" t="n"/>
      <c r="TXI2" s="24" t="n"/>
      <c r="TXJ2" s="24" t="n"/>
      <c r="TXK2" s="24" t="n"/>
      <c r="TXL2" s="24" t="n"/>
      <c r="TXM2" s="24" t="n"/>
      <c r="TXN2" s="24" t="n"/>
      <c r="TXO2" s="24" t="n"/>
      <c r="TXP2" s="24" t="n"/>
      <c r="TXQ2" s="24" t="n"/>
      <c r="TXR2" s="24" t="n"/>
      <c r="TXS2" s="24" t="n"/>
      <c r="TXT2" s="24" t="n"/>
      <c r="TXU2" s="24" t="n"/>
      <c r="TXV2" s="24" t="n"/>
      <c r="TXW2" s="24" t="n"/>
      <c r="TXX2" s="24" t="n"/>
      <c r="TXY2" s="24" t="n"/>
      <c r="TXZ2" s="24" t="n"/>
      <c r="TYA2" s="24" t="n"/>
      <c r="TYB2" s="24" t="n"/>
      <c r="TYC2" s="24" t="n"/>
      <c r="TYD2" s="24" t="n"/>
      <c r="TYE2" s="24" t="n"/>
      <c r="TYF2" s="24" t="n"/>
      <c r="TYG2" s="24" t="n"/>
      <c r="TYH2" s="24" t="n"/>
      <c r="TYI2" s="24" t="n"/>
      <c r="TYJ2" s="24" t="n"/>
      <c r="TYK2" s="24" t="n"/>
      <c r="TYL2" s="24" t="n"/>
      <c r="TYM2" s="24" t="n"/>
      <c r="TYN2" s="24" t="n"/>
      <c r="TYO2" s="24" t="n"/>
      <c r="TYP2" s="24" t="n"/>
      <c r="TYQ2" s="24" t="n"/>
      <c r="TYR2" s="24" t="n"/>
      <c r="TYS2" s="24" t="n"/>
      <c r="TYT2" s="24" t="n"/>
      <c r="TYU2" s="24" t="n"/>
      <c r="TYV2" s="24" t="n"/>
      <c r="TYW2" s="24" t="n"/>
      <c r="TYX2" s="24" t="n"/>
      <c r="TYY2" s="24" t="n"/>
      <c r="TYZ2" s="24" t="n"/>
      <c r="TZA2" s="24" t="n"/>
      <c r="TZB2" s="24" t="n"/>
      <c r="TZC2" s="24" t="n"/>
      <c r="TZD2" s="24" t="n"/>
      <c r="TZE2" s="24" t="n"/>
      <c r="TZF2" s="24" t="n"/>
      <c r="TZG2" s="24" t="n"/>
      <c r="TZH2" s="24" t="n"/>
      <c r="TZI2" s="24" t="n"/>
      <c r="TZJ2" s="24" t="n"/>
      <c r="TZK2" s="24" t="n"/>
      <c r="TZL2" s="24" t="n"/>
      <c r="TZM2" s="24" t="n"/>
      <c r="TZN2" s="24" t="n"/>
      <c r="TZO2" s="24" t="n"/>
      <c r="TZP2" s="24" t="n"/>
      <c r="TZQ2" s="24" t="n"/>
      <c r="TZR2" s="24" t="n"/>
      <c r="TZS2" s="24" t="n"/>
      <c r="TZT2" s="24" t="n"/>
      <c r="TZU2" s="24" t="n"/>
      <c r="TZV2" s="24" t="n"/>
      <c r="TZW2" s="24" t="n"/>
      <c r="TZX2" s="24" t="n"/>
      <c r="TZY2" s="24" t="n"/>
      <c r="TZZ2" s="24" t="n"/>
      <c r="UAA2" s="24" t="n"/>
      <c r="UAB2" s="24" t="n"/>
      <c r="UAC2" s="24" t="n"/>
      <c r="UAD2" s="24" t="n"/>
      <c r="UAE2" s="24" t="n"/>
      <c r="UAF2" s="24" t="n"/>
      <c r="UAG2" s="24" t="n"/>
      <c r="UAH2" s="24" t="n"/>
      <c r="UAI2" s="24" t="n"/>
      <c r="UAJ2" s="24" t="n"/>
      <c r="UAK2" s="24" t="n"/>
      <c r="UAL2" s="24" t="n"/>
      <c r="UAM2" s="24" t="n"/>
      <c r="UAN2" s="24" t="n"/>
      <c r="UAO2" s="24" t="n"/>
      <c r="UAP2" s="24" t="n"/>
      <c r="UAQ2" s="24" t="n"/>
      <c r="UAR2" s="24" t="n"/>
      <c r="UAS2" s="24" t="n"/>
      <c r="UAT2" s="24" t="n"/>
      <c r="UAU2" s="24" t="n"/>
      <c r="UAV2" s="24" t="n"/>
      <c r="UAW2" s="24" t="n"/>
      <c r="UAX2" s="24" t="n"/>
      <c r="UAY2" s="24" t="n"/>
      <c r="UAZ2" s="24" t="n"/>
      <c r="UBA2" s="24" t="n"/>
      <c r="UBB2" s="24" t="n"/>
      <c r="UBC2" s="24" t="n"/>
      <c r="UBD2" s="24" t="n"/>
      <c r="UBE2" s="24" t="n"/>
      <c r="UBF2" s="24" t="n"/>
      <c r="UBG2" s="24" t="n"/>
      <c r="UBH2" s="24" t="n"/>
      <c r="UBI2" s="24" t="n"/>
      <c r="UBJ2" s="24" t="n"/>
      <c r="UBK2" s="24" t="n"/>
      <c r="UBL2" s="24" t="n"/>
      <c r="UBM2" s="24" t="n"/>
      <c r="UBN2" s="24" t="n"/>
      <c r="UBO2" s="24" t="n"/>
      <c r="UBP2" s="24" t="n"/>
      <c r="UBQ2" s="24" t="n"/>
      <c r="UBR2" s="24" t="n"/>
      <c r="UBS2" s="24" t="n"/>
      <c r="UBT2" s="24" t="n"/>
      <c r="UBU2" s="24" t="n"/>
      <c r="UBV2" s="24" t="n"/>
      <c r="UBW2" s="24" t="n"/>
      <c r="UBX2" s="24" t="n"/>
      <c r="UBY2" s="24" t="n"/>
      <c r="UBZ2" s="24" t="n"/>
      <c r="UCA2" s="24" t="n"/>
      <c r="UCB2" s="24" t="n"/>
      <c r="UCC2" s="24" t="n"/>
      <c r="UCD2" s="24" t="n"/>
      <c r="UCE2" s="24" t="n"/>
      <c r="UCF2" s="24" t="n"/>
      <c r="UCG2" s="24" t="n"/>
      <c r="UCH2" s="24" t="n"/>
      <c r="UCI2" s="24" t="n"/>
      <c r="UCJ2" s="24" t="n"/>
      <c r="UCK2" s="24" t="n"/>
      <c r="UCL2" s="24" t="n"/>
      <c r="UCM2" s="24" t="n"/>
      <c r="UCN2" s="24" t="n"/>
      <c r="UCO2" s="24" t="n"/>
      <c r="UCP2" s="24" t="n"/>
      <c r="UCQ2" s="24" t="n"/>
      <c r="UCR2" s="24" t="n"/>
      <c r="UCS2" s="24" t="n"/>
      <c r="UCT2" s="24" t="n"/>
      <c r="UCU2" s="24" t="n"/>
      <c r="UCV2" s="24" t="n"/>
      <c r="UCW2" s="24" t="n"/>
      <c r="UCX2" s="24" t="n"/>
      <c r="UCY2" s="24" t="n"/>
      <c r="UCZ2" s="24" t="n"/>
      <c r="UDA2" s="24" t="n"/>
      <c r="UDB2" s="24" t="n"/>
      <c r="UDC2" s="24" t="n"/>
      <c r="UDD2" s="24" t="n"/>
      <c r="UDE2" s="24" t="n"/>
      <c r="UDF2" s="24" t="n"/>
      <c r="UDG2" s="24" t="n"/>
      <c r="UDH2" s="24" t="n"/>
      <c r="UDI2" s="24" t="n"/>
      <c r="UDJ2" s="24" t="n"/>
      <c r="UDK2" s="24" t="n"/>
      <c r="UDL2" s="24" t="n"/>
      <c r="UDM2" s="24" t="n"/>
      <c r="UDN2" s="24" t="n"/>
      <c r="UDO2" s="24" t="n"/>
      <c r="UDP2" s="24" t="n"/>
      <c r="UDQ2" s="24" t="n"/>
      <c r="UDR2" s="24" t="n"/>
      <c r="UDS2" s="24" t="n"/>
      <c r="UDT2" s="24" t="n"/>
      <c r="UDU2" s="24" t="n"/>
      <c r="UDV2" s="24" t="n"/>
      <c r="UDW2" s="24" t="n"/>
      <c r="UDX2" s="24" t="n"/>
      <c r="UDY2" s="24" t="n"/>
      <c r="UDZ2" s="24" t="n"/>
      <c r="UEA2" s="24" t="n"/>
      <c r="UEB2" s="24" t="n"/>
      <c r="UEC2" s="24" t="n"/>
      <c r="UED2" s="24" t="n"/>
      <c r="UEE2" s="24" t="n"/>
      <c r="UEF2" s="24" t="n"/>
      <c r="UEG2" s="24" t="n"/>
      <c r="UEH2" s="24" t="n"/>
      <c r="UEI2" s="24" t="n"/>
      <c r="UEJ2" s="24" t="n"/>
      <c r="UEK2" s="24" t="n"/>
      <c r="UEL2" s="24" t="n"/>
      <c r="UEM2" s="24" t="n"/>
      <c r="UEN2" s="24" t="n"/>
      <c r="UEO2" s="24" t="n"/>
      <c r="UEP2" s="24" t="n"/>
      <c r="UEQ2" s="24" t="n"/>
      <c r="UER2" s="24" t="n"/>
      <c r="UES2" s="24" t="n"/>
      <c r="UET2" s="24" t="n"/>
      <c r="UEU2" s="24" t="n"/>
      <c r="UEV2" s="24" t="n"/>
      <c r="UEW2" s="24" t="n"/>
      <c r="UEX2" s="24" t="n"/>
      <c r="UEY2" s="24" t="n"/>
      <c r="UEZ2" s="24" t="n"/>
      <c r="UFA2" s="24" t="n"/>
      <c r="UFB2" s="24" t="n"/>
      <c r="UFC2" s="24" t="n"/>
      <c r="UFD2" s="24" t="n"/>
      <c r="UFE2" s="24" t="n"/>
      <c r="UFF2" s="24" t="n"/>
      <c r="UFG2" s="24" t="n"/>
      <c r="UFH2" s="24" t="n"/>
      <c r="UFI2" s="24" t="n"/>
      <c r="UFJ2" s="24" t="n"/>
      <c r="UFK2" s="24" t="n"/>
      <c r="UFL2" s="24" t="n"/>
      <c r="UFM2" s="24" t="n"/>
      <c r="UFN2" s="24" t="n"/>
      <c r="UFO2" s="24" t="n"/>
      <c r="UFP2" s="24" t="n"/>
      <c r="UFQ2" s="24" t="n"/>
      <c r="UFR2" s="24" t="n"/>
      <c r="UFS2" s="24" t="n"/>
      <c r="UFT2" s="24" t="n"/>
      <c r="UFU2" s="24" t="n"/>
      <c r="UFV2" s="24" t="n"/>
      <c r="UFW2" s="24" t="n"/>
      <c r="UFX2" s="24" t="n"/>
      <c r="UFY2" s="24" t="n"/>
      <c r="UFZ2" s="24" t="n"/>
      <c r="UGA2" s="24" t="n"/>
      <c r="UGB2" s="24" t="n"/>
      <c r="UGC2" s="24" t="n"/>
      <c r="UGD2" s="24" t="n"/>
      <c r="UGE2" s="24" t="n"/>
      <c r="UGF2" s="24" t="n"/>
      <c r="UGG2" s="24" t="n"/>
      <c r="UGH2" s="24" t="n"/>
      <c r="UGI2" s="24" t="n"/>
      <c r="UGJ2" s="24" t="n"/>
      <c r="UGK2" s="24" t="n"/>
      <c r="UGL2" s="24" t="n"/>
      <c r="UGM2" s="24" t="n"/>
      <c r="UGN2" s="24" t="n"/>
      <c r="UGO2" s="24" t="n"/>
      <c r="UGP2" s="24" t="n"/>
      <c r="UGQ2" s="24" t="n"/>
      <c r="UGR2" s="24" t="n"/>
      <c r="UGS2" s="24" t="n"/>
      <c r="UGT2" s="24" t="n"/>
      <c r="UGU2" s="24" t="n"/>
      <c r="UGV2" s="24" t="n"/>
      <c r="UGW2" s="24" t="n"/>
      <c r="UGX2" s="24" t="n"/>
      <c r="UGY2" s="24" t="n"/>
      <c r="UGZ2" s="24" t="n"/>
      <c r="UHA2" s="24" t="n"/>
      <c r="UHB2" s="24" t="n"/>
      <c r="UHC2" s="24" t="n"/>
      <c r="UHD2" s="24" t="n"/>
      <c r="UHE2" s="24" t="n"/>
      <c r="UHF2" s="24" t="n"/>
      <c r="UHG2" s="24" t="n"/>
      <c r="UHH2" s="24" t="n"/>
      <c r="UHI2" s="24" t="n"/>
      <c r="UHJ2" s="24" t="n"/>
      <c r="UHK2" s="24" t="n"/>
      <c r="UHL2" s="24" t="n"/>
      <c r="UHM2" s="24" t="n"/>
      <c r="UHN2" s="24" t="n"/>
      <c r="UHO2" s="24" t="n"/>
      <c r="UHP2" s="24" t="n"/>
      <c r="UHQ2" s="24" t="n"/>
      <c r="UHR2" s="24" t="n"/>
      <c r="UHS2" s="24" t="n"/>
      <c r="UHT2" s="24" t="n"/>
      <c r="UHU2" s="24" t="n"/>
      <c r="UHV2" s="24" t="n"/>
      <c r="UHW2" s="24" t="n"/>
      <c r="UHX2" s="24" t="n"/>
      <c r="UHY2" s="24" t="n"/>
      <c r="UHZ2" s="24" t="n"/>
      <c r="UIA2" s="24" t="n"/>
      <c r="UIB2" s="24" t="n"/>
      <c r="UIC2" s="24" t="n"/>
      <c r="UID2" s="24" t="n"/>
      <c r="UIE2" s="24" t="n"/>
      <c r="UIF2" s="24" t="n"/>
      <c r="UIG2" s="24" t="n"/>
      <c r="UIH2" s="24" t="n"/>
      <c r="UII2" s="24" t="n"/>
      <c r="UIJ2" s="24" t="n"/>
      <c r="UIK2" s="24" t="n"/>
      <c r="UIL2" s="24" t="n"/>
      <c r="UIM2" s="24" t="n"/>
      <c r="UIN2" s="24" t="n"/>
      <c r="UIO2" s="24" t="n"/>
      <c r="UIP2" s="24" t="n"/>
      <c r="UIQ2" s="24" t="n"/>
      <c r="UIR2" s="24" t="n"/>
      <c r="UIS2" s="24" t="n"/>
      <c r="UIT2" s="24" t="n"/>
      <c r="UIU2" s="24" t="n"/>
      <c r="UIV2" s="24" t="n"/>
      <c r="UIW2" s="24" t="n"/>
      <c r="UIX2" s="24" t="n"/>
      <c r="UIY2" s="24" t="n"/>
      <c r="UIZ2" s="24" t="n"/>
      <c r="UJA2" s="24" t="n"/>
      <c r="UJB2" s="24" t="n"/>
      <c r="UJC2" s="24" t="n"/>
      <c r="UJD2" s="24" t="n"/>
      <c r="UJE2" s="24" t="n"/>
      <c r="UJF2" s="24" t="n"/>
      <c r="UJG2" s="24" t="n"/>
      <c r="UJH2" s="24" t="n"/>
      <c r="UJI2" s="24" t="n"/>
      <c r="UJJ2" s="24" t="n"/>
      <c r="UJK2" s="24" t="n"/>
      <c r="UJL2" s="24" t="n"/>
      <c r="UJM2" s="24" t="n"/>
      <c r="UJN2" s="24" t="n"/>
      <c r="UJO2" s="24" t="n"/>
      <c r="UJP2" s="24" t="n"/>
      <c r="UJQ2" s="24" t="n"/>
      <c r="UJR2" s="24" t="n"/>
      <c r="UJS2" s="24" t="n"/>
      <c r="UJT2" s="24" t="n"/>
      <c r="UJU2" s="24" t="n"/>
      <c r="UJV2" s="24" t="n"/>
      <c r="UJW2" s="24" t="n"/>
      <c r="UJX2" s="24" t="n"/>
      <c r="UJY2" s="24" t="n"/>
      <c r="UJZ2" s="24" t="n"/>
      <c r="UKA2" s="24" t="n"/>
      <c r="UKB2" s="24" t="n"/>
      <c r="UKC2" s="24" t="n"/>
      <c r="UKD2" s="24" t="n"/>
      <c r="UKE2" s="24" t="n"/>
      <c r="UKF2" s="24" t="n"/>
      <c r="UKG2" s="24" t="n"/>
      <c r="UKH2" s="24" t="n"/>
      <c r="UKI2" s="24" t="n"/>
      <c r="UKJ2" s="24" t="n"/>
      <c r="UKK2" s="24" t="n"/>
      <c r="UKL2" s="24" t="n"/>
      <c r="UKM2" s="24" t="n"/>
      <c r="UKN2" s="24" t="n"/>
      <c r="UKO2" s="24" t="n"/>
      <c r="UKP2" s="24" t="n"/>
      <c r="UKQ2" s="24" t="n"/>
      <c r="UKR2" s="24" t="n"/>
      <c r="UKS2" s="24" t="n"/>
      <c r="UKT2" s="24" t="n"/>
      <c r="UKU2" s="24" t="n"/>
      <c r="UKV2" s="24" t="n"/>
      <c r="UKW2" s="24" t="n"/>
      <c r="UKX2" s="24" t="n"/>
      <c r="UKY2" s="24" t="n"/>
      <c r="UKZ2" s="24" t="n"/>
      <c r="ULA2" s="24" t="n"/>
      <c r="ULB2" s="24" t="n"/>
      <c r="ULC2" s="24" t="n"/>
      <c r="ULD2" s="24" t="n"/>
      <c r="ULE2" s="24" t="n"/>
      <c r="ULF2" s="24" t="n"/>
      <c r="ULG2" s="24" t="n"/>
      <c r="ULH2" s="24" t="n"/>
      <c r="ULI2" s="24" t="n"/>
      <c r="ULJ2" s="24" t="n"/>
      <c r="ULK2" s="24" t="n"/>
      <c r="ULL2" s="24" t="n"/>
      <c r="ULM2" s="24" t="n"/>
      <c r="ULN2" s="24" t="n"/>
      <c r="ULO2" s="24" t="n"/>
      <c r="ULP2" s="24" t="n"/>
      <c r="ULQ2" s="24" t="n"/>
      <c r="ULR2" s="24" t="n"/>
      <c r="ULS2" s="24" t="n"/>
      <c r="ULT2" s="24" t="n"/>
      <c r="ULU2" s="24" t="n"/>
      <c r="ULV2" s="24" t="n"/>
      <c r="ULW2" s="24" t="n"/>
      <c r="ULX2" s="24" t="n"/>
      <c r="ULY2" s="24" t="n"/>
      <c r="ULZ2" s="24" t="n"/>
      <c r="UMA2" s="24" t="n"/>
      <c r="UMB2" s="24" t="n"/>
      <c r="UMC2" s="24" t="n"/>
      <c r="UMD2" s="24" t="n"/>
      <c r="UME2" s="24" t="n"/>
      <c r="UMF2" s="24" t="n"/>
      <c r="UMG2" s="24" t="n"/>
      <c r="UMH2" s="24" t="n"/>
      <c r="UMI2" s="24" t="n"/>
      <c r="UMJ2" s="24" t="n"/>
      <c r="UMK2" s="24" t="n"/>
      <c r="UML2" s="24" t="n"/>
      <c r="UMM2" s="24" t="n"/>
      <c r="UMN2" s="24" t="n"/>
      <c r="UMO2" s="24" t="n"/>
      <c r="UMP2" s="24" t="n"/>
      <c r="UMQ2" s="24" t="n"/>
      <c r="UMR2" s="24" t="n"/>
      <c r="UMS2" s="24" t="n"/>
      <c r="UMT2" s="24" t="n"/>
      <c r="UMU2" s="24" t="n"/>
      <c r="UMV2" s="24" t="n"/>
      <c r="UMW2" s="24" t="n"/>
      <c r="UMX2" s="24" t="n"/>
      <c r="UMY2" s="24" t="n"/>
      <c r="UMZ2" s="24" t="n"/>
      <c r="UNA2" s="24" t="n"/>
      <c r="UNB2" s="24" t="n"/>
      <c r="UNC2" s="24" t="n"/>
      <c r="UND2" s="24" t="n"/>
      <c r="UNE2" s="24" t="n"/>
      <c r="UNF2" s="24" t="n"/>
      <c r="UNG2" s="24" t="n"/>
      <c r="UNH2" s="24" t="n"/>
      <c r="UNI2" s="24" t="n"/>
      <c r="UNJ2" s="24" t="n"/>
      <c r="UNK2" s="24" t="n"/>
      <c r="UNL2" s="24" t="n"/>
      <c r="UNM2" s="24" t="n"/>
      <c r="UNN2" s="24" t="n"/>
      <c r="UNO2" s="24" t="n"/>
      <c r="UNP2" s="24" t="n"/>
      <c r="UNQ2" s="24" t="n"/>
      <c r="UNR2" s="24" t="n"/>
      <c r="UNS2" s="24" t="n"/>
      <c r="UNT2" s="24" t="n"/>
      <c r="UNU2" s="24" t="n"/>
      <c r="UNV2" s="24" t="n"/>
      <c r="UNW2" s="24" t="n"/>
      <c r="UNX2" s="24" t="n"/>
      <c r="UNY2" s="24" t="n"/>
      <c r="UNZ2" s="24" t="n"/>
      <c r="UOA2" s="24" t="n"/>
      <c r="UOB2" s="24" t="n"/>
      <c r="UOC2" s="24" t="n"/>
      <c r="UOD2" s="24" t="n"/>
      <c r="UOE2" s="24" t="n"/>
      <c r="UOF2" s="24" t="n"/>
      <c r="UOG2" s="24" t="n"/>
      <c r="UOH2" s="24" t="n"/>
      <c r="UOI2" s="24" t="n"/>
      <c r="UOJ2" s="24" t="n"/>
      <c r="UOK2" s="24" t="n"/>
      <c r="UOL2" s="24" t="n"/>
      <c r="UOM2" s="24" t="n"/>
      <c r="UON2" s="24" t="n"/>
      <c r="UOO2" s="24" t="n"/>
      <c r="UOP2" s="24" t="n"/>
      <c r="UOQ2" s="24" t="n"/>
      <c r="UOR2" s="24" t="n"/>
      <c r="UOS2" s="24" t="n"/>
      <c r="UOT2" s="24" t="n"/>
      <c r="UOU2" s="24" t="n"/>
      <c r="UOV2" s="24" t="n"/>
      <c r="UOW2" s="24" t="n"/>
      <c r="UOX2" s="24" t="n"/>
      <c r="UOY2" s="24" t="n"/>
      <c r="UOZ2" s="24" t="n"/>
      <c r="UPA2" s="24" t="n"/>
      <c r="UPB2" s="24" t="n"/>
      <c r="UPC2" s="24" t="n"/>
      <c r="UPD2" s="24" t="n"/>
      <c r="UPE2" s="24" t="n"/>
      <c r="UPF2" s="24" t="n"/>
      <c r="UPG2" s="24" t="n"/>
      <c r="UPH2" s="24" t="n"/>
      <c r="UPI2" s="24" t="n"/>
      <c r="UPJ2" s="24" t="n"/>
      <c r="UPK2" s="24" t="n"/>
      <c r="UPL2" s="24" t="n"/>
      <c r="UPM2" s="24" t="n"/>
      <c r="UPN2" s="24" t="n"/>
      <c r="UPO2" s="24" t="n"/>
      <c r="UPP2" s="24" t="n"/>
      <c r="UPQ2" s="24" t="n"/>
      <c r="UPR2" s="24" t="n"/>
      <c r="UPS2" s="24" t="n"/>
      <c r="UPT2" s="24" t="n"/>
      <c r="UPU2" s="24" t="n"/>
      <c r="UPV2" s="24" t="n"/>
      <c r="UPW2" s="24" t="n"/>
      <c r="UPX2" s="24" t="n"/>
      <c r="UPY2" s="24" t="n"/>
      <c r="UPZ2" s="24" t="n"/>
      <c r="UQA2" s="24" t="n"/>
      <c r="UQB2" s="24" t="n"/>
      <c r="UQC2" s="24" t="n"/>
      <c r="UQD2" s="24" t="n"/>
      <c r="UQE2" s="24" t="n"/>
      <c r="UQF2" s="24" t="n"/>
      <c r="UQG2" s="24" t="n"/>
      <c r="UQH2" s="24" t="n"/>
      <c r="UQI2" s="24" t="n"/>
      <c r="UQJ2" s="24" t="n"/>
      <c r="UQK2" s="24" t="n"/>
      <c r="UQL2" s="24" t="n"/>
      <c r="UQM2" s="24" t="n"/>
      <c r="UQN2" s="24" t="n"/>
      <c r="UQO2" s="24" t="n"/>
      <c r="UQP2" s="24" t="n"/>
      <c r="UQQ2" s="24" t="n"/>
      <c r="UQR2" s="24" t="n"/>
      <c r="UQS2" s="24" t="n"/>
      <c r="UQT2" s="24" t="n"/>
      <c r="UQU2" s="24" t="n"/>
      <c r="UQV2" s="24" t="n"/>
      <c r="UQW2" s="24" t="n"/>
      <c r="UQX2" s="24" t="n"/>
      <c r="UQY2" s="24" t="n"/>
      <c r="UQZ2" s="24" t="n"/>
      <c r="URA2" s="24" t="n"/>
      <c r="URB2" s="24" t="n"/>
      <c r="URC2" s="24" t="n"/>
      <c r="URD2" s="24" t="n"/>
      <c r="URE2" s="24" t="n"/>
      <c r="URF2" s="24" t="n"/>
      <c r="URG2" s="24" t="n"/>
      <c r="URH2" s="24" t="n"/>
      <c r="URI2" s="24" t="n"/>
      <c r="URJ2" s="24" t="n"/>
      <c r="URK2" s="24" t="n"/>
      <c r="URL2" s="24" t="n"/>
      <c r="URM2" s="24" t="n"/>
      <c r="URN2" s="24" t="n"/>
      <c r="URO2" s="24" t="n"/>
      <c r="URP2" s="24" t="n"/>
      <c r="URQ2" s="24" t="n"/>
      <c r="URR2" s="24" t="n"/>
      <c r="URS2" s="24" t="n"/>
      <c r="URT2" s="24" t="n"/>
      <c r="URU2" s="24" t="n"/>
      <c r="URV2" s="24" t="n"/>
      <c r="URW2" s="24" t="n"/>
      <c r="URX2" s="24" t="n"/>
      <c r="URY2" s="24" t="n"/>
      <c r="URZ2" s="24" t="n"/>
      <c r="USA2" s="24" t="n"/>
      <c r="USB2" s="24" t="n"/>
      <c r="USC2" s="24" t="n"/>
      <c r="USD2" s="24" t="n"/>
      <c r="USE2" s="24" t="n"/>
      <c r="USF2" s="24" t="n"/>
      <c r="USG2" s="24" t="n"/>
      <c r="USH2" s="24" t="n"/>
      <c r="USI2" s="24" t="n"/>
      <c r="USJ2" s="24" t="n"/>
      <c r="USK2" s="24" t="n"/>
      <c r="USL2" s="24" t="n"/>
      <c r="USM2" s="24" t="n"/>
      <c r="USN2" s="24" t="n"/>
      <c r="USO2" s="24" t="n"/>
      <c r="USP2" s="24" t="n"/>
      <c r="USQ2" s="24" t="n"/>
      <c r="USR2" s="24" t="n"/>
      <c r="USS2" s="24" t="n"/>
      <c r="UST2" s="24" t="n"/>
      <c r="USU2" s="24" t="n"/>
      <c r="USV2" s="24" t="n"/>
      <c r="USW2" s="24" t="n"/>
      <c r="USX2" s="24" t="n"/>
      <c r="USY2" s="24" t="n"/>
      <c r="USZ2" s="24" t="n"/>
      <c r="UTA2" s="24" t="n"/>
      <c r="UTB2" s="24" t="n"/>
      <c r="UTC2" s="24" t="n"/>
      <c r="UTD2" s="24" t="n"/>
      <c r="UTE2" s="24" t="n"/>
      <c r="UTF2" s="24" t="n"/>
      <c r="UTG2" s="24" t="n"/>
      <c r="UTH2" s="24" t="n"/>
      <c r="UTI2" s="24" t="n"/>
      <c r="UTJ2" s="24" t="n"/>
      <c r="UTK2" s="24" t="n"/>
      <c r="UTL2" s="24" t="n"/>
      <c r="UTM2" s="24" t="n"/>
      <c r="UTN2" s="24" t="n"/>
      <c r="UTO2" s="24" t="n"/>
      <c r="UTP2" s="24" t="n"/>
      <c r="UTQ2" s="24" t="n"/>
      <c r="UTR2" s="24" t="n"/>
      <c r="UTS2" s="24" t="n"/>
      <c r="UTT2" s="24" t="n"/>
      <c r="UTU2" s="24" t="n"/>
      <c r="UTV2" s="24" t="n"/>
      <c r="UTW2" s="24" t="n"/>
      <c r="UTX2" s="24" t="n"/>
      <c r="UTY2" s="24" t="n"/>
      <c r="UTZ2" s="24" t="n"/>
      <c r="UUA2" s="24" t="n"/>
      <c r="UUB2" s="24" t="n"/>
      <c r="UUC2" s="24" t="n"/>
      <c r="UUD2" s="24" t="n"/>
      <c r="UUE2" s="24" t="n"/>
      <c r="UUF2" s="24" t="n"/>
      <c r="UUG2" s="24" t="n"/>
      <c r="UUH2" s="24" t="n"/>
      <c r="UUI2" s="24" t="n"/>
      <c r="UUJ2" s="24" t="n"/>
      <c r="UUK2" s="24" t="n"/>
      <c r="UUL2" s="24" t="n"/>
      <c r="UUM2" s="24" t="n"/>
      <c r="UUN2" s="24" t="n"/>
      <c r="UUO2" s="24" t="n"/>
      <c r="UUP2" s="24" t="n"/>
      <c r="UUQ2" s="24" t="n"/>
      <c r="UUR2" s="24" t="n"/>
      <c r="UUS2" s="24" t="n"/>
      <c r="UUT2" s="24" t="n"/>
      <c r="UUU2" s="24" t="n"/>
      <c r="UUV2" s="24" t="n"/>
      <c r="UUW2" s="24" t="n"/>
      <c r="UUX2" s="24" t="n"/>
      <c r="UUY2" s="24" t="n"/>
      <c r="UUZ2" s="24" t="n"/>
      <c r="UVA2" s="24" t="n"/>
      <c r="UVB2" s="24" t="n"/>
      <c r="UVC2" s="24" t="n"/>
      <c r="UVD2" s="24" t="n"/>
      <c r="UVE2" s="24" t="n"/>
      <c r="UVF2" s="24" t="n"/>
      <c r="UVG2" s="24" t="n"/>
      <c r="UVH2" s="24" t="n"/>
      <c r="UVI2" s="24" t="n"/>
      <c r="UVJ2" s="24" t="n"/>
      <c r="UVK2" s="24" t="n"/>
      <c r="UVL2" s="24" t="n"/>
      <c r="UVM2" s="24" t="n"/>
      <c r="UVN2" s="24" t="n"/>
      <c r="UVO2" s="24" t="n"/>
      <c r="UVP2" s="24" t="n"/>
      <c r="UVQ2" s="24" t="n"/>
      <c r="UVR2" s="24" t="n"/>
      <c r="UVS2" s="24" t="n"/>
      <c r="UVT2" s="24" t="n"/>
      <c r="UVU2" s="24" t="n"/>
      <c r="UVV2" s="24" t="n"/>
      <c r="UVW2" s="24" t="n"/>
      <c r="UVX2" s="24" t="n"/>
      <c r="UVY2" s="24" t="n"/>
      <c r="UVZ2" s="24" t="n"/>
      <c r="UWA2" s="24" t="n"/>
      <c r="UWB2" s="24" t="n"/>
      <c r="UWC2" s="24" t="n"/>
      <c r="UWD2" s="24" t="n"/>
      <c r="UWE2" s="24" t="n"/>
      <c r="UWF2" s="24" t="n"/>
      <c r="UWG2" s="24" t="n"/>
      <c r="UWH2" s="24" t="n"/>
      <c r="UWI2" s="24" t="n"/>
      <c r="UWJ2" s="24" t="n"/>
      <c r="UWK2" s="24" t="n"/>
      <c r="UWL2" s="24" t="n"/>
      <c r="UWM2" s="24" t="n"/>
      <c r="UWN2" s="24" t="n"/>
      <c r="UWO2" s="24" t="n"/>
      <c r="UWP2" s="24" t="n"/>
      <c r="UWQ2" s="24" t="n"/>
      <c r="UWR2" s="24" t="n"/>
      <c r="UWS2" s="24" t="n"/>
      <c r="UWT2" s="24" t="n"/>
      <c r="UWU2" s="24" t="n"/>
      <c r="UWV2" s="24" t="n"/>
      <c r="UWW2" s="24" t="n"/>
      <c r="UWX2" s="24" t="n"/>
      <c r="UWY2" s="24" t="n"/>
      <c r="UWZ2" s="24" t="n"/>
      <c r="UXA2" s="24" t="n"/>
      <c r="UXB2" s="24" t="n"/>
      <c r="UXC2" s="24" t="n"/>
      <c r="UXD2" s="24" t="n"/>
      <c r="UXE2" s="24" t="n"/>
      <c r="UXF2" s="24" t="n"/>
      <c r="UXG2" s="24" t="n"/>
      <c r="UXH2" s="24" t="n"/>
      <c r="UXI2" s="24" t="n"/>
      <c r="UXJ2" s="24" t="n"/>
      <c r="UXK2" s="24" t="n"/>
      <c r="UXL2" s="24" t="n"/>
      <c r="UXM2" s="24" t="n"/>
      <c r="UXN2" s="24" t="n"/>
      <c r="UXO2" s="24" t="n"/>
      <c r="UXP2" s="24" t="n"/>
      <c r="UXQ2" s="24" t="n"/>
      <c r="UXR2" s="24" t="n"/>
      <c r="UXS2" s="24" t="n"/>
      <c r="UXT2" s="24" t="n"/>
      <c r="UXU2" s="24" t="n"/>
      <c r="UXV2" s="24" t="n"/>
      <c r="UXW2" s="24" t="n"/>
      <c r="UXX2" s="24" t="n"/>
      <c r="UXY2" s="24" t="n"/>
      <c r="UXZ2" s="24" t="n"/>
      <c r="UYA2" s="24" t="n"/>
      <c r="UYB2" s="24" t="n"/>
      <c r="UYC2" s="24" t="n"/>
      <c r="UYD2" s="24" t="n"/>
      <c r="UYE2" s="24" t="n"/>
      <c r="UYF2" s="24" t="n"/>
      <c r="UYG2" s="24" t="n"/>
      <c r="UYH2" s="24" t="n"/>
      <c r="UYI2" s="24" t="n"/>
      <c r="UYJ2" s="24" t="n"/>
      <c r="UYK2" s="24" t="n"/>
      <c r="UYL2" s="24" t="n"/>
      <c r="UYM2" s="24" t="n"/>
      <c r="UYN2" s="24" t="n"/>
      <c r="UYO2" s="24" t="n"/>
      <c r="UYP2" s="24" t="n"/>
      <c r="UYQ2" s="24" t="n"/>
      <c r="UYR2" s="24" t="n"/>
      <c r="UYS2" s="24" t="n"/>
      <c r="UYT2" s="24" t="n"/>
      <c r="UYU2" s="24" t="n"/>
      <c r="UYV2" s="24" t="n"/>
      <c r="UYW2" s="24" t="n"/>
      <c r="UYX2" s="24" t="n"/>
      <c r="UYY2" s="24" t="n"/>
      <c r="UYZ2" s="24" t="n"/>
      <c r="UZA2" s="24" t="n"/>
      <c r="UZB2" s="24" t="n"/>
      <c r="UZC2" s="24" t="n"/>
      <c r="UZD2" s="24" t="n"/>
      <c r="UZE2" s="24" t="n"/>
      <c r="UZF2" s="24" t="n"/>
      <c r="UZG2" s="24" t="n"/>
      <c r="UZH2" s="24" t="n"/>
      <c r="UZI2" s="24" t="n"/>
      <c r="UZJ2" s="24" t="n"/>
      <c r="UZK2" s="24" t="n"/>
      <c r="UZL2" s="24" t="n"/>
      <c r="UZM2" s="24" t="n"/>
      <c r="UZN2" s="24" t="n"/>
      <c r="UZO2" s="24" t="n"/>
      <c r="UZP2" s="24" t="n"/>
      <c r="UZQ2" s="24" t="n"/>
      <c r="UZR2" s="24" t="n"/>
      <c r="UZS2" s="24" t="n"/>
      <c r="UZT2" s="24" t="n"/>
      <c r="UZU2" s="24" t="n"/>
      <c r="UZV2" s="24" t="n"/>
      <c r="UZW2" s="24" t="n"/>
      <c r="UZX2" s="24" t="n"/>
      <c r="UZY2" s="24" t="n"/>
      <c r="UZZ2" s="24" t="n"/>
      <c r="VAA2" s="24" t="n"/>
      <c r="VAB2" s="24" t="n"/>
      <c r="VAC2" s="24" t="n"/>
      <c r="VAD2" s="24" t="n"/>
      <c r="VAE2" s="24" t="n"/>
      <c r="VAF2" s="24" t="n"/>
      <c r="VAG2" s="24" t="n"/>
      <c r="VAH2" s="24" t="n"/>
      <c r="VAI2" s="24" t="n"/>
      <c r="VAJ2" s="24" t="n"/>
      <c r="VAK2" s="24" t="n"/>
      <c r="VAL2" s="24" t="n"/>
      <c r="VAM2" s="24" t="n"/>
      <c r="VAN2" s="24" t="n"/>
      <c r="VAO2" s="24" t="n"/>
      <c r="VAP2" s="24" t="n"/>
      <c r="VAQ2" s="24" t="n"/>
      <c r="VAR2" s="24" t="n"/>
      <c r="VAS2" s="24" t="n"/>
      <c r="VAT2" s="24" t="n"/>
      <c r="VAU2" s="24" t="n"/>
      <c r="VAV2" s="24" t="n"/>
      <c r="VAW2" s="24" t="n"/>
      <c r="VAX2" s="24" t="n"/>
      <c r="VAY2" s="24" t="n"/>
      <c r="VAZ2" s="24" t="n"/>
      <c r="VBA2" s="24" t="n"/>
      <c r="VBB2" s="24" t="n"/>
      <c r="VBC2" s="24" t="n"/>
      <c r="VBD2" s="24" t="n"/>
      <c r="VBE2" s="24" t="n"/>
      <c r="VBF2" s="24" t="n"/>
      <c r="VBG2" s="24" t="n"/>
      <c r="VBH2" s="24" t="n"/>
      <c r="VBI2" s="24" t="n"/>
      <c r="VBJ2" s="24" t="n"/>
      <c r="VBK2" s="24" t="n"/>
      <c r="VBL2" s="24" t="n"/>
      <c r="VBM2" s="24" t="n"/>
      <c r="VBN2" s="24" t="n"/>
      <c r="VBO2" s="24" t="n"/>
      <c r="VBP2" s="24" t="n"/>
      <c r="VBQ2" s="24" t="n"/>
      <c r="VBR2" s="24" t="n"/>
      <c r="VBS2" s="24" t="n"/>
      <c r="VBT2" s="24" t="n"/>
      <c r="VBU2" s="24" t="n"/>
      <c r="VBV2" s="24" t="n"/>
      <c r="VBW2" s="24" t="n"/>
      <c r="VBX2" s="24" t="n"/>
      <c r="VBY2" s="24" t="n"/>
      <c r="VBZ2" s="24" t="n"/>
      <c r="VCA2" s="24" t="n"/>
      <c r="VCB2" s="24" t="n"/>
      <c r="VCC2" s="24" t="n"/>
      <c r="VCD2" s="24" t="n"/>
      <c r="VCE2" s="24" t="n"/>
      <c r="VCF2" s="24" t="n"/>
      <c r="VCG2" s="24" t="n"/>
      <c r="VCH2" s="24" t="n"/>
      <c r="VCI2" s="24" t="n"/>
      <c r="VCJ2" s="24" t="n"/>
      <c r="VCK2" s="24" t="n"/>
      <c r="VCL2" s="24" t="n"/>
      <c r="VCM2" s="24" t="n"/>
      <c r="VCN2" s="24" t="n"/>
      <c r="VCO2" s="24" t="n"/>
      <c r="VCP2" s="24" t="n"/>
      <c r="VCQ2" s="24" t="n"/>
      <c r="VCR2" s="24" t="n"/>
      <c r="VCS2" s="24" t="n"/>
      <c r="VCT2" s="24" t="n"/>
      <c r="VCU2" s="24" t="n"/>
      <c r="VCV2" s="24" t="n"/>
      <c r="VCW2" s="24" t="n"/>
      <c r="VCX2" s="24" t="n"/>
      <c r="VCY2" s="24" t="n"/>
      <c r="VCZ2" s="24" t="n"/>
      <c r="VDA2" s="24" t="n"/>
      <c r="VDB2" s="24" t="n"/>
      <c r="VDC2" s="24" t="n"/>
      <c r="VDD2" s="24" t="n"/>
      <c r="VDE2" s="24" t="n"/>
      <c r="VDF2" s="24" t="n"/>
      <c r="VDG2" s="24" t="n"/>
      <c r="VDH2" s="24" t="n"/>
      <c r="VDI2" s="24" t="n"/>
      <c r="VDJ2" s="24" t="n"/>
      <c r="VDK2" s="24" t="n"/>
      <c r="VDL2" s="24" t="n"/>
      <c r="VDM2" s="24" t="n"/>
      <c r="VDN2" s="24" t="n"/>
      <c r="VDO2" s="24" t="n"/>
      <c r="VDP2" s="24" t="n"/>
      <c r="VDQ2" s="24" t="n"/>
      <c r="VDR2" s="24" t="n"/>
      <c r="VDS2" s="24" t="n"/>
      <c r="VDT2" s="24" t="n"/>
      <c r="VDU2" s="24" t="n"/>
      <c r="VDV2" s="24" t="n"/>
      <c r="VDW2" s="24" t="n"/>
      <c r="VDX2" s="24" t="n"/>
      <c r="VDY2" s="24" t="n"/>
      <c r="VDZ2" s="24" t="n"/>
      <c r="VEA2" s="24" t="n"/>
      <c r="VEB2" s="24" t="n"/>
      <c r="VEC2" s="24" t="n"/>
      <c r="VED2" s="24" t="n"/>
      <c r="VEE2" s="24" t="n"/>
      <c r="VEF2" s="24" t="n"/>
      <c r="VEG2" s="24" t="n"/>
      <c r="VEH2" s="24" t="n"/>
      <c r="VEI2" s="24" t="n"/>
      <c r="VEJ2" s="24" t="n"/>
      <c r="VEK2" s="24" t="n"/>
      <c r="VEL2" s="24" t="n"/>
      <c r="VEM2" s="24" t="n"/>
      <c r="VEN2" s="24" t="n"/>
      <c r="VEO2" s="24" t="n"/>
      <c r="VEP2" s="24" t="n"/>
      <c r="VEQ2" s="24" t="n"/>
      <c r="VER2" s="24" t="n"/>
      <c r="VES2" s="24" t="n"/>
      <c r="VET2" s="24" t="n"/>
      <c r="VEU2" s="24" t="n"/>
      <c r="VEV2" s="24" t="n"/>
      <c r="VEW2" s="24" t="n"/>
      <c r="VEX2" s="24" t="n"/>
      <c r="VEY2" s="24" t="n"/>
      <c r="VEZ2" s="24" t="n"/>
      <c r="VFA2" s="24" t="n"/>
      <c r="VFB2" s="24" t="n"/>
      <c r="VFC2" s="24" t="n"/>
      <c r="VFD2" s="24" t="n"/>
      <c r="VFE2" s="24" t="n"/>
      <c r="VFF2" s="24" t="n"/>
      <c r="VFG2" s="24" t="n"/>
      <c r="VFH2" s="24" t="n"/>
      <c r="VFI2" s="24" t="n"/>
      <c r="VFJ2" s="24" t="n"/>
      <c r="VFK2" s="24" t="n"/>
      <c r="VFL2" s="24" t="n"/>
      <c r="VFM2" s="24" t="n"/>
      <c r="VFN2" s="24" t="n"/>
      <c r="VFO2" s="24" t="n"/>
      <c r="VFP2" s="24" t="n"/>
      <c r="VFQ2" s="24" t="n"/>
      <c r="VFR2" s="24" t="n"/>
      <c r="VFS2" s="24" t="n"/>
      <c r="VFT2" s="24" t="n"/>
      <c r="VFU2" s="24" t="n"/>
      <c r="VFV2" s="24" t="n"/>
      <c r="VFW2" s="24" t="n"/>
      <c r="VFX2" s="24" t="n"/>
      <c r="VFY2" s="24" t="n"/>
      <c r="VFZ2" s="24" t="n"/>
      <c r="VGA2" s="24" t="n"/>
      <c r="VGB2" s="24" t="n"/>
      <c r="VGC2" s="24" t="n"/>
      <c r="VGD2" s="24" t="n"/>
      <c r="VGE2" s="24" t="n"/>
      <c r="VGF2" s="24" t="n"/>
      <c r="VGG2" s="24" t="n"/>
      <c r="VGH2" s="24" t="n"/>
      <c r="VGI2" s="24" t="n"/>
      <c r="VGJ2" s="24" t="n"/>
      <c r="VGK2" s="24" t="n"/>
      <c r="VGL2" s="24" t="n"/>
      <c r="VGM2" s="24" t="n"/>
      <c r="VGN2" s="24" t="n"/>
      <c r="VGO2" s="24" t="n"/>
      <c r="VGP2" s="24" t="n"/>
      <c r="VGQ2" s="24" t="n"/>
      <c r="VGR2" s="24" t="n"/>
      <c r="VGS2" s="24" t="n"/>
      <c r="VGT2" s="24" t="n"/>
      <c r="VGU2" s="24" t="n"/>
      <c r="VGV2" s="24" t="n"/>
      <c r="VGW2" s="24" t="n"/>
      <c r="VGX2" s="24" t="n"/>
      <c r="VGY2" s="24" t="n"/>
      <c r="VGZ2" s="24" t="n"/>
      <c r="VHA2" s="24" t="n"/>
      <c r="VHB2" s="24" t="n"/>
      <c r="VHC2" s="24" t="n"/>
      <c r="VHD2" s="24" t="n"/>
      <c r="VHE2" s="24" t="n"/>
      <c r="VHF2" s="24" t="n"/>
      <c r="VHG2" s="24" t="n"/>
      <c r="VHH2" s="24" t="n"/>
      <c r="VHI2" s="24" t="n"/>
      <c r="VHJ2" s="24" t="n"/>
      <c r="VHK2" s="24" t="n"/>
      <c r="VHL2" s="24" t="n"/>
      <c r="VHM2" s="24" t="n"/>
      <c r="VHN2" s="24" t="n"/>
      <c r="VHO2" s="24" t="n"/>
      <c r="VHP2" s="24" t="n"/>
      <c r="VHQ2" s="24" t="n"/>
      <c r="VHR2" s="24" t="n"/>
      <c r="VHS2" s="24" t="n"/>
      <c r="VHT2" s="24" t="n"/>
      <c r="VHU2" s="24" t="n"/>
      <c r="VHV2" s="24" t="n"/>
      <c r="VHW2" s="24" t="n"/>
      <c r="VHX2" s="24" t="n"/>
      <c r="VHY2" s="24" t="n"/>
      <c r="VHZ2" s="24" t="n"/>
      <c r="VIA2" s="24" t="n"/>
      <c r="VIB2" s="24" t="n"/>
      <c r="VIC2" s="24" t="n"/>
      <c r="VID2" s="24" t="n"/>
      <c r="VIE2" s="24" t="n"/>
      <c r="VIF2" s="24" t="n"/>
      <c r="VIG2" s="24" t="n"/>
      <c r="VIH2" s="24" t="n"/>
      <c r="VII2" s="24" t="n"/>
      <c r="VIJ2" s="24" t="n"/>
      <c r="VIK2" s="24" t="n"/>
      <c r="VIL2" s="24" t="n"/>
      <c r="VIM2" s="24" t="n"/>
      <c r="VIN2" s="24" t="n"/>
      <c r="VIO2" s="24" t="n"/>
      <c r="VIP2" s="24" t="n"/>
      <c r="VIQ2" s="24" t="n"/>
      <c r="VIR2" s="24" t="n"/>
      <c r="VIS2" s="24" t="n"/>
      <c r="VIT2" s="24" t="n"/>
      <c r="VIU2" s="24" t="n"/>
      <c r="VIV2" s="24" t="n"/>
      <c r="VIW2" s="24" t="n"/>
      <c r="VIX2" s="24" t="n"/>
      <c r="VIY2" s="24" t="n"/>
      <c r="VIZ2" s="24" t="n"/>
      <c r="VJA2" s="24" t="n"/>
      <c r="VJB2" s="24" t="n"/>
      <c r="VJC2" s="24" t="n"/>
      <c r="VJD2" s="24" t="n"/>
      <c r="VJE2" s="24" t="n"/>
      <c r="VJF2" s="24" t="n"/>
      <c r="VJG2" s="24" t="n"/>
      <c r="VJH2" s="24" t="n"/>
      <c r="VJI2" s="24" t="n"/>
      <c r="VJJ2" s="24" t="n"/>
      <c r="VJK2" s="24" t="n"/>
      <c r="VJL2" s="24" t="n"/>
      <c r="VJM2" s="24" t="n"/>
      <c r="VJN2" s="24" t="n"/>
      <c r="VJO2" s="24" t="n"/>
      <c r="VJP2" s="24" t="n"/>
      <c r="VJQ2" s="24" t="n"/>
      <c r="VJR2" s="24" t="n"/>
      <c r="VJS2" s="24" t="n"/>
      <c r="VJT2" s="24" t="n"/>
      <c r="VJU2" s="24" t="n"/>
      <c r="VJV2" s="24" t="n"/>
      <c r="VJW2" s="24" t="n"/>
      <c r="VJX2" s="24" t="n"/>
      <c r="VJY2" s="24" t="n"/>
      <c r="VJZ2" s="24" t="n"/>
      <c r="VKA2" s="24" t="n"/>
      <c r="VKB2" s="24" t="n"/>
      <c r="VKC2" s="24" t="n"/>
      <c r="VKD2" s="24" t="n"/>
      <c r="VKE2" s="24" t="n"/>
      <c r="VKF2" s="24" t="n"/>
      <c r="VKG2" s="24" t="n"/>
      <c r="VKH2" s="24" t="n"/>
      <c r="VKI2" s="24" t="n"/>
      <c r="VKJ2" s="24" t="n"/>
      <c r="VKK2" s="24" t="n"/>
      <c r="VKL2" s="24" t="n"/>
      <c r="VKM2" s="24" t="n"/>
      <c r="VKN2" s="24" t="n"/>
      <c r="VKO2" s="24" t="n"/>
      <c r="VKP2" s="24" t="n"/>
      <c r="VKQ2" s="24" t="n"/>
      <c r="VKR2" s="24" t="n"/>
      <c r="VKS2" s="24" t="n"/>
      <c r="VKT2" s="24" t="n"/>
      <c r="VKU2" s="24" t="n"/>
      <c r="VKV2" s="24" t="n"/>
      <c r="VKW2" s="24" t="n"/>
      <c r="VKX2" s="24" t="n"/>
      <c r="VKY2" s="24" t="n"/>
      <c r="VKZ2" s="24" t="n"/>
      <c r="VLA2" s="24" t="n"/>
      <c r="VLB2" s="24" t="n"/>
      <c r="VLC2" s="24" t="n"/>
      <c r="VLD2" s="24" t="n"/>
      <c r="VLE2" s="24" t="n"/>
      <c r="VLF2" s="24" t="n"/>
      <c r="VLG2" s="24" t="n"/>
      <c r="VLH2" s="24" t="n"/>
      <c r="VLI2" s="24" t="n"/>
      <c r="VLJ2" s="24" t="n"/>
      <c r="VLK2" s="24" t="n"/>
      <c r="VLL2" s="24" t="n"/>
      <c r="VLM2" s="24" t="n"/>
      <c r="VLN2" s="24" t="n"/>
      <c r="VLO2" s="24" t="n"/>
      <c r="VLP2" s="24" t="n"/>
      <c r="VLQ2" s="24" t="n"/>
      <c r="VLR2" s="24" t="n"/>
      <c r="VLS2" s="24" t="n"/>
      <c r="VLT2" s="24" t="n"/>
      <c r="VLU2" s="24" t="n"/>
      <c r="VLV2" s="24" t="n"/>
      <c r="VLW2" s="24" t="n"/>
      <c r="VLX2" s="24" t="n"/>
      <c r="VLY2" s="24" t="n"/>
      <c r="VLZ2" s="24" t="n"/>
      <c r="VMA2" s="24" t="n"/>
      <c r="VMB2" s="24" t="n"/>
      <c r="VMC2" s="24" t="n"/>
      <c r="VMD2" s="24" t="n"/>
      <c r="VME2" s="24" t="n"/>
      <c r="VMF2" s="24" t="n"/>
      <c r="VMG2" s="24" t="n"/>
      <c r="VMH2" s="24" t="n"/>
      <c r="VMI2" s="24" t="n"/>
      <c r="VMJ2" s="24" t="n"/>
      <c r="VMK2" s="24" t="n"/>
      <c r="VML2" s="24" t="n"/>
      <c r="VMM2" s="24" t="n"/>
      <c r="VMN2" s="24" t="n"/>
      <c r="VMO2" s="24" t="n"/>
      <c r="VMP2" s="24" t="n"/>
      <c r="VMQ2" s="24" t="n"/>
      <c r="VMR2" s="24" t="n"/>
      <c r="VMS2" s="24" t="n"/>
      <c r="VMT2" s="24" t="n"/>
      <c r="VMU2" s="24" t="n"/>
      <c r="VMV2" s="24" t="n"/>
      <c r="VMW2" s="24" t="n"/>
      <c r="VMX2" s="24" t="n"/>
      <c r="VMY2" s="24" t="n"/>
      <c r="VMZ2" s="24" t="n"/>
      <c r="VNA2" s="24" t="n"/>
      <c r="VNB2" s="24" t="n"/>
      <c r="VNC2" s="24" t="n"/>
      <c r="VND2" s="24" t="n"/>
      <c r="VNE2" s="24" t="n"/>
      <c r="VNF2" s="24" t="n"/>
      <c r="VNG2" s="24" t="n"/>
      <c r="VNH2" s="24" t="n"/>
      <c r="VNI2" s="24" t="n"/>
      <c r="VNJ2" s="24" t="n"/>
      <c r="VNK2" s="24" t="n"/>
      <c r="VNL2" s="24" t="n"/>
      <c r="VNM2" s="24" t="n"/>
      <c r="VNN2" s="24" t="n"/>
      <c r="VNO2" s="24" t="n"/>
      <c r="VNP2" s="24" t="n"/>
      <c r="VNQ2" s="24" t="n"/>
      <c r="VNR2" s="24" t="n"/>
      <c r="VNS2" s="24" t="n"/>
      <c r="VNT2" s="24" t="n"/>
      <c r="VNU2" s="24" t="n"/>
      <c r="VNV2" s="24" t="n"/>
      <c r="VNW2" s="24" t="n"/>
      <c r="VNX2" s="24" t="n"/>
      <c r="VNY2" s="24" t="n"/>
      <c r="VNZ2" s="24" t="n"/>
      <c r="VOA2" s="24" t="n"/>
      <c r="VOB2" s="24" t="n"/>
      <c r="VOC2" s="24" t="n"/>
      <c r="VOD2" s="24" t="n"/>
      <c r="VOE2" s="24" t="n"/>
      <c r="VOF2" s="24" t="n"/>
      <c r="VOG2" s="24" t="n"/>
      <c r="VOH2" s="24" t="n"/>
      <c r="VOI2" s="24" t="n"/>
      <c r="VOJ2" s="24" t="n"/>
      <c r="VOK2" s="24" t="n"/>
      <c r="VOL2" s="24" t="n"/>
      <c r="VOM2" s="24" t="n"/>
      <c r="VON2" s="24" t="n"/>
      <c r="VOO2" s="24" t="n"/>
      <c r="VOP2" s="24" t="n"/>
      <c r="VOQ2" s="24" t="n"/>
      <c r="VOR2" s="24" t="n"/>
      <c r="VOS2" s="24" t="n"/>
      <c r="VOT2" s="24" t="n"/>
      <c r="VOU2" s="24" t="n"/>
      <c r="VOV2" s="24" t="n"/>
      <c r="VOW2" s="24" t="n"/>
      <c r="VOX2" s="24" t="n"/>
      <c r="VOY2" s="24" t="n"/>
      <c r="VOZ2" s="24" t="n"/>
      <c r="VPA2" s="24" t="n"/>
      <c r="VPB2" s="24" t="n"/>
      <c r="VPC2" s="24" t="n"/>
      <c r="VPD2" s="24" t="n"/>
      <c r="VPE2" s="24" t="n"/>
      <c r="VPF2" s="24" t="n"/>
      <c r="VPG2" s="24" t="n"/>
      <c r="VPH2" s="24" t="n"/>
      <c r="VPI2" s="24" t="n"/>
      <c r="VPJ2" s="24" t="n"/>
      <c r="VPK2" s="24" t="n"/>
      <c r="VPL2" s="24" t="n"/>
      <c r="VPM2" s="24" t="n"/>
      <c r="VPN2" s="24" t="n"/>
      <c r="VPO2" s="24" t="n"/>
      <c r="VPP2" s="24" t="n"/>
      <c r="VPQ2" s="24" t="n"/>
      <c r="VPR2" s="24" t="n"/>
      <c r="VPS2" s="24" t="n"/>
      <c r="VPT2" s="24" t="n"/>
      <c r="VPU2" s="24" t="n"/>
      <c r="VPV2" s="24" t="n"/>
      <c r="VPW2" s="24" t="n"/>
      <c r="VPX2" s="24" t="n"/>
      <c r="VPY2" s="24" t="n"/>
      <c r="VPZ2" s="24" t="n"/>
      <c r="VQA2" s="24" t="n"/>
      <c r="VQB2" s="24" t="n"/>
      <c r="VQC2" s="24" t="n"/>
      <c r="VQD2" s="24" t="n"/>
      <c r="VQE2" s="24" t="n"/>
      <c r="VQF2" s="24" t="n"/>
      <c r="VQG2" s="24" t="n"/>
      <c r="VQH2" s="24" t="n"/>
      <c r="VQI2" s="24" t="n"/>
      <c r="VQJ2" s="24" t="n"/>
      <c r="VQK2" s="24" t="n"/>
      <c r="VQL2" s="24" t="n"/>
      <c r="VQM2" s="24" t="n"/>
      <c r="VQN2" s="24" t="n"/>
      <c r="VQO2" s="24" t="n"/>
      <c r="VQP2" s="24" t="n"/>
      <c r="VQQ2" s="24" t="n"/>
      <c r="VQR2" s="24" t="n"/>
      <c r="VQS2" s="24" t="n"/>
      <c r="VQT2" s="24" t="n"/>
      <c r="VQU2" s="24" t="n"/>
      <c r="VQV2" s="24" t="n"/>
      <c r="VQW2" s="24" t="n"/>
      <c r="VQX2" s="24" t="n"/>
      <c r="VQY2" s="24" t="n"/>
      <c r="VQZ2" s="24" t="n"/>
      <c r="VRA2" s="24" t="n"/>
      <c r="VRB2" s="24" t="n"/>
      <c r="VRC2" s="24" t="n"/>
      <c r="VRD2" s="24" t="n"/>
      <c r="VRE2" s="24" t="n"/>
      <c r="VRF2" s="24" t="n"/>
      <c r="VRG2" s="24" t="n"/>
      <c r="VRH2" s="24" t="n"/>
      <c r="VRI2" s="24" t="n"/>
      <c r="VRJ2" s="24" t="n"/>
      <c r="VRK2" s="24" t="n"/>
      <c r="VRL2" s="24" t="n"/>
      <c r="VRM2" s="24" t="n"/>
      <c r="VRN2" s="24" t="n"/>
      <c r="VRO2" s="24" t="n"/>
      <c r="VRP2" s="24" t="n"/>
      <c r="VRQ2" s="24" t="n"/>
      <c r="VRR2" s="24" t="n"/>
      <c r="VRS2" s="24" t="n"/>
      <c r="VRT2" s="24" t="n"/>
      <c r="VRU2" s="24" t="n"/>
      <c r="VRV2" s="24" t="n"/>
      <c r="VRW2" s="24" t="n"/>
      <c r="VRX2" s="24" t="n"/>
      <c r="VRY2" s="24" t="n"/>
      <c r="VRZ2" s="24" t="n"/>
      <c r="VSA2" s="24" t="n"/>
      <c r="VSB2" s="24" t="n"/>
      <c r="VSC2" s="24" t="n"/>
      <c r="VSD2" s="24" t="n"/>
      <c r="VSE2" s="24" t="n"/>
      <c r="VSF2" s="24" t="n"/>
      <c r="VSG2" s="24" t="n"/>
      <c r="VSH2" s="24" t="n"/>
      <c r="VSI2" s="24" t="n"/>
      <c r="VSJ2" s="24" t="n"/>
      <c r="VSK2" s="24" t="n"/>
      <c r="VSL2" s="24" t="n"/>
      <c r="VSM2" s="24" t="n"/>
      <c r="VSN2" s="24" t="n"/>
      <c r="VSO2" s="24" t="n"/>
      <c r="VSP2" s="24" t="n"/>
      <c r="VSQ2" s="24" t="n"/>
      <c r="VSR2" s="24" t="n"/>
      <c r="VSS2" s="24" t="n"/>
      <c r="VST2" s="24" t="n"/>
      <c r="VSU2" s="24" t="n"/>
      <c r="VSV2" s="24" t="n"/>
      <c r="VSW2" s="24" t="n"/>
      <c r="VSX2" s="24" t="n"/>
      <c r="VSY2" s="24" t="n"/>
      <c r="VSZ2" s="24" t="n"/>
      <c r="VTA2" s="24" t="n"/>
      <c r="VTB2" s="24" t="n"/>
      <c r="VTC2" s="24" t="n"/>
      <c r="VTD2" s="24" t="n"/>
      <c r="VTE2" s="24" t="n"/>
      <c r="VTF2" s="24" t="n"/>
      <c r="VTG2" s="24" t="n"/>
      <c r="VTH2" s="24" t="n"/>
      <c r="VTI2" s="24" t="n"/>
      <c r="VTJ2" s="24" t="n"/>
      <c r="VTK2" s="24" t="n"/>
      <c r="VTL2" s="24" t="n"/>
      <c r="VTM2" s="24" t="n"/>
      <c r="VTN2" s="24" t="n"/>
      <c r="VTO2" s="24" t="n"/>
      <c r="VTP2" s="24" t="n"/>
      <c r="VTQ2" s="24" t="n"/>
      <c r="VTR2" s="24" t="n"/>
      <c r="VTS2" s="24" t="n"/>
      <c r="VTT2" s="24" t="n"/>
      <c r="VTU2" s="24" t="n"/>
      <c r="VTV2" s="24" t="n"/>
      <c r="VTW2" s="24" t="n"/>
      <c r="VTX2" s="24" t="n"/>
      <c r="VTY2" s="24" t="n"/>
      <c r="VTZ2" s="24" t="n"/>
      <c r="VUA2" s="24" t="n"/>
      <c r="VUB2" s="24" t="n"/>
      <c r="VUC2" s="24" t="n"/>
      <c r="VUD2" s="24" t="n"/>
      <c r="VUE2" s="24" t="n"/>
      <c r="VUF2" s="24" t="n"/>
      <c r="VUG2" s="24" t="n"/>
      <c r="VUH2" s="24" t="n"/>
      <c r="VUI2" s="24" t="n"/>
      <c r="VUJ2" s="24" t="n"/>
      <c r="VUK2" s="24" t="n"/>
      <c r="VUL2" s="24" t="n"/>
      <c r="VUM2" s="24" t="n"/>
      <c r="VUN2" s="24" t="n"/>
      <c r="VUO2" s="24" t="n"/>
      <c r="VUP2" s="24" t="n"/>
      <c r="VUQ2" s="24" t="n"/>
      <c r="VUR2" s="24" t="n"/>
      <c r="VUS2" s="24" t="n"/>
      <c r="VUT2" s="24" t="n"/>
      <c r="VUU2" s="24" t="n"/>
      <c r="VUV2" s="24" t="n"/>
      <c r="VUW2" s="24" t="n"/>
      <c r="VUX2" s="24" t="n"/>
      <c r="VUY2" s="24" t="n"/>
      <c r="VUZ2" s="24" t="n"/>
      <c r="VVA2" s="24" t="n"/>
      <c r="VVB2" s="24" t="n"/>
      <c r="VVC2" s="24" t="n"/>
      <c r="VVD2" s="24" t="n"/>
      <c r="VVE2" s="24" t="n"/>
      <c r="VVF2" s="24" t="n"/>
      <c r="VVG2" s="24" t="n"/>
      <c r="VVH2" s="24" t="n"/>
      <c r="VVI2" s="24" t="n"/>
      <c r="VVJ2" s="24" t="n"/>
      <c r="VVK2" s="24" t="n"/>
      <c r="VVL2" s="24" t="n"/>
      <c r="VVM2" s="24" t="n"/>
      <c r="VVN2" s="24" t="n"/>
      <c r="VVO2" s="24" t="n"/>
      <c r="VVP2" s="24" t="n"/>
      <c r="VVQ2" s="24" t="n"/>
      <c r="VVR2" s="24" t="n"/>
      <c r="VVS2" s="24" t="n"/>
      <c r="VVT2" s="24" t="n"/>
      <c r="VVU2" s="24" t="n"/>
      <c r="VVV2" s="24" t="n"/>
      <c r="VVW2" s="24" t="n"/>
      <c r="VVX2" s="24" t="n"/>
      <c r="VVY2" s="24" t="n"/>
      <c r="VVZ2" s="24" t="n"/>
      <c r="VWA2" s="24" t="n"/>
      <c r="VWB2" s="24" t="n"/>
      <c r="VWC2" s="24" t="n"/>
      <c r="VWD2" s="24" t="n"/>
      <c r="VWE2" s="24" t="n"/>
      <c r="VWF2" s="24" t="n"/>
      <c r="VWG2" s="24" t="n"/>
      <c r="VWH2" s="24" t="n"/>
      <c r="VWI2" s="24" t="n"/>
      <c r="VWJ2" s="24" t="n"/>
      <c r="VWK2" s="24" t="n"/>
      <c r="VWL2" s="24" t="n"/>
      <c r="VWM2" s="24" t="n"/>
      <c r="VWN2" s="24" t="n"/>
      <c r="VWO2" s="24" t="n"/>
      <c r="VWP2" s="24" t="n"/>
      <c r="VWQ2" s="24" t="n"/>
      <c r="VWR2" s="24" t="n"/>
      <c r="VWS2" s="24" t="n"/>
      <c r="VWT2" s="24" t="n"/>
      <c r="VWU2" s="24" t="n"/>
      <c r="VWV2" s="24" t="n"/>
      <c r="VWW2" s="24" t="n"/>
      <c r="VWX2" s="24" t="n"/>
      <c r="VWY2" s="24" t="n"/>
      <c r="VWZ2" s="24" t="n"/>
      <c r="VXA2" s="24" t="n"/>
      <c r="VXB2" s="24" t="n"/>
      <c r="VXC2" s="24" t="n"/>
      <c r="VXD2" s="24" t="n"/>
      <c r="VXE2" s="24" t="n"/>
      <c r="VXF2" s="24" t="n"/>
      <c r="VXG2" s="24" t="n"/>
      <c r="VXH2" s="24" t="n"/>
      <c r="VXI2" s="24" t="n"/>
      <c r="VXJ2" s="24" t="n"/>
      <c r="VXK2" s="24" t="n"/>
      <c r="VXL2" s="24" t="n"/>
      <c r="VXM2" s="24" t="n"/>
      <c r="VXN2" s="24" t="n"/>
      <c r="VXO2" s="24" t="n"/>
      <c r="VXP2" s="24" t="n"/>
      <c r="VXQ2" s="24" t="n"/>
      <c r="VXR2" s="24" t="n"/>
      <c r="VXS2" s="24" t="n"/>
      <c r="VXT2" s="24" t="n"/>
      <c r="VXU2" s="24" t="n"/>
      <c r="VXV2" s="24" t="n"/>
      <c r="VXW2" s="24" t="n"/>
      <c r="VXX2" s="24" t="n"/>
      <c r="VXY2" s="24" t="n"/>
      <c r="VXZ2" s="24" t="n"/>
      <c r="VYA2" s="24" t="n"/>
      <c r="VYB2" s="24" t="n"/>
      <c r="VYC2" s="24" t="n"/>
      <c r="VYD2" s="24" t="n"/>
      <c r="VYE2" s="24" t="n"/>
      <c r="VYF2" s="24" t="n"/>
      <c r="VYG2" s="24" t="n"/>
      <c r="VYH2" s="24" t="n"/>
      <c r="VYI2" s="24" t="n"/>
      <c r="VYJ2" s="24" t="n"/>
      <c r="VYK2" s="24" t="n"/>
      <c r="VYL2" s="24" t="n"/>
      <c r="VYM2" s="24" t="n"/>
      <c r="VYN2" s="24" t="n"/>
      <c r="VYO2" s="24" t="n"/>
      <c r="VYP2" s="24" t="n"/>
      <c r="VYQ2" s="24" t="n"/>
      <c r="VYR2" s="24" t="n"/>
      <c r="VYS2" s="24" t="n"/>
      <c r="VYT2" s="24" t="n"/>
      <c r="VYU2" s="24" t="n"/>
      <c r="VYV2" s="24" t="n"/>
      <c r="VYW2" s="24" t="n"/>
      <c r="VYX2" s="24" t="n"/>
      <c r="VYY2" s="24" t="n"/>
      <c r="VYZ2" s="24" t="n"/>
      <c r="VZA2" s="24" t="n"/>
      <c r="VZB2" s="24" t="n"/>
      <c r="VZC2" s="24" t="n"/>
      <c r="VZD2" s="24" t="n"/>
      <c r="VZE2" s="24" t="n"/>
      <c r="VZF2" s="24" t="n"/>
      <c r="VZG2" s="24" t="n"/>
      <c r="VZH2" s="24" t="n"/>
      <c r="VZI2" s="24" t="n"/>
      <c r="VZJ2" s="24" t="n"/>
      <c r="VZK2" s="24" t="n"/>
      <c r="VZL2" s="24" t="n"/>
      <c r="VZM2" s="24" t="n"/>
      <c r="VZN2" s="24" t="n"/>
      <c r="VZO2" s="24" t="n"/>
      <c r="VZP2" s="24" t="n"/>
      <c r="VZQ2" s="24" t="n"/>
      <c r="VZR2" s="24" t="n"/>
      <c r="VZS2" s="24" t="n"/>
      <c r="VZT2" s="24" t="n"/>
      <c r="VZU2" s="24" t="n"/>
      <c r="VZV2" s="24" t="n"/>
      <c r="VZW2" s="24" t="n"/>
      <c r="VZX2" s="24" t="n"/>
      <c r="VZY2" s="24" t="n"/>
      <c r="VZZ2" s="24" t="n"/>
      <c r="WAA2" s="24" t="n"/>
      <c r="WAB2" s="24" t="n"/>
      <c r="WAC2" s="24" t="n"/>
      <c r="WAD2" s="24" t="n"/>
      <c r="WAE2" s="24" t="n"/>
      <c r="WAF2" s="24" t="n"/>
      <c r="WAG2" s="24" t="n"/>
      <c r="WAH2" s="24" t="n"/>
      <c r="WAI2" s="24" t="n"/>
      <c r="WAJ2" s="24" t="n"/>
      <c r="WAK2" s="24" t="n"/>
      <c r="WAL2" s="24" t="n"/>
      <c r="WAM2" s="24" t="n"/>
      <c r="WAN2" s="24" t="n"/>
      <c r="WAO2" s="24" t="n"/>
      <c r="WAP2" s="24" t="n"/>
      <c r="WAQ2" s="24" t="n"/>
      <c r="WAR2" s="24" t="n"/>
      <c r="WAS2" s="24" t="n"/>
      <c r="WAT2" s="24" t="n"/>
      <c r="WAU2" s="24" t="n"/>
      <c r="WAV2" s="24" t="n"/>
      <c r="WAW2" s="24" t="n"/>
      <c r="WAX2" s="24" t="n"/>
      <c r="WAY2" s="24" t="n"/>
      <c r="WAZ2" s="24" t="n"/>
      <c r="WBA2" s="24" t="n"/>
      <c r="WBB2" s="24" t="n"/>
      <c r="WBC2" s="24" t="n"/>
      <c r="WBD2" s="24" t="n"/>
      <c r="WBE2" s="24" t="n"/>
      <c r="WBF2" s="24" t="n"/>
      <c r="WBG2" s="24" t="n"/>
      <c r="WBH2" s="24" t="n"/>
      <c r="WBI2" s="24" t="n"/>
      <c r="WBJ2" s="24" t="n"/>
      <c r="WBK2" s="24" t="n"/>
      <c r="WBL2" s="24" t="n"/>
      <c r="WBM2" s="24" t="n"/>
      <c r="WBN2" s="24" t="n"/>
      <c r="WBO2" s="24" t="n"/>
      <c r="WBP2" s="24" t="n"/>
      <c r="WBQ2" s="24" t="n"/>
      <c r="WBR2" s="24" t="n"/>
      <c r="WBS2" s="24" t="n"/>
      <c r="WBT2" s="24" t="n"/>
      <c r="WBU2" s="24" t="n"/>
      <c r="WBV2" s="24" t="n"/>
      <c r="WBW2" s="24" t="n"/>
      <c r="WBX2" s="24" t="n"/>
      <c r="WBY2" s="24" t="n"/>
      <c r="WBZ2" s="24" t="n"/>
      <c r="WCA2" s="24" t="n"/>
      <c r="WCB2" s="24" t="n"/>
      <c r="WCC2" s="24" t="n"/>
      <c r="WCD2" s="24" t="n"/>
      <c r="WCE2" s="24" t="n"/>
      <c r="WCF2" s="24" t="n"/>
      <c r="WCG2" s="24" t="n"/>
      <c r="WCH2" s="24" t="n"/>
      <c r="WCI2" s="24" t="n"/>
      <c r="WCJ2" s="24" t="n"/>
      <c r="WCK2" s="24" t="n"/>
      <c r="WCL2" s="24" t="n"/>
      <c r="WCM2" s="24" t="n"/>
      <c r="WCN2" s="24" t="n"/>
      <c r="WCO2" s="24" t="n"/>
      <c r="WCP2" s="24" t="n"/>
      <c r="WCQ2" s="24" t="n"/>
      <c r="WCR2" s="24" t="n"/>
      <c r="WCS2" s="24" t="n"/>
      <c r="WCT2" s="24" t="n"/>
      <c r="WCU2" s="24" t="n"/>
      <c r="WCV2" s="24" t="n"/>
      <c r="WCW2" s="24" t="n"/>
      <c r="WCX2" s="24" t="n"/>
      <c r="WCY2" s="24" t="n"/>
      <c r="WCZ2" s="24" t="n"/>
      <c r="WDA2" s="24" t="n"/>
      <c r="WDB2" s="24" t="n"/>
      <c r="WDC2" s="24" t="n"/>
      <c r="WDD2" s="24" t="n"/>
      <c r="WDE2" s="24" t="n"/>
      <c r="WDF2" s="24" t="n"/>
      <c r="WDG2" s="24" t="n"/>
      <c r="WDH2" s="24" t="n"/>
      <c r="WDI2" s="24" t="n"/>
      <c r="WDJ2" s="24" t="n"/>
      <c r="WDK2" s="24" t="n"/>
      <c r="WDL2" s="24" t="n"/>
      <c r="WDM2" s="24" t="n"/>
      <c r="WDN2" s="24" t="n"/>
      <c r="WDO2" s="24" t="n"/>
      <c r="WDP2" s="24" t="n"/>
      <c r="WDQ2" s="24" t="n"/>
      <c r="WDR2" s="24" t="n"/>
      <c r="WDS2" s="24" t="n"/>
      <c r="WDT2" s="24" t="n"/>
      <c r="WDU2" s="24" t="n"/>
      <c r="WDV2" s="24" t="n"/>
      <c r="WDW2" s="24" t="n"/>
      <c r="WDX2" s="24" t="n"/>
      <c r="WDY2" s="24" t="n"/>
      <c r="WDZ2" s="24" t="n"/>
      <c r="WEA2" s="24" t="n"/>
      <c r="WEB2" s="24" t="n"/>
      <c r="WEC2" s="24" t="n"/>
      <c r="WED2" s="24" t="n"/>
      <c r="WEE2" s="24" t="n"/>
      <c r="WEF2" s="24" t="n"/>
      <c r="WEG2" s="24" t="n"/>
      <c r="WEH2" s="24" t="n"/>
      <c r="WEI2" s="24" t="n"/>
      <c r="WEJ2" s="24" t="n"/>
      <c r="WEK2" s="24" t="n"/>
      <c r="WEL2" s="24" t="n"/>
      <c r="WEM2" s="24" t="n"/>
      <c r="WEN2" s="24" t="n"/>
      <c r="WEO2" s="24" t="n"/>
      <c r="WEP2" s="24" t="n"/>
      <c r="WEQ2" s="24" t="n"/>
      <c r="WER2" s="24" t="n"/>
      <c r="WES2" s="24" t="n"/>
      <c r="WET2" s="24" t="n"/>
      <c r="WEU2" s="24" t="n"/>
      <c r="WEV2" s="24" t="n"/>
      <c r="WEW2" s="24" t="n"/>
      <c r="WEX2" s="24" t="n"/>
      <c r="WEY2" s="24" t="n"/>
      <c r="WEZ2" s="24" t="n"/>
      <c r="WFA2" s="24" t="n"/>
      <c r="WFB2" s="24" t="n"/>
      <c r="WFC2" s="24" t="n"/>
      <c r="WFD2" s="24" t="n"/>
      <c r="WFE2" s="24" t="n"/>
      <c r="WFF2" s="24" t="n"/>
      <c r="WFG2" s="24" t="n"/>
      <c r="WFH2" s="24" t="n"/>
      <c r="WFI2" s="24" t="n"/>
      <c r="WFJ2" s="24" t="n"/>
      <c r="WFK2" s="24" t="n"/>
      <c r="WFL2" s="24" t="n"/>
      <c r="WFM2" s="24" t="n"/>
      <c r="WFN2" s="24" t="n"/>
      <c r="WFO2" s="24" t="n"/>
      <c r="WFP2" s="24" t="n"/>
      <c r="WFQ2" s="24" t="n"/>
      <c r="WFR2" s="24" t="n"/>
      <c r="WFS2" s="24" t="n"/>
      <c r="WFT2" s="24" t="n"/>
      <c r="WFU2" s="24" t="n"/>
      <c r="WFV2" s="24" t="n"/>
      <c r="WFW2" s="24" t="n"/>
      <c r="WFX2" s="24" t="n"/>
      <c r="WFY2" s="24" t="n"/>
      <c r="WFZ2" s="24" t="n"/>
      <c r="WGA2" s="24" t="n"/>
      <c r="WGB2" s="24" t="n"/>
      <c r="WGC2" s="24" t="n"/>
      <c r="WGD2" s="24" t="n"/>
      <c r="WGE2" s="24" t="n"/>
      <c r="WGF2" s="24" t="n"/>
      <c r="WGG2" s="24" t="n"/>
      <c r="WGH2" s="24" t="n"/>
      <c r="WGI2" s="24" t="n"/>
      <c r="WGJ2" s="24" t="n"/>
      <c r="WGK2" s="24" t="n"/>
      <c r="WGL2" s="24" t="n"/>
      <c r="WGM2" s="24" t="n"/>
      <c r="WGN2" s="24" t="n"/>
      <c r="WGO2" s="24" t="n"/>
      <c r="WGP2" s="24" t="n"/>
      <c r="WGQ2" s="24" t="n"/>
      <c r="WGR2" s="24" t="n"/>
      <c r="WGS2" s="24" t="n"/>
      <c r="WGT2" s="24" t="n"/>
      <c r="WGU2" s="24" t="n"/>
      <c r="WGV2" s="24" t="n"/>
      <c r="WGW2" s="24" t="n"/>
      <c r="WGX2" s="24" t="n"/>
      <c r="WGY2" s="24" t="n"/>
      <c r="WGZ2" s="24" t="n"/>
      <c r="WHA2" s="24" t="n"/>
      <c r="WHB2" s="24" t="n"/>
      <c r="WHC2" s="24" t="n"/>
      <c r="WHD2" s="24" t="n"/>
      <c r="WHE2" s="24" t="n"/>
      <c r="WHF2" s="24" t="n"/>
      <c r="WHG2" s="24" t="n"/>
      <c r="WHH2" s="24" t="n"/>
      <c r="WHI2" s="24" t="n"/>
      <c r="WHJ2" s="24" t="n"/>
      <c r="WHK2" s="24" t="n"/>
      <c r="WHL2" s="24" t="n"/>
      <c r="WHM2" s="24" t="n"/>
      <c r="WHN2" s="24" t="n"/>
      <c r="WHO2" s="24" t="n"/>
      <c r="WHP2" s="24" t="n"/>
      <c r="WHQ2" s="24" t="n"/>
      <c r="WHR2" s="24" t="n"/>
      <c r="WHS2" s="24" t="n"/>
      <c r="WHT2" s="24" t="n"/>
      <c r="WHU2" s="24" t="n"/>
      <c r="WHV2" s="24" t="n"/>
      <c r="WHW2" s="24" t="n"/>
      <c r="WHX2" s="24" t="n"/>
      <c r="WHY2" s="24" t="n"/>
      <c r="WHZ2" s="24" t="n"/>
      <c r="WIA2" s="24" t="n"/>
      <c r="WIB2" s="24" t="n"/>
      <c r="WIC2" s="24" t="n"/>
      <c r="WID2" s="24" t="n"/>
      <c r="WIE2" s="24" t="n"/>
      <c r="WIF2" s="24" t="n"/>
      <c r="WIG2" s="24" t="n"/>
      <c r="WIH2" s="24" t="n"/>
      <c r="WII2" s="24" t="n"/>
      <c r="WIJ2" s="24" t="n"/>
      <c r="WIK2" s="24" t="n"/>
      <c r="WIL2" s="24" t="n"/>
      <c r="WIM2" s="24" t="n"/>
      <c r="WIN2" s="24" t="n"/>
      <c r="WIO2" s="24" t="n"/>
      <c r="WIP2" s="24" t="n"/>
      <c r="WIQ2" s="24" t="n"/>
      <c r="WIR2" s="24" t="n"/>
      <c r="WIS2" s="24" t="n"/>
      <c r="WIT2" s="24" t="n"/>
      <c r="WIU2" s="24" t="n"/>
      <c r="WIV2" s="24" t="n"/>
      <c r="WIW2" s="24" t="n"/>
      <c r="WIX2" s="24" t="n"/>
      <c r="WIY2" s="24" t="n"/>
      <c r="WIZ2" s="24" t="n"/>
      <c r="WJA2" s="24" t="n"/>
      <c r="WJB2" s="24" t="n"/>
      <c r="WJC2" s="24" t="n"/>
      <c r="WJD2" s="24" t="n"/>
      <c r="WJE2" s="24" t="n"/>
      <c r="WJF2" s="24" t="n"/>
      <c r="WJG2" s="24" t="n"/>
      <c r="WJH2" s="24" t="n"/>
      <c r="WJI2" s="24" t="n"/>
      <c r="WJJ2" s="24" t="n"/>
      <c r="WJK2" s="24" t="n"/>
      <c r="WJL2" s="24" t="n"/>
      <c r="WJM2" s="24" t="n"/>
      <c r="WJN2" s="24" t="n"/>
      <c r="WJO2" s="24" t="n"/>
      <c r="WJP2" s="24" t="n"/>
      <c r="WJQ2" s="24" t="n"/>
      <c r="WJR2" s="24" t="n"/>
      <c r="WJS2" s="24" t="n"/>
      <c r="WJT2" s="24" t="n"/>
      <c r="WJU2" s="24" t="n"/>
      <c r="WJV2" s="24" t="n"/>
      <c r="WJW2" s="24" t="n"/>
      <c r="WJX2" s="24" t="n"/>
      <c r="WJY2" s="24" t="n"/>
      <c r="WJZ2" s="24" t="n"/>
      <c r="WKA2" s="24" t="n"/>
      <c r="WKB2" s="24" t="n"/>
      <c r="WKC2" s="24" t="n"/>
      <c r="WKD2" s="24" t="n"/>
      <c r="WKE2" s="24" t="n"/>
      <c r="WKF2" s="24" t="n"/>
      <c r="WKG2" s="24" t="n"/>
      <c r="WKH2" s="24" t="n"/>
      <c r="WKI2" s="24" t="n"/>
      <c r="WKJ2" s="24" t="n"/>
      <c r="WKK2" s="24" t="n"/>
      <c r="WKL2" s="24" t="n"/>
      <c r="WKM2" s="24" t="n"/>
      <c r="WKN2" s="24" t="n"/>
      <c r="WKO2" s="24" t="n"/>
      <c r="WKP2" s="24" t="n"/>
      <c r="WKQ2" s="24" t="n"/>
      <c r="WKR2" s="24" t="n"/>
      <c r="WKS2" s="24" t="n"/>
      <c r="WKT2" s="24" t="n"/>
      <c r="WKU2" s="24" t="n"/>
      <c r="WKV2" s="24" t="n"/>
      <c r="WKW2" s="24" t="n"/>
      <c r="WKX2" s="24" t="n"/>
      <c r="WKY2" s="24" t="n"/>
      <c r="WKZ2" s="24" t="n"/>
      <c r="WLA2" s="24" t="n"/>
      <c r="WLB2" s="24" t="n"/>
      <c r="WLC2" s="24" t="n"/>
      <c r="WLD2" s="24" t="n"/>
      <c r="WLE2" s="24" t="n"/>
      <c r="WLF2" s="24" t="n"/>
      <c r="WLG2" s="24" t="n"/>
      <c r="WLH2" s="24" t="n"/>
      <c r="WLI2" s="24" t="n"/>
      <c r="WLJ2" s="24" t="n"/>
      <c r="WLK2" s="24" t="n"/>
      <c r="WLL2" s="24" t="n"/>
      <c r="WLM2" s="24" t="n"/>
      <c r="WLN2" s="24" t="n"/>
      <c r="WLO2" s="24" t="n"/>
      <c r="WLP2" s="24" t="n"/>
      <c r="WLQ2" s="24" t="n"/>
      <c r="WLR2" s="24" t="n"/>
      <c r="WLS2" s="24" t="n"/>
      <c r="WLT2" s="24" t="n"/>
      <c r="WLU2" s="24" t="n"/>
      <c r="WLV2" s="24" t="n"/>
      <c r="WLW2" s="24" t="n"/>
      <c r="WLX2" s="24" t="n"/>
      <c r="WLY2" s="24" t="n"/>
      <c r="WLZ2" s="24" t="n"/>
      <c r="WMA2" s="24" t="n"/>
      <c r="WMB2" s="24" t="n"/>
      <c r="WMC2" s="24" t="n"/>
      <c r="WMD2" s="24" t="n"/>
      <c r="WME2" s="24" t="n"/>
      <c r="WMF2" s="24" t="n"/>
      <c r="WMG2" s="24" t="n"/>
      <c r="WMH2" s="24" t="n"/>
      <c r="WMI2" s="24" t="n"/>
      <c r="WMJ2" s="24" t="n"/>
      <c r="WMK2" s="24" t="n"/>
      <c r="WML2" s="24" t="n"/>
      <c r="WMM2" s="24" t="n"/>
      <c r="WMN2" s="24" t="n"/>
      <c r="WMO2" s="24" t="n"/>
      <c r="WMP2" s="24" t="n"/>
      <c r="WMQ2" s="24" t="n"/>
      <c r="WMR2" s="24" t="n"/>
      <c r="WMS2" s="24" t="n"/>
      <c r="WMT2" s="24" t="n"/>
      <c r="WMU2" s="24" t="n"/>
      <c r="WMV2" s="24" t="n"/>
      <c r="WMW2" s="24" t="n"/>
      <c r="WMX2" s="24" t="n"/>
      <c r="WMY2" s="24" t="n"/>
      <c r="WMZ2" s="24" t="n"/>
      <c r="WNA2" s="24" t="n"/>
      <c r="WNB2" s="24" t="n"/>
      <c r="WNC2" s="24" t="n"/>
      <c r="WND2" s="24" t="n"/>
      <c r="WNE2" s="24" t="n"/>
      <c r="WNF2" s="24" t="n"/>
      <c r="WNG2" s="24" t="n"/>
      <c r="WNH2" s="24" t="n"/>
      <c r="WNI2" s="24" t="n"/>
      <c r="WNJ2" s="24" t="n"/>
      <c r="WNK2" s="24" t="n"/>
      <c r="WNL2" s="24" t="n"/>
      <c r="WNM2" s="24" t="n"/>
      <c r="WNN2" s="24" t="n"/>
      <c r="WNO2" s="24" t="n"/>
      <c r="WNP2" s="24" t="n"/>
      <c r="WNQ2" s="24" t="n"/>
      <c r="WNR2" s="24" t="n"/>
      <c r="WNS2" s="24" t="n"/>
      <c r="WNT2" s="24" t="n"/>
      <c r="WNU2" s="24" t="n"/>
      <c r="WNV2" s="24" t="n"/>
      <c r="WNW2" s="24" t="n"/>
      <c r="WNX2" s="24" t="n"/>
      <c r="WNY2" s="24" t="n"/>
      <c r="WNZ2" s="24" t="n"/>
      <c r="WOA2" s="24" t="n"/>
      <c r="WOB2" s="24" t="n"/>
      <c r="WOC2" s="24" t="n"/>
      <c r="WOD2" s="24" t="n"/>
      <c r="WOE2" s="24" t="n"/>
      <c r="WOF2" s="24" t="n"/>
      <c r="WOG2" s="24" t="n"/>
      <c r="WOH2" s="24" t="n"/>
      <c r="WOI2" s="24" t="n"/>
      <c r="WOJ2" s="24" t="n"/>
      <c r="WOK2" s="24" t="n"/>
      <c r="WOL2" s="24" t="n"/>
      <c r="WOM2" s="24" t="n"/>
      <c r="WON2" s="24" t="n"/>
      <c r="WOO2" s="24" t="n"/>
      <c r="WOP2" s="24" t="n"/>
      <c r="WOQ2" s="24" t="n"/>
      <c r="WOR2" s="24" t="n"/>
      <c r="WOS2" s="24" t="n"/>
      <c r="WOT2" s="24" t="n"/>
      <c r="WOU2" s="24" t="n"/>
      <c r="WOV2" s="24" t="n"/>
      <c r="WOW2" s="24" t="n"/>
      <c r="WOX2" s="24" t="n"/>
      <c r="WOY2" s="24" t="n"/>
      <c r="WOZ2" s="24" t="n"/>
      <c r="WPA2" s="24" t="n"/>
      <c r="WPB2" s="24" t="n"/>
      <c r="WPC2" s="24" t="n"/>
      <c r="WPD2" s="24" t="n"/>
      <c r="WPE2" s="24" t="n"/>
      <c r="WPF2" s="24" t="n"/>
      <c r="WPG2" s="24" t="n"/>
      <c r="WPH2" s="24" t="n"/>
      <c r="WPI2" s="24" t="n"/>
      <c r="WPJ2" s="24" t="n"/>
      <c r="WPK2" s="24" t="n"/>
      <c r="WPL2" s="24" t="n"/>
      <c r="WPM2" s="24" t="n"/>
      <c r="WPN2" s="24" t="n"/>
      <c r="WPO2" s="24" t="n"/>
      <c r="WPP2" s="24" t="n"/>
      <c r="WPQ2" s="24" t="n"/>
      <c r="WPR2" s="24" t="n"/>
      <c r="WPS2" s="24" t="n"/>
      <c r="WPT2" s="24" t="n"/>
      <c r="WPU2" s="24" t="n"/>
      <c r="WPV2" s="24" t="n"/>
      <c r="WPW2" s="24" t="n"/>
      <c r="WPX2" s="24" t="n"/>
      <c r="WPY2" s="24" t="n"/>
      <c r="WPZ2" s="24" t="n"/>
      <c r="WQA2" s="24" t="n"/>
      <c r="WQB2" s="24" t="n"/>
      <c r="WQC2" s="24" t="n"/>
      <c r="WQD2" s="24" t="n"/>
      <c r="WQE2" s="24" t="n"/>
      <c r="WQF2" s="24" t="n"/>
      <c r="WQG2" s="24" t="n"/>
      <c r="WQH2" s="24" t="n"/>
      <c r="WQI2" s="24" t="n"/>
      <c r="WQJ2" s="24" t="n"/>
      <c r="WQK2" s="24" t="n"/>
      <c r="WQL2" s="24" t="n"/>
      <c r="WQM2" s="24" t="n"/>
      <c r="WQN2" s="24" t="n"/>
      <c r="WQO2" s="24" t="n"/>
      <c r="WQP2" s="24" t="n"/>
      <c r="WQQ2" s="24" t="n"/>
      <c r="WQR2" s="24" t="n"/>
      <c r="WQS2" s="24" t="n"/>
      <c r="WQT2" s="24" t="n"/>
      <c r="WQU2" s="24" t="n"/>
      <c r="WQV2" s="24" t="n"/>
      <c r="WQW2" s="24" t="n"/>
      <c r="WQX2" s="24" t="n"/>
      <c r="WQY2" s="24" t="n"/>
      <c r="WQZ2" s="24" t="n"/>
      <c r="WRA2" s="24" t="n"/>
      <c r="WRB2" s="24" t="n"/>
      <c r="WRC2" s="24" t="n"/>
      <c r="WRD2" s="24" t="n"/>
      <c r="WRE2" s="24" t="n"/>
      <c r="WRF2" s="24" t="n"/>
      <c r="WRG2" s="24" t="n"/>
      <c r="WRH2" s="24" t="n"/>
      <c r="WRI2" s="24" t="n"/>
      <c r="WRJ2" s="24" t="n"/>
      <c r="WRK2" s="24" t="n"/>
      <c r="WRL2" s="24" t="n"/>
      <c r="WRM2" s="24" t="n"/>
      <c r="WRN2" s="24" t="n"/>
      <c r="WRO2" s="24" t="n"/>
      <c r="WRP2" s="24" t="n"/>
      <c r="WRQ2" s="24" t="n"/>
      <c r="WRR2" s="24" t="n"/>
      <c r="WRS2" s="24" t="n"/>
      <c r="WRT2" s="24" t="n"/>
      <c r="WRU2" s="24" t="n"/>
      <c r="WRV2" s="24" t="n"/>
      <c r="WRW2" s="24" t="n"/>
      <c r="WRX2" s="24" t="n"/>
      <c r="WRY2" s="24" t="n"/>
      <c r="WRZ2" s="24" t="n"/>
      <c r="WSA2" s="24" t="n"/>
      <c r="WSB2" s="24" t="n"/>
      <c r="WSC2" s="24" t="n"/>
      <c r="WSD2" s="24" t="n"/>
      <c r="WSE2" s="24" t="n"/>
      <c r="WSF2" s="24" t="n"/>
      <c r="WSG2" s="24" t="n"/>
      <c r="WSH2" s="24" t="n"/>
      <c r="WSI2" s="24" t="n"/>
      <c r="WSJ2" s="24" t="n"/>
      <c r="WSK2" s="24" t="n"/>
      <c r="WSL2" s="24" t="n"/>
      <c r="WSM2" s="24" t="n"/>
      <c r="WSN2" s="24" t="n"/>
      <c r="WSO2" s="24" t="n"/>
      <c r="WSP2" s="24" t="n"/>
      <c r="WSQ2" s="24" t="n"/>
      <c r="WSR2" s="24" t="n"/>
      <c r="WSS2" s="24" t="n"/>
      <c r="WST2" s="24" t="n"/>
      <c r="WSU2" s="24" t="n"/>
      <c r="WSV2" s="24" t="n"/>
      <c r="WSW2" s="24" t="n"/>
      <c r="WSX2" s="24" t="n"/>
      <c r="WSY2" s="24" t="n"/>
      <c r="WSZ2" s="24" t="n"/>
      <c r="WTA2" s="24" t="n"/>
      <c r="WTB2" s="24" t="n"/>
      <c r="WTC2" s="24" t="n"/>
      <c r="WTD2" s="24" t="n"/>
      <c r="WTE2" s="24" t="n"/>
      <c r="WTF2" s="24" t="n"/>
      <c r="WTG2" s="24" t="n"/>
      <c r="WTH2" s="24" t="n"/>
      <c r="WTI2" s="24" t="n"/>
      <c r="WTJ2" s="24" t="n"/>
      <c r="WTK2" s="24" t="n"/>
      <c r="WTL2" s="24" t="n"/>
      <c r="WTM2" s="24" t="n"/>
      <c r="WTN2" s="24" t="n"/>
      <c r="WTO2" s="24" t="n"/>
      <c r="WTP2" s="24" t="n"/>
      <c r="WTQ2" s="24" t="n"/>
      <c r="WTR2" s="24" t="n"/>
      <c r="WTS2" s="24" t="n"/>
      <c r="WTT2" s="24" t="n"/>
      <c r="WTU2" s="24" t="n"/>
      <c r="WTV2" s="24" t="n"/>
      <c r="WTW2" s="24" t="n"/>
      <c r="WTX2" s="24" t="n"/>
      <c r="WTY2" s="24" t="n"/>
      <c r="WTZ2" s="24" t="n"/>
      <c r="WUA2" s="24" t="n"/>
      <c r="WUB2" s="24" t="n"/>
      <c r="WUC2" s="24" t="n"/>
      <c r="WUD2" s="24" t="n"/>
      <c r="WUE2" s="24" t="n"/>
      <c r="WUF2" s="24" t="n"/>
      <c r="WUG2" s="24" t="n"/>
      <c r="WUH2" s="24" t="n"/>
      <c r="WUI2" s="24" t="n"/>
      <c r="WUJ2" s="24" t="n"/>
      <c r="WUK2" s="24" t="n"/>
      <c r="WUL2" s="24" t="n"/>
      <c r="WUM2" s="24" t="n"/>
      <c r="WUN2" s="24" t="n"/>
      <c r="WUO2" s="24" t="n"/>
      <c r="WUP2" s="24" t="n"/>
      <c r="WUQ2" s="24" t="n"/>
      <c r="WUR2" s="24" t="n"/>
      <c r="WUS2" s="24" t="n"/>
      <c r="WUT2" s="24" t="n"/>
      <c r="WUU2" s="24" t="n"/>
      <c r="WUV2" s="24" t="n"/>
      <c r="WUW2" s="24" t="n"/>
      <c r="WUX2" s="24" t="n"/>
      <c r="WUY2" s="24" t="n"/>
      <c r="WUZ2" s="24" t="n"/>
      <c r="WVA2" s="24" t="n"/>
      <c r="WVB2" s="24" t="n"/>
      <c r="WVC2" s="24" t="n"/>
      <c r="WVD2" s="24" t="n"/>
      <c r="WVE2" s="24" t="n"/>
      <c r="WVF2" s="24" t="n"/>
      <c r="WVG2" s="24" t="n"/>
      <c r="WVH2" s="24" t="n"/>
      <c r="WVI2" s="24" t="n"/>
      <c r="WVJ2" s="24" t="n"/>
      <c r="WVK2" s="24" t="n"/>
      <c r="WVL2" s="24" t="n"/>
      <c r="WVM2" s="24" t="n"/>
      <c r="WVN2" s="24" t="n"/>
      <c r="WVO2" s="24" t="n"/>
      <c r="WVP2" s="24" t="n"/>
      <c r="WVQ2" s="24" t="n"/>
      <c r="WVR2" s="24" t="n"/>
      <c r="WVS2" s="24" t="n"/>
      <c r="WVT2" s="24" t="n"/>
      <c r="WVU2" s="24" t="n"/>
      <c r="WVV2" s="24" t="n"/>
      <c r="WVW2" s="24" t="n"/>
      <c r="WVX2" s="24" t="n"/>
      <c r="WVY2" s="24" t="n"/>
      <c r="WVZ2" s="24" t="n"/>
      <c r="WWA2" s="24" t="n"/>
      <c r="WWB2" s="24" t="n"/>
      <c r="WWC2" s="24" t="n"/>
      <c r="WWD2" s="24" t="n"/>
      <c r="WWE2" s="24" t="n"/>
      <c r="WWF2" s="24" t="n"/>
      <c r="WWG2" s="24" t="n"/>
      <c r="WWH2" s="24" t="n"/>
      <c r="WWI2" s="24" t="n"/>
      <c r="WWJ2" s="24" t="n"/>
      <c r="WWK2" s="24" t="n"/>
      <c r="WWL2" s="24" t="n"/>
      <c r="WWM2" s="24" t="n"/>
      <c r="WWN2" s="24" t="n"/>
      <c r="WWO2" s="24" t="n"/>
      <c r="WWP2" s="24" t="n"/>
      <c r="WWQ2" s="24" t="n"/>
      <c r="WWR2" s="24" t="n"/>
      <c r="WWS2" s="24" t="n"/>
      <c r="WWT2" s="24" t="n"/>
      <c r="WWU2" s="24" t="n"/>
      <c r="WWV2" s="24" t="n"/>
      <c r="WWW2" s="24" t="n"/>
      <c r="WWX2" s="24" t="n"/>
      <c r="WWY2" s="24" t="n"/>
      <c r="WWZ2" s="24" t="n"/>
      <c r="WXA2" s="24" t="n"/>
      <c r="WXB2" s="24" t="n"/>
      <c r="WXC2" s="24" t="n"/>
      <c r="WXD2" s="24" t="n"/>
      <c r="WXE2" s="24" t="n"/>
      <c r="WXF2" s="24" t="n"/>
      <c r="WXG2" s="24" t="n"/>
      <c r="WXH2" s="24" t="n"/>
      <c r="WXI2" s="24" t="n"/>
      <c r="WXJ2" s="24" t="n"/>
      <c r="WXK2" s="24" t="n"/>
      <c r="WXL2" s="24" t="n"/>
      <c r="WXM2" s="24" t="n"/>
      <c r="WXN2" s="24" t="n"/>
      <c r="WXO2" s="24" t="n"/>
      <c r="WXP2" s="24" t="n"/>
      <c r="WXQ2" s="24" t="n"/>
      <c r="WXR2" s="24" t="n"/>
      <c r="WXS2" s="24" t="n"/>
      <c r="WXT2" s="24" t="n"/>
      <c r="WXU2" s="24" t="n"/>
      <c r="WXV2" s="24" t="n"/>
      <c r="WXW2" s="24" t="n"/>
      <c r="WXX2" s="24" t="n"/>
      <c r="WXY2" s="24" t="n"/>
      <c r="WXZ2" s="24" t="n"/>
      <c r="WYA2" s="24" t="n"/>
      <c r="WYB2" s="24" t="n"/>
      <c r="WYC2" s="24" t="n"/>
      <c r="WYD2" s="24" t="n"/>
      <c r="WYE2" s="24" t="n"/>
      <c r="WYF2" s="24" t="n"/>
      <c r="WYG2" s="24" t="n"/>
      <c r="WYH2" s="24" t="n"/>
      <c r="WYI2" s="24" t="n"/>
      <c r="WYJ2" s="24" t="n"/>
      <c r="WYK2" s="24" t="n"/>
      <c r="WYL2" s="24" t="n"/>
      <c r="WYM2" s="24" t="n"/>
      <c r="WYN2" s="24" t="n"/>
      <c r="WYO2" s="24" t="n"/>
      <c r="WYP2" s="24" t="n"/>
      <c r="WYQ2" s="24" t="n"/>
      <c r="WYR2" s="24" t="n"/>
      <c r="WYS2" s="24" t="n"/>
      <c r="WYT2" s="24" t="n"/>
      <c r="WYU2" s="24" t="n"/>
      <c r="WYV2" s="24" t="n"/>
      <c r="WYW2" s="24" t="n"/>
      <c r="WYX2" s="24" t="n"/>
      <c r="WYY2" s="24" t="n"/>
      <c r="WYZ2" s="24" t="n"/>
      <c r="WZA2" s="24" t="n"/>
      <c r="WZB2" s="24" t="n"/>
      <c r="WZC2" s="24" t="n"/>
      <c r="WZD2" s="24" t="n"/>
      <c r="WZE2" s="24" t="n"/>
      <c r="WZF2" s="24" t="n"/>
      <c r="WZG2" s="24" t="n"/>
      <c r="WZH2" s="24" t="n"/>
      <c r="WZI2" s="24" t="n"/>
      <c r="WZJ2" s="24" t="n"/>
      <c r="WZK2" s="24" t="n"/>
      <c r="WZL2" s="24" t="n"/>
      <c r="WZM2" s="24" t="n"/>
      <c r="WZN2" s="24" t="n"/>
      <c r="WZO2" s="24" t="n"/>
      <c r="WZP2" s="24" t="n"/>
      <c r="WZQ2" s="24" t="n"/>
      <c r="WZR2" s="24" t="n"/>
      <c r="WZS2" s="24" t="n"/>
      <c r="WZT2" s="24" t="n"/>
      <c r="WZU2" s="24" t="n"/>
      <c r="WZV2" s="24" t="n"/>
      <c r="WZW2" s="24" t="n"/>
      <c r="WZX2" s="24" t="n"/>
      <c r="WZY2" s="24" t="n"/>
      <c r="WZZ2" s="24" t="n"/>
      <c r="XAA2" s="24" t="n"/>
      <c r="XAB2" s="24" t="n"/>
      <c r="XAC2" s="24" t="n"/>
      <c r="XAD2" s="24" t="n"/>
      <c r="XAE2" s="24" t="n"/>
      <c r="XAF2" s="24" t="n"/>
      <c r="XAG2" s="24" t="n"/>
      <c r="XAH2" s="24" t="n"/>
      <c r="XAI2" s="24" t="n"/>
      <c r="XAJ2" s="24" t="n"/>
      <c r="XAK2" s="24" t="n"/>
      <c r="XAL2" s="24" t="n"/>
      <c r="XAM2" s="24" t="n"/>
      <c r="XAN2" s="24" t="n"/>
      <c r="XAO2" s="24" t="n"/>
      <c r="XAP2" s="24" t="n"/>
      <c r="XAQ2" s="24" t="n"/>
      <c r="XAR2" s="24" t="n"/>
      <c r="XAS2" s="24" t="n"/>
      <c r="XAT2" s="24" t="n"/>
      <c r="XAU2" s="24" t="n"/>
      <c r="XAV2" s="24" t="n"/>
      <c r="XAW2" s="24" t="n"/>
      <c r="XAX2" s="24" t="n"/>
      <c r="XAY2" s="24" t="n"/>
      <c r="XAZ2" s="24" t="n"/>
      <c r="XBA2" s="24" t="n"/>
      <c r="XBB2" s="24" t="n"/>
      <c r="XBC2" s="24" t="n"/>
      <c r="XBD2" s="24" t="n"/>
      <c r="XBE2" s="24" t="n"/>
      <c r="XBF2" s="24" t="n"/>
      <c r="XBG2" s="24" t="n"/>
      <c r="XBH2" s="24" t="n"/>
      <c r="XBI2" s="24" t="n"/>
      <c r="XBJ2" s="24" t="n"/>
      <c r="XBK2" s="24" t="n"/>
      <c r="XBL2" s="24" t="n"/>
      <c r="XBM2" s="24" t="n"/>
      <c r="XBN2" s="24" t="n"/>
      <c r="XBO2" s="24" t="n"/>
      <c r="XBP2" s="24" t="n"/>
      <c r="XBQ2" s="24" t="n"/>
      <c r="XBR2" s="24" t="n"/>
      <c r="XBS2" s="24" t="n"/>
      <c r="XBT2" s="24" t="n"/>
      <c r="XBU2" s="24" t="n"/>
      <c r="XBV2" s="24" t="n"/>
      <c r="XBW2" s="24" t="n"/>
      <c r="XBX2" s="24" t="n"/>
      <c r="XBY2" s="24" t="n"/>
      <c r="XBZ2" s="24" t="n"/>
      <c r="XCA2" s="24" t="n"/>
      <c r="XCB2" s="24" t="n"/>
      <c r="XCC2" s="24" t="n"/>
      <c r="XCD2" s="24" t="n"/>
      <c r="XCE2" s="24" t="n"/>
      <c r="XCF2" s="24" t="n"/>
      <c r="XCG2" s="24" t="n"/>
      <c r="XCH2" s="24" t="n"/>
      <c r="XCI2" s="24" t="n"/>
      <c r="XCJ2" s="24" t="n"/>
      <c r="XCK2" s="24" t="n"/>
      <c r="XCL2" s="24" t="n"/>
      <c r="XCM2" s="24" t="n"/>
      <c r="XCN2" s="24" t="n"/>
      <c r="XCO2" s="24" t="n"/>
      <c r="XCP2" s="24" t="n"/>
      <c r="XCQ2" s="24" t="n"/>
      <c r="XCR2" s="24" t="n"/>
      <c r="XCS2" s="24" t="n"/>
      <c r="XCT2" s="24" t="n"/>
      <c r="XCU2" s="24" t="n"/>
      <c r="XCV2" s="24" t="n"/>
      <c r="XCW2" s="24" t="n"/>
      <c r="XCX2" s="24" t="n"/>
      <c r="XCY2" s="24" t="n"/>
      <c r="XCZ2" s="24" t="n"/>
      <c r="XDA2" s="24" t="n"/>
      <c r="XDB2" s="24" t="n"/>
      <c r="XDC2" s="24" t="n"/>
      <c r="XDD2" s="24" t="n"/>
      <c r="XDE2" s="24" t="n"/>
      <c r="XDF2" s="24" t="n"/>
      <c r="XDG2" s="24" t="n"/>
      <c r="XDH2" s="24" t="n"/>
      <c r="XDI2" s="24" t="n"/>
      <c r="XDJ2" s="24" t="n"/>
      <c r="XDK2" s="24" t="n"/>
      <c r="XDL2" s="24" t="n"/>
      <c r="XDM2" s="24" t="n"/>
      <c r="XDN2" s="24" t="n"/>
      <c r="XDO2" s="24" t="n"/>
      <c r="XDP2" s="24" t="n"/>
      <c r="XDQ2" s="24" t="n"/>
      <c r="XDR2" s="24" t="n"/>
      <c r="XDS2" s="24" t="n"/>
      <c r="XDT2" s="24" t="n"/>
      <c r="XDU2" s="24" t="n"/>
      <c r="XDV2" s="24" t="n"/>
      <c r="XDW2" s="24" t="n"/>
      <c r="XDX2" s="24" t="n"/>
      <c r="XDY2" s="24" t="n"/>
      <c r="XDZ2" s="24" t="n"/>
      <c r="XEA2" s="24" t="n"/>
      <c r="XEB2" s="24" t="n"/>
      <c r="XEC2" s="24" t="n"/>
      <c r="XED2" s="24" t="n"/>
      <c r="XEE2" s="24" t="n"/>
      <c r="XEF2" s="24" t="n"/>
      <c r="XEG2" s="24" t="n"/>
      <c r="XEH2" s="24" t="n"/>
      <c r="XEI2" s="24" t="n"/>
      <c r="XEJ2" s="24" t="n"/>
      <c r="XEK2" s="24" t="n"/>
      <c r="XEL2" s="24" t="n"/>
      <c r="XEM2" s="24" t="n"/>
      <c r="XEN2" s="24" t="n"/>
      <c r="XEO2" s="24" t="n"/>
      <c r="XEP2" s="24" t="n"/>
      <c r="XEQ2" s="24" t="n"/>
      <c r="XER2" s="24" t="n"/>
      <c r="XES2" s="24" t="n"/>
      <c r="XET2" s="24" t="n"/>
      <c r="XEU2" s="24" t="n"/>
      <c r="XEV2" s="24" t="n"/>
    </row>
    <row r="3" ht="21.5" customHeight="1" s="516">
      <c r="A3" s="180" t="inlineStr">
        <is>
          <t>Revision</t>
        </is>
      </c>
      <c r="B3" s="414">
        <f>'Medius Input Output'!B3</f>
        <v/>
      </c>
      <c r="H3" s="532">
        <f>A18</f>
        <v/>
      </c>
      <c r="I3" s="525" t="n"/>
      <c r="J3" s="525" t="n"/>
      <c r="K3" s="525" t="n"/>
      <c r="L3" s="525" t="n"/>
      <c r="M3" s="525" t="n"/>
      <c r="N3" s="525" t="n"/>
      <c r="O3" s="525" t="n"/>
      <c r="P3" s="525" t="n"/>
      <c r="Q3" s="525" t="n"/>
      <c r="R3" s="525" t="n"/>
      <c r="S3" s="525" t="n"/>
      <c r="T3" s="525" t="n"/>
      <c r="U3" s="525" t="n"/>
      <c r="V3" s="525" t="n"/>
      <c r="W3" s="525" t="n"/>
      <c r="X3" s="526" t="n"/>
      <c r="Z3" s="532">
        <f>A19</f>
        <v/>
      </c>
      <c r="AA3" s="525" t="n"/>
      <c r="AB3" s="525" t="n"/>
      <c r="AC3" s="525" t="n"/>
      <c r="AD3" s="525" t="n"/>
      <c r="AE3" s="525" t="n"/>
      <c r="AF3" s="525" t="n"/>
      <c r="AG3" s="525" t="n"/>
      <c r="AH3" s="525" t="n"/>
      <c r="AI3" s="525" t="n"/>
      <c r="AJ3" s="525" t="n"/>
      <c r="AK3" s="525" t="n"/>
      <c r="AL3" s="525" t="n"/>
      <c r="AM3" s="525" t="n"/>
      <c r="AN3" s="525" t="n"/>
      <c r="AO3" s="525" t="n"/>
      <c r="AP3" s="526" t="n"/>
      <c r="AR3" s="532">
        <f>A20</f>
        <v/>
      </c>
      <c r="AS3" s="525" t="n"/>
      <c r="AT3" s="525" t="n"/>
      <c r="AU3" s="525" t="n"/>
      <c r="AV3" s="525" t="n"/>
      <c r="AW3" s="525" t="n"/>
      <c r="AX3" s="525" t="n"/>
      <c r="AY3" s="525" t="n"/>
      <c r="AZ3" s="525" t="n"/>
      <c r="BA3" s="525" t="n"/>
      <c r="BB3" s="525" t="n"/>
      <c r="BC3" s="525" t="n"/>
      <c r="BD3" s="525" t="n"/>
      <c r="BE3" s="525" t="n"/>
      <c r="BF3" s="525" t="n"/>
      <c r="BG3" s="525" t="n"/>
      <c r="BH3" s="526" t="n"/>
      <c r="BJ3" s="532">
        <f>A21</f>
        <v/>
      </c>
      <c r="BK3" s="525" t="n"/>
      <c r="BL3" s="525" t="n"/>
      <c r="BM3" s="525" t="n"/>
      <c r="BN3" s="525" t="n"/>
      <c r="BO3" s="525" t="n"/>
      <c r="BP3" s="525" t="n"/>
      <c r="BQ3" s="525" t="n"/>
      <c r="BR3" s="525" t="n"/>
      <c r="BS3" s="525" t="n"/>
      <c r="BT3" s="525" t="n"/>
      <c r="BU3" s="525" t="n"/>
      <c r="BV3" s="525" t="n"/>
      <c r="BW3" s="525" t="n"/>
      <c r="BX3" s="525" t="n"/>
      <c r="BY3" s="525" t="n"/>
      <c r="BZ3" s="526" t="n"/>
      <c r="CB3" s="532" t="inlineStr">
        <is>
          <t>Reshuffling</t>
        </is>
      </c>
      <c r="CC3" s="525" t="n"/>
      <c r="CD3" s="525" t="n"/>
      <c r="CE3" s="525" t="n"/>
      <c r="CF3" s="525" t="n"/>
      <c r="CG3" s="525" t="n"/>
      <c r="CH3" s="525" t="n"/>
      <c r="CI3" s="525" t="n"/>
      <c r="CJ3" s="525" t="n"/>
      <c r="CK3" s="525" t="n"/>
      <c r="CL3" s="525" t="n"/>
      <c r="CM3" s="525" t="n"/>
      <c r="CN3" s="525" t="n"/>
      <c r="CO3" s="525" t="n"/>
      <c r="CP3" s="525" t="n"/>
      <c r="CQ3" s="525" t="n"/>
      <c r="CR3" s="526" t="n"/>
    </row>
    <row r="4" ht="18" customHeight="1" s="516">
      <c r="H4" s="531" t="inlineStr">
        <is>
          <t>S.No</t>
        </is>
      </c>
      <c r="I4" s="530" t="inlineStr">
        <is>
          <t>Cycles / Hour</t>
        </is>
      </c>
      <c r="J4" s="522" t="n"/>
      <c r="K4" s="522" t="n"/>
      <c r="L4" s="522" t="n"/>
      <c r="M4" s="522" t="n"/>
      <c r="N4" s="522" t="n"/>
      <c r="O4" s="522" t="n"/>
      <c r="P4" s="522" t="n"/>
      <c r="Q4" s="522" t="n"/>
      <c r="R4" s="522" t="n"/>
      <c r="S4" s="522" t="n"/>
      <c r="T4" s="522" t="n"/>
      <c r="U4" s="522" t="n"/>
      <c r="V4" s="522" t="n"/>
      <c r="W4" s="523" t="n"/>
      <c r="X4" s="168">
        <f>3600/X5</f>
        <v/>
      </c>
      <c r="Z4" s="531" t="inlineStr">
        <is>
          <t>S.No</t>
        </is>
      </c>
      <c r="AA4" s="530" t="inlineStr">
        <is>
          <t>Cycles / Hour</t>
        </is>
      </c>
      <c r="AB4" s="522" t="n"/>
      <c r="AC4" s="522" t="n"/>
      <c r="AD4" s="522" t="n"/>
      <c r="AE4" s="522" t="n"/>
      <c r="AF4" s="522" t="n"/>
      <c r="AG4" s="522" t="n"/>
      <c r="AH4" s="522" t="n"/>
      <c r="AI4" s="522" t="n"/>
      <c r="AJ4" s="522" t="n"/>
      <c r="AK4" s="522" t="n"/>
      <c r="AL4" s="522" t="n"/>
      <c r="AM4" s="522" t="n"/>
      <c r="AN4" s="522" t="n"/>
      <c r="AO4" s="523" t="n"/>
      <c r="AP4" s="168">
        <f>3600/AP5</f>
        <v/>
      </c>
      <c r="AR4" s="531" t="inlineStr">
        <is>
          <t>S.No</t>
        </is>
      </c>
      <c r="AS4" s="530" t="inlineStr">
        <is>
          <t>Cycles / Hour</t>
        </is>
      </c>
      <c r="AT4" s="522" t="n"/>
      <c r="AU4" s="522" t="n"/>
      <c r="AV4" s="522" t="n"/>
      <c r="AW4" s="522" t="n"/>
      <c r="AX4" s="522" t="n"/>
      <c r="AY4" s="522" t="n"/>
      <c r="AZ4" s="522" t="n"/>
      <c r="BA4" s="522" t="n"/>
      <c r="BB4" s="522" t="n"/>
      <c r="BC4" s="522" t="n"/>
      <c r="BD4" s="522" t="n"/>
      <c r="BE4" s="522" t="n"/>
      <c r="BF4" s="522" t="n"/>
      <c r="BG4" s="523" t="n"/>
      <c r="BH4" s="168">
        <f>3600/BH5</f>
        <v/>
      </c>
      <c r="BJ4" s="531" t="inlineStr">
        <is>
          <t>S.No</t>
        </is>
      </c>
      <c r="BK4" s="530" t="inlineStr">
        <is>
          <t>Cycles / Hour</t>
        </is>
      </c>
      <c r="BL4" s="522" t="n"/>
      <c r="BM4" s="522" t="n"/>
      <c r="BN4" s="522" t="n"/>
      <c r="BO4" s="522" t="n"/>
      <c r="BP4" s="522" t="n"/>
      <c r="BQ4" s="522" t="n"/>
      <c r="BR4" s="522" t="n"/>
      <c r="BS4" s="522" t="n"/>
      <c r="BT4" s="522" t="n"/>
      <c r="BU4" s="522" t="n"/>
      <c r="BV4" s="522" t="n"/>
      <c r="BW4" s="522" t="n"/>
      <c r="BX4" s="522" t="n"/>
      <c r="BY4" s="523" t="n"/>
      <c r="BZ4" s="168">
        <f>3600/BZ5</f>
        <v/>
      </c>
      <c r="CB4" s="531" t="inlineStr">
        <is>
          <t>S.No</t>
        </is>
      </c>
      <c r="CC4" s="530" t="inlineStr">
        <is>
          <t>Cycles / Hour</t>
        </is>
      </c>
      <c r="CD4" s="522" t="n"/>
      <c r="CE4" s="522" t="n"/>
      <c r="CF4" s="522" t="n"/>
      <c r="CG4" s="522" t="n"/>
      <c r="CH4" s="522" t="n"/>
      <c r="CI4" s="522" t="n"/>
      <c r="CJ4" s="522" t="n"/>
      <c r="CK4" s="522" t="n"/>
      <c r="CL4" s="522" t="n"/>
      <c r="CM4" s="522" t="n"/>
      <c r="CN4" s="522" t="n"/>
      <c r="CO4" s="522" t="n"/>
      <c r="CP4" s="522" t="n"/>
      <c r="CQ4" s="523" t="n"/>
      <c r="CR4" s="168">
        <f>3600/CR5</f>
        <v/>
      </c>
    </row>
    <row r="5" ht="18" customHeight="1" s="516">
      <c r="H5" s="528" t="n"/>
      <c r="I5" s="530" t="inlineStr">
        <is>
          <t>Effective Cycle Time</t>
        </is>
      </c>
      <c r="J5" s="522" t="n"/>
      <c r="K5" s="522" t="n"/>
      <c r="L5" s="522" t="n"/>
      <c r="M5" s="522" t="n"/>
      <c r="N5" s="522" t="n"/>
      <c r="O5" s="522" t="n"/>
      <c r="P5" s="522" t="n"/>
      <c r="Q5" s="522" t="n"/>
      <c r="R5" s="522" t="n"/>
      <c r="S5" s="522" t="n"/>
      <c r="T5" s="522" t="n"/>
      <c r="U5" s="522" t="n"/>
      <c r="V5" s="522" t="n"/>
      <c r="W5" s="523" t="n"/>
      <c r="X5" s="156">
        <f>X7/X6</f>
        <v/>
      </c>
      <c r="Z5" s="528" t="n"/>
      <c r="AA5" s="530" t="inlineStr">
        <is>
          <t>Effective Cycle Time</t>
        </is>
      </c>
      <c r="AB5" s="522" t="n"/>
      <c r="AC5" s="522" t="n"/>
      <c r="AD5" s="522" t="n"/>
      <c r="AE5" s="522" t="n"/>
      <c r="AF5" s="522" t="n"/>
      <c r="AG5" s="522" t="n"/>
      <c r="AH5" s="522" t="n"/>
      <c r="AI5" s="522" t="n"/>
      <c r="AJ5" s="522" t="n"/>
      <c r="AK5" s="522" t="n"/>
      <c r="AL5" s="522" t="n"/>
      <c r="AM5" s="522" t="n"/>
      <c r="AN5" s="522" t="n"/>
      <c r="AO5" s="523" t="n"/>
      <c r="AP5" s="156">
        <f>AP7/AP6</f>
        <v/>
      </c>
      <c r="AR5" s="528" t="n"/>
      <c r="AS5" s="530" t="inlineStr">
        <is>
          <t>Effective Cycle Time</t>
        </is>
      </c>
      <c r="AT5" s="522" t="n"/>
      <c r="AU5" s="522" t="n"/>
      <c r="AV5" s="522" t="n"/>
      <c r="AW5" s="522" t="n"/>
      <c r="AX5" s="522" t="n"/>
      <c r="AY5" s="522" t="n"/>
      <c r="AZ5" s="522" t="n"/>
      <c r="BA5" s="522" t="n"/>
      <c r="BB5" s="522" t="n"/>
      <c r="BC5" s="522" t="n"/>
      <c r="BD5" s="522" t="n"/>
      <c r="BE5" s="522" t="n"/>
      <c r="BF5" s="522" t="n"/>
      <c r="BG5" s="523" t="n"/>
      <c r="BH5" s="156">
        <f>BH7/BH6</f>
        <v/>
      </c>
      <c r="BJ5" s="528" t="n"/>
      <c r="BK5" s="530" t="inlineStr">
        <is>
          <t>Effective Cycle Time</t>
        </is>
      </c>
      <c r="BL5" s="522" t="n"/>
      <c r="BM5" s="522" t="n"/>
      <c r="BN5" s="522" t="n"/>
      <c r="BO5" s="522" t="n"/>
      <c r="BP5" s="522" t="n"/>
      <c r="BQ5" s="522" t="n"/>
      <c r="BR5" s="522" t="n"/>
      <c r="BS5" s="522" t="n"/>
      <c r="BT5" s="522" t="n"/>
      <c r="BU5" s="522" t="n"/>
      <c r="BV5" s="522" t="n"/>
      <c r="BW5" s="522" t="n"/>
      <c r="BX5" s="522" t="n"/>
      <c r="BY5" s="523" t="n"/>
      <c r="BZ5" s="156">
        <f>BZ7/BZ6</f>
        <v/>
      </c>
      <c r="CB5" s="528" t="n"/>
      <c r="CC5" s="530" t="inlineStr">
        <is>
          <t>Effective Cycle Time</t>
        </is>
      </c>
      <c r="CD5" s="522" t="n"/>
      <c r="CE5" s="522" t="n"/>
      <c r="CF5" s="522" t="n"/>
      <c r="CG5" s="522" t="n"/>
      <c r="CH5" s="522" t="n"/>
      <c r="CI5" s="522" t="n"/>
      <c r="CJ5" s="522" t="n"/>
      <c r="CK5" s="522" t="n"/>
      <c r="CL5" s="522" t="n"/>
      <c r="CM5" s="522" t="n"/>
      <c r="CN5" s="522" t="n"/>
      <c r="CO5" s="522" t="n"/>
      <c r="CP5" s="522" t="n"/>
      <c r="CQ5" s="523" t="n"/>
      <c r="CR5" s="156">
        <f>CR7/CR6</f>
        <v/>
      </c>
    </row>
    <row r="6" ht="18" customHeight="1" s="516">
      <c r="B6" s="1" t="inlineStr">
        <is>
          <t>Standard cycles</t>
        </is>
      </c>
      <c r="C6" s="1" t="inlineStr">
        <is>
          <t>Reshuffling cycles</t>
        </is>
      </c>
      <c r="H6" s="528" t="n"/>
      <c r="I6" s="530" t="inlineStr">
        <is>
          <t>Equipment Utilization</t>
        </is>
      </c>
      <c r="J6" s="522" t="n"/>
      <c r="K6" s="522" t="n"/>
      <c r="L6" s="522" t="n"/>
      <c r="M6" s="522" t="n"/>
      <c r="N6" s="522" t="n"/>
      <c r="O6" s="522" t="n"/>
      <c r="P6" s="522" t="n"/>
      <c r="Q6" s="522" t="n"/>
      <c r="R6" s="522" t="n"/>
      <c r="S6" s="522" t="n"/>
      <c r="T6" s="522" t="n"/>
      <c r="U6" s="522" t="n"/>
      <c r="V6" s="522" t="n"/>
      <c r="W6" s="523" t="n"/>
      <c r="X6" s="157">
        <f>'Master List'!$G$1</f>
        <v/>
      </c>
      <c r="Z6" s="528" t="n"/>
      <c r="AA6" s="530" t="inlineStr">
        <is>
          <t>Equipment Utilization</t>
        </is>
      </c>
      <c r="AB6" s="522" t="n"/>
      <c r="AC6" s="522" t="n"/>
      <c r="AD6" s="522" t="n"/>
      <c r="AE6" s="522" t="n"/>
      <c r="AF6" s="522" t="n"/>
      <c r="AG6" s="522" t="n"/>
      <c r="AH6" s="522" t="n"/>
      <c r="AI6" s="522" t="n"/>
      <c r="AJ6" s="522" t="n"/>
      <c r="AK6" s="522" t="n"/>
      <c r="AL6" s="522" t="n"/>
      <c r="AM6" s="522" t="n"/>
      <c r="AN6" s="522" t="n"/>
      <c r="AO6" s="523" t="n"/>
      <c r="AP6" s="157">
        <f>'Master List'!$G$1</f>
        <v/>
      </c>
      <c r="AR6" s="528" t="n"/>
      <c r="AS6" s="530" t="inlineStr">
        <is>
          <t>Equipment Utilization</t>
        </is>
      </c>
      <c r="AT6" s="522" t="n"/>
      <c r="AU6" s="522" t="n"/>
      <c r="AV6" s="522" t="n"/>
      <c r="AW6" s="522" t="n"/>
      <c r="AX6" s="522" t="n"/>
      <c r="AY6" s="522" t="n"/>
      <c r="AZ6" s="522" t="n"/>
      <c r="BA6" s="522" t="n"/>
      <c r="BB6" s="522" t="n"/>
      <c r="BC6" s="522" t="n"/>
      <c r="BD6" s="522" t="n"/>
      <c r="BE6" s="522" t="n"/>
      <c r="BF6" s="522" t="n"/>
      <c r="BG6" s="523" t="n"/>
      <c r="BH6" s="157">
        <f>'Master List'!$G$1</f>
        <v/>
      </c>
      <c r="BJ6" s="528" t="n"/>
      <c r="BK6" s="530" t="inlineStr">
        <is>
          <t>Equipment Utilization</t>
        </is>
      </c>
      <c r="BL6" s="522" t="n"/>
      <c r="BM6" s="522" t="n"/>
      <c r="BN6" s="522" t="n"/>
      <c r="BO6" s="522" t="n"/>
      <c r="BP6" s="522" t="n"/>
      <c r="BQ6" s="522" t="n"/>
      <c r="BR6" s="522" t="n"/>
      <c r="BS6" s="522" t="n"/>
      <c r="BT6" s="522" t="n"/>
      <c r="BU6" s="522" t="n"/>
      <c r="BV6" s="522" t="n"/>
      <c r="BW6" s="522" t="n"/>
      <c r="BX6" s="522" t="n"/>
      <c r="BY6" s="523" t="n"/>
      <c r="BZ6" s="157">
        <f>'Master List'!$G$1</f>
        <v/>
      </c>
      <c r="CB6" s="528" t="n"/>
      <c r="CC6" s="530" t="inlineStr">
        <is>
          <t>Equipment Utilization</t>
        </is>
      </c>
      <c r="CD6" s="522" t="n"/>
      <c r="CE6" s="522" t="n"/>
      <c r="CF6" s="522" t="n"/>
      <c r="CG6" s="522" t="n"/>
      <c r="CH6" s="522" t="n"/>
      <c r="CI6" s="522" t="n"/>
      <c r="CJ6" s="522" t="n"/>
      <c r="CK6" s="522" t="n"/>
      <c r="CL6" s="522" t="n"/>
      <c r="CM6" s="522" t="n"/>
      <c r="CN6" s="522" t="n"/>
      <c r="CO6" s="522" t="n"/>
      <c r="CP6" s="522" t="n"/>
      <c r="CQ6" s="523" t="n"/>
      <c r="CR6" s="157">
        <f>'Master List'!$G$1</f>
        <v/>
      </c>
    </row>
    <row r="7" ht="27.5" customHeight="1" s="516">
      <c r="A7" s="35" t="inlineStr">
        <is>
          <t>Cycles/ Hr</t>
        </is>
      </c>
      <c r="B7" s="53">
        <f>SUMPRODUCT(D18:D21,E18:E21)</f>
        <v/>
      </c>
      <c r="C7" s="53">
        <f>CR4</f>
        <v/>
      </c>
      <c r="D7" s="6" t="n"/>
      <c r="E7" s="6" t="n"/>
      <c r="F7" s="6" t="n"/>
      <c r="G7" s="151" t="n"/>
      <c r="H7" s="528" t="n"/>
      <c r="I7" s="530" t="inlineStr">
        <is>
          <t>Cycle Time</t>
        </is>
      </c>
      <c r="J7" s="522" t="n"/>
      <c r="K7" s="522" t="n"/>
      <c r="L7" s="522" t="n"/>
      <c r="M7" s="522" t="n"/>
      <c r="N7" s="522" t="n"/>
      <c r="O7" s="522" t="n"/>
      <c r="P7" s="522" t="n"/>
      <c r="Q7" s="522" t="n"/>
      <c r="R7" s="522" t="n"/>
      <c r="S7" s="522" t="n"/>
      <c r="T7" s="522" t="n"/>
      <c r="U7" s="522" t="n"/>
      <c r="V7" s="522" t="n"/>
      <c r="W7" s="523" t="n"/>
      <c r="X7" s="158">
        <f>SUM(X9:X98)</f>
        <v/>
      </c>
      <c r="Z7" s="528" t="n"/>
      <c r="AA7" s="530" t="inlineStr">
        <is>
          <t>Cycle Time</t>
        </is>
      </c>
      <c r="AB7" s="522" t="n"/>
      <c r="AC7" s="522" t="n"/>
      <c r="AD7" s="522" t="n"/>
      <c r="AE7" s="522" t="n"/>
      <c r="AF7" s="522" t="n"/>
      <c r="AG7" s="522" t="n"/>
      <c r="AH7" s="522" t="n"/>
      <c r="AI7" s="522" t="n"/>
      <c r="AJ7" s="522" t="n"/>
      <c r="AK7" s="522" t="n"/>
      <c r="AL7" s="522" t="n"/>
      <c r="AM7" s="522" t="n"/>
      <c r="AN7" s="522" t="n"/>
      <c r="AO7" s="523" t="n"/>
      <c r="AP7" s="158">
        <f>SUM(AP9:AP98)</f>
        <v/>
      </c>
      <c r="AR7" s="528" t="n"/>
      <c r="AS7" s="530" t="inlineStr">
        <is>
          <t>Cycle Time</t>
        </is>
      </c>
      <c r="AT7" s="522" t="n"/>
      <c r="AU7" s="522" t="n"/>
      <c r="AV7" s="522" t="n"/>
      <c r="AW7" s="522" t="n"/>
      <c r="AX7" s="522" t="n"/>
      <c r="AY7" s="522" t="n"/>
      <c r="AZ7" s="522" t="n"/>
      <c r="BA7" s="522" t="n"/>
      <c r="BB7" s="522" t="n"/>
      <c r="BC7" s="522" t="n"/>
      <c r="BD7" s="522" t="n"/>
      <c r="BE7" s="522" t="n"/>
      <c r="BF7" s="522" t="n"/>
      <c r="BG7" s="523" t="n"/>
      <c r="BH7" s="158">
        <f>SUM(BH9:BH98)</f>
        <v/>
      </c>
      <c r="BJ7" s="528" t="n"/>
      <c r="BK7" s="530" t="inlineStr">
        <is>
          <t>Cycle Time</t>
        </is>
      </c>
      <c r="BL7" s="522" t="n"/>
      <c r="BM7" s="522" t="n"/>
      <c r="BN7" s="522" t="n"/>
      <c r="BO7" s="522" t="n"/>
      <c r="BP7" s="522" t="n"/>
      <c r="BQ7" s="522" t="n"/>
      <c r="BR7" s="522" t="n"/>
      <c r="BS7" s="522" t="n"/>
      <c r="BT7" s="522" t="n"/>
      <c r="BU7" s="522" t="n"/>
      <c r="BV7" s="522" t="n"/>
      <c r="BW7" s="522" t="n"/>
      <c r="BX7" s="522" t="n"/>
      <c r="BY7" s="523" t="n"/>
      <c r="BZ7" s="158">
        <f>SUM(BZ9:BZ98)</f>
        <v/>
      </c>
      <c r="CB7" s="528" t="n"/>
      <c r="CC7" s="530" t="inlineStr">
        <is>
          <t>Cycle Time</t>
        </is>
      </c>
      <c r="CD7" s="522" t="n"/>
      <c r="CE7" s="522" t="n"/>
      <c r="CF7" s="522" t="n"/>
      <c r="CG7" s="522" t="n"/>
      <c r="CH7" s="522" t="n"/>
      <c r="CI7" s="522" t="n"/>
      <c r="CJ7" s="522" t="n"/>
      <c r="CK7" s="522" t="n"/>
      <c r="CL7" s="522" t="n"/>
      <c r="CM7" s="522" t="n"/>
      <c r="CN7" s="522" t="n"/>
      <c r="CO7" s="522" t="n"/>
      <c r="CP7" s="522" t="n"/>
      <c r="CQ7" s="523" t="n"/>
      <c r="CR7" s="158">
        <f>SUM(CR9:CR98)</f>
        <v/>
      </c>
    </row>
    <row r="8" ht="27.5" customFormat="1" customHeight="1" s="6">
      <c r="A8" s="60" t="inlineStr">
        <is>
          <t>Totes/ Cases per Hr</t>
        </is>
      </c>
      <c r="B8" s="61">
        <f>SUMPRODUCT(E18:E21,F18:F21)</f>
        <v/>
      </c>
      <c r="C8" s="61">
        <f>C7</f>
        <v/>
      </c>
      <c r="D8" s="1" t="n"/>
      <c r="E8" s="1" t="n"/>
      <c r="F8" s="1" t="n"/>
      <c r="G8" s="147" t="n"/>
      <c r="H8" s="529" t="n"/>
      <c r="I8" s="531" t="inlineStr">
        <is>
          <t>Activity Type</t>
        </is>
      </c>
      <c r="J8" s="159" t="inlineStr">
        <is>
          <t>Steps</t>
        </is>
      </c>
      <c r="K8" s="159" t="inlineStr">
        <is>
          <t>Time to consider in absence of data (sec)</t>
        </is>
      </c>
      <c r="L8" s="159" t="inlineStr">
        <is>
          <t>Speed (m / sec)</t>
        </is>
      </c>
      <c r="M8" s="159" t="inlineStr">
        <is>
          <t>Acceleration (m / sec^2)</t>
        </is>
      </c>
      <c r="N8" s="159" t="inlineStr">
        <is>
          <t>Total Distance (m)</t>
        </is>
      </c>
      <c r="O8" s="159" t="inlineStr">
        <is>
          <t>Time to Reach Max Speed (sec)</t>
        </is>
      </c>
      <c r="P8" s="159" t="inlineStr">
        <is>
          <t>Distance in accerlaration (m)</t>
        </is>
      </c>
      <c r="Q8" s="159" t="inlineStr">
        <is>
          <t>Distance in Max speed (m)</t>
        </is>
      </c>
      <c r="R8" s="159" t="inlineStr">
        <is>
          <t>Distance in de-acceleration (m)</t>
        </is>
      </c>
      <c r="S8" s="159" t="inlineStr">
        <is>
          <t>Time in acceleration (sec)</t>
        </is>
      </c>
      <c r="T8" s="159" t="inlineStr">
        <is>
          <t>Time in full speed (sec)</t>
        </is>
      </c>
      <c r="U8" s="159" t="inlineStr">
        <is>
          <t>Time in de-acceleration (sec)</t>
        </is>
      </c>
      <c r="V8" s="159" t="inlineStr">
        <is>
          <t>Time (sec)</t>
        </is>
      </c>
      <c r="W8" s="159" t="inlineStr">
        <is>
          <t>Units</t>
        </is>
      </c>
      <c r="X8" s="159" t="inlineStr">
        <is>
          <t>Total Time</t>
        </is>
      </c>
      <c r="Y8" s="154" t="n"/>
      <c r="Z8" s="529" t="n"/>
      <c r="AA8" s="531" t="inlineStr">
        <is>
          <t>Activity Type</t>
        </is>
      </c>
      <c r="AB8" s="159" t="inlineStr">
        <is>
          <t>Steps</t>
        </is>
      </c>
      <c r="AC8" s="159" t="inlineStr">
        <is>
          <t>Time to consider in absence of data (sec)</t>
        </is>
      </c>
      <c r="AD8" s="159" t="inlineStr">
        <is>
          <t>Speed (m / sec)</t>
        </is>
      </c>
      <c r="AE8" s="159" t="inlineStr">
        <is>
          <t>Acceleration (m / sec^2)</t>
        </is>
      </c>
      <c r="AF8" s="159" t="inlineStr">
        <is>
          <t>Total Distance (m)</t>
        </is>
      </c>
      <c r="AG8" s="159" t="inlineStr">
        <is>
          <t>Time to Reach Max Speed (sec)</t>
        </is>
      </c>
      <c r="AH8" s="159" t="inlineStr">
        <is>
          <t>Distance in accerlaration (m)</t>
        </is>
      </c>
      <c r="AI8" s="159" t="inlineStr">
        <is>
          <t>Distance in Max speed (m)</t>
        </is>
      </c>
      <c r="AJ8" s="159" t="inlineStr">
        <is>
          <t>Distance in de-acceleration (m)</t>
        </is>
      </c>
      <c r="AK8" s="159" t="inlineStr">
        <is>
          <t>Time in acceleration (sec)</t>
        </is>
      </c>
      <c r="AL8" s="159" t="inlineStr">
        <is>
          <t>Time in full speed (sec)</t>
        </is>
      </c>
      <c r="AM8" s="159" t="inlineStr">
        <is>
          <t>Time in de-acceleration (sec)</t>
        </is>
      </c>
      <c r="AN8" s="159" t="inlineStr">
        <is>
          <t>Time (sec)</t>
        </is>
      </c>
      <c r="AO8" s="159" t="inlineStr">
        <is>
          <t>Units</t>
        </is>
      </c>
      <c r="AP8" s="159" t="inlineStr">
        <is>
          <t>Total Time</t>
        </is>
      </c>
      <c r="AQ8" s="154" t="n"/>
      <c r="AR8" s="529" t="n"/>
      <c r="AS8" s="531" t="inlineStr">
        <is>
          <t>Activity Type</t>
        </is>
      </c>
      <c r="AT8" s="159" t="inlineStr">
        <is>
          <t>Steps</t>
        </is>
      </c>
      <c r="AU8" s="159" t="inlineStr">
        <is>
          <t>Time to consider in absence of data (sec)</t>
        </is>
      </c>
      <c r="AV8" s="159" t="inlineStr">
        <is>
          <t>Speed (m / sec)</t>
        </is>
      </c>
      <c r="AW8" s="159" t="inlineStr">
        <is>
          <t>Acceleration (m / sec^2)</t>
        </is>
      </c>
      <c r="AX8" s="159" t="inlineStr">
        <is>
          <t>Total Distance (m)</t>
        </is>
      </c>
      <c r="AY8" s="159" t="inlineStr">
        <is>
          <t>Time to Reach Max Speed (sec)</t>
        </is>
      </c>
      <c r="AZ8" s="159" t="inlineStr">
        <is>
          <t>Distance in accerlaration (m)</t>
        </is>
      </c>
      <c r="BA8" s="159" t="inlineStr">
        <is>
          <t>Distance in Max speed (m)</t>
        </is>
      </c>
      <c r="BB8" s="159" t="inlineStr">
        <is>
          <t>Distance in de-acceleration (m)</t>
        </is>
      </c>
      <c r="BC8" s="159" t="inlineStr">
        <is>
          <t>Time in acceleration (sec)</t>
        </is>
      </c>
      <c r="BD8" s="159" t="inlineStr">
        <is>
          <t>Time in full speed (sec)</t>
        </is>
      </c>
      <c r="BE8" s="159" t="inlineStr">
        <is>
          <t>Time in de-acceleration (sec)</t>
        </is>
      </c>
      <c r="BF8" s="159" t="inlineStr">
        <is>
          <t>Time (sec)</t>
        </is>
      </c>
      <c r="BG8" s="159" t="inlineStr">
        <is>
          <t>Units</t>
        </is>
      </c>
      <c r="BH8" s="159" t="inlineStr">
        <is>
          <t>Total Time</t>
        </is>
      </c>
      <c r="BI8" s="154" t="n"/>
      <c r="BJ8" s="529" t="n"/>
      <c r="BK8" s="531" t="inlineStr">
        <is>
          <t>Activity Type</t>
        </is>
      </c>
      <c r="BL8" s="159" t="inlineStr">
        <is>
          <t>Steps</t>
        </is>
      </c>
      <c r="BM8" s="159" t="inlineStr">
        <is>
          <t>Time to consider in absence of data (sec)</t>
        </is>
      </c>
      <c r="BN8" s="159" t="inlineStr">
        <is>
          <t>Speed (m / sec)</t>
        </is>
      </c>
      <c r="BO8" s="159" t="inlineStr">
        <is>
          <t>Acceleration (m / sec^2)</t>
        </is>
      </c>
      <c r="BP8" s="159" t="inlineStr">
        <is>
          <t>Total Distance (m)</t>
        </is>
      </c>
      <c r="BQ8" s="159" t="inlineStr">
        <is>
          <t>Time to Reach Max Speed (sec)</t>
        </is>
      </c>
      <c r="BR8" s="159" t="inlineStr">
        <is>
          <t>Distance in accerlaration (m)</t>
        </is>
      </c>
      <c r="BS8" s="159" t="inlineStr">
        <is>
          <t>Distance in Max speed (m)</t>
        </is>
      </c>
      <c r="BT8" s="159" t="inlineStr">
        <is>
          <t>Distance in de-acceleration (m)</t>
        </is>
      </c>
      <c r="BU8" s="159" t="inlineStr">
        <is>
          <t>Time in acceleration (sec)</t>
        </is>
      </c>
      <c r="BV8" s="159" t="inlineStr">
        <is>
          <t>Time in full speed (sec)</t>
        </is>
      </c>
      <c r="BW8" s="159" t="inlineStr">
        <is>
          <t>Time in de-acceleration (sec)</t>
        </is>
      </c>
      <c r="BX8" s="159" t="inlineStr">
        <is>
          <t>Time (sec)</t>
        </is>
      </c>
      <c r="BY8" s="159" t="inlineStr">
        <is>
          <t>Units</t>
        </is>
      </c>
      <c r="BZ8" s="159" t="inlineStr">
        <is>
          <t>Total Time</t>
        </is>
      </c>
      <c r="CA8" s="152" t="n"/>
      <c r="CB8" s="529" t="n"/>
      <c r="CC8" s="531" t="inlineStr">
        <is>
          <t>Activity Type</t>
        </is>
      </c>
      <c r="CD8" s="159" t="inlineStr">
        <is>
          <t>Steps</t>
        </is>
      </c>
      <c r="CE8" s="159" t="inlineStr">
        <is>
          <t>Time to consider in absence of data (sec)</t>
        </is>
      </c>
      <c r="CF8" s="159" t="inlineStr">
        <is>
          <t>Speed (m / sec)</t>
        </is>
      </c>
      <c r="CG8" s="159" t="inlineStr">
        <is>
          <t>Acceleration (m / sec^2)</t>
        </is>
      </c>
      <c r="CH8" s="159" t="inlineStr">
        <is>
          <t>Total Distance (m)</t>
        </is>
      </c>
      <c r="CI8" s="159" t="inlineStr">
        <is>
          <t>Time to Reach Max Speed (sec)</t>
        </is>
      </c>
      <c r="CJ8" s="159" t="inlineStr">
        <is>
          <t>Distance in accerlaration (m)</t>
        </is>
      </c>
      <c r="CK8" s="159" t="inlineStr">
        <is>
          <t>Distance in Max speed (m)</t>
        </is>
      </c>
      <c r="CL8" s="159" t="inlineStr">
        <is>
          <t>Distance in de-acceleration (m)</t>
        </is>
      </c>
      <c r="CM8" s="159" t="inlineStr">
        <is>
          <t>Time in acceleration (sec)</t>
        </is>
      </c>
      <c r="CN8" s="159" t="inlineStr">
        <is>
          <t>Time in full speed (sec)</t>
        </is>
      </c>
      <c r="CO8" s="159" t="inlineStr">
        <is>
          <t>Time in de-acceleration (sec)</t>
        </is>
      </c>
      <c r="CP8" s="159" t="inlineStr">
        <is>
          <t>Time (sec)</t>
        </is>
      </c>
      <c r="CQ8" s="159" t="inlineStr">
        <is>
          <t>Units</t>
        </is>
      </c>
      <c r="CR8" s="159" t="inlineStr">
        <is>
          <t>Total Time</t>
        </is>
      </c>
    </row>
    <row r="9" ht="19" customHeight="1" s="516">
      <c r="A9" s="60" t="inlineStr">
        <is>
          <t>MLS required</t>
        </is>
      </c>
      <c r="B9" s="61">
        <f>B10/B8</f>
        <v/>
      </c>
      <c r="C9" s="61">
        <f>C10/C8</f>
        <v/>
      </c>
      <c r="H9" s="160" t="n">
        <v>1</v>
      </c>
      <c r="I9" s="161" t="inlineStr">
        <is>
          <t>MLS Fork Movement Single Deep</t>
        </is>
      </c>
      <c r="J9" s="162" t="inlineStr">
        <is>
          <t>Receive tote or case from buffer conveyor</t>
        </is>
      </c>
      <c r="K9" s="163">
        <f>IFERROR(VLOOKUP(I9,'Master List'!$A:$D,2,0),0)</f>
        <v/>
      </c>
      <c r="L9" s="163">
        <f>IFERROR(VLOOKUP(I9,'Master List'!$A:$D,3,0),0)</f>
        <v/>
      </c>
      <c r="M9" s="163">
        <f>IFERROR(VLOOKUP(I9,'Master List'!$A:$D,4,0),0)</f>
        <v/>
      </c>
      <c r="N9" s="163" t="n"/>
      <c r="O9" s="163">
        <f>IFERROR(L9/M9,0)</f>
        <v/>
      </c>
      <c r="P9" s="163">
        <f>IFERROR(IF(N9&lt;((1/2*M9*O9^2)*2),1/2*M9*SQRT((N9/2)*2/M9)^2,1/2*M9*O9^2),0)</f>
        <v/>
      </c>
      <c r="Q9" s="163">
        <f>IFERROR(IF(N9-P9-R9&lt;=0,0,N9-P9-R9),0)</f>
        <v/>
      </c>
      <c r="R9" s="163">
        <f>P9</f>
        <v/>
      </c>
      <c r="S9" s="163">
        <f>IFERROR(IF(N9&lt;((1/2*M9*O9^2)*2),SQRT((N9/2)*2/M9),O9),0)</f>
        <v/>
      </c>
      <c r="T9" s="163">
        <f>IFERROR(Q9/L9,0)</f>
        <v/>
      </c>
      <c r="U9" s="163">
        <f>S9</f>
        <v/>
      </c>
      <c r="V9" s="163">
        <f>IF(K9&gt;0,K9,SUM(S9:U9))</f>
        <v/>
      </c>
      <c r="W9" s="163" t="n">
        <v>1</v>
      </c>
      <c r="X9" s="163">
        <f>V9*W9</f>
        <v/>
      </c>
      <c r="Z9" s="160" t="n">
        <v>1</v>
      </c>
      <c r="AA9" s="161" t="inlineStr">
        <is>
          <t>MLS Fork Movement Single Deep</t>
        </is>
      </c>
      <c r="AB9" s="162" t="inlineStr">
        <is>
          <t>Receive tote or case from buffer conveyor</t>
        </is>
      </c>
      <c r="AC9" s="163">
        <f>IFERROR(VLOOKUP(AA9,'Master List'!$A:$D,2,0),0)</f>
        <v/>
      </c>
      <c r="AD9" s="163">
        <f>IFERROR(VLOOKUP(AA9,'Master List'!$A:$D,3,0),0)</f>
        <v/>
      </c>
      <c r="AE9" s="163">
        <f>IFERROR(VLOOKUP(AA9,'Master List'!$A:$D,4,0),0)</f>
        <v/>
      </c>
      <c r="AF9" s="163" t="n"/>
      <c r="AG9" s="163">
        <f>IFERROR(AD9/AE9,0)</f>
        <v/>
      </c>
      <c r="AH9" s="163">
        <f>IFERROR(IF(AF9&lt;((1/2*AE9*AG9^2)*2),1/2*AE9*SQRT((AF9/2)*2/AE9)^2,1/2*AE9*AG9^2),0)</f>
        <v/>
      </c>
      <c r="AI9" s="163">
        <f>IFERROR(IF(AF9-AH9-AJ9&lt;=0,0,AF9-AH9-AJ9),0)</f>
        <v/>
      </c>
      <c r="AJ9" s="163">
        <f>AH9</f>
        <v/>
      </c>
      <c r="AK9" s="163">
        <f>IFERROR(IF(AF9&lt;((1/2*AE9*AG9^2)*2),SQRT((AF9/2)*2/AE9),AG9),0)</f>
        <v/>
      </c>
      <c r="AL9" s="163">
        <f>IFERROR(AI9/AD9,0)</f>
        <v/>
      </c>
      <c r="AM9" s="163">
        <f>AK9</f>
        <v/>
      </c>
      <c r="AN9" s="163">
        <f>IF(AC9&gt;0,AC9,SUM(AK9:AM9))</f>
        <v/>
      </c>
      <c r="AO9" s="163" t="n">
        <v>1</v>
      </c>
      <c r="AP9" s="163">
        <f>AN9*AO9</f>
        <v/>
      </c>
      <c r="AR9" s="160" t="n">
        <v>1</v>
      </c>
      <c r="AS9" s="161" t="inlineStr">
        <is>
          <t>MLS Fork Movement Single Deep</t>
        </is>
      </c>
      <c r="AT9" s="162" t="inlineStr">
        <is>
          <t>Receive tote or case from buffer conveyor</t>
        </is>
      </c>
      <c r="AU9" s="163">
        <f>IFERROR(VLOOKUP(AS9,'Master List'!$A:$D,2,0),0)</f>
        <v/>
      </c>
      <c r="AV9" s="163">
        <f>IFERROR(VLOOKUP(AS9,'Master List'!$A:$D,3,0),0)</f>
        <v/>
      </c>
      <c r="AW9" s="163">
        <f>IFERROR(VLOOKUP(AS9,'Master List'!$A:$D,4,0),0)</f>
        <v/>
      </c>
      <c r="AX9" s="163" t="n"/>
      <c r="AY9" s="163">
        <f>IFERROR(AV9/AW9,0)</f>
        <v/>
      </c>
      <c r="AZ9" s="163">
        <f>IFERROR(IF(AX9&lt;((1/2*AW9*AY9^2)*2),1/2*AW9*SQRT((AX9/2)*2/AW9)^2,1/2*AW9*AY9^2),0)</f>
        <v/>
      </c>
      <c r="BA9" s="163">
        <f>IFERROR(IF(AX9-AZ9-BB9&lt;=0,0,AX9-AZ9-BB9),0)</f>
        <v/>
      </c>
      <c r="BB9" s="163">
        <f>AZ9</f>
        <v/>
      </c>
      <c r="BC9" s="163">
        <f>IFERROR(IF(AX9&lt;((1/2*AW9*AY9^2)*2),SQRT((AX9/2)*2/AW9),AY9),0)</f>
        <v/>
      </c>
      <c r="BD9" s="163">
        <f>IFERROR(BA9/AV9,0)</f>
        <v/>
      </c>
      <c r="BE9" s="163">
        <f>BC9</f>
        <v/>
      </c>
      <c r="BF9" s="163">
        <f>IF(AU9&gt;0,AU9,SUM(BC9:BE9))</f>
        <v/>
      </c>
      <c r="BG9" s="163" t="n">
        <v>1</v>
      </c>
      <c r="BH9" s="163">
        <f>BF9*BG9</f>
        <v/>
      </c>
      <c r="BJ9" s="160" t="n">
        <v>1</v>
      </c>
      <c r="BK9" s="161" t="inlineStr">
        <is>
          <t>MLS Fork Movement Single Deep</t>
        </is>
      </c>
      <c r="BL9" s="162" t="inlineStr">
        <is>
          <t>Receive tote or case from buffer conveyor</t>
        </is>
      </c>
      <c r="BM9" s="163">
        <f>IFERROR(VLOOKUP(BK9,'Master List'!$A:$D,2,0),0)</f>
        <v/>
      </c>
      <c r="BN9" s="163">
        <f>IFERROR(VLOOKUP(BK9,'Master List'!$A:$D,3,0),0)</f>
        <v/>
      </c>
      <c r="BO9" s="163">
        <f>IFERROR(VLOOKUP(BK9,'Master List'!$A:$D,4,0),0)</f>
        <v/>
      </c>
      <c r="BP9" s="163" t="n"/>
      <c r="BQ9" s="163">
        <f>IFERROR(BN9/BO9,0)</f>
        <v/>
      </c>
      <c r="BR9" s="163">
        <f>IFERROR(IF(BP9&lt;((1/2*BO9*BQ9^2)*2),1/2*BO9*SQRT((BP9/2)*2/BO9)^2,1/2*BO9*BQ9^2),0)</f>
        <v/>
      </c>
      <c r="BS9" s="163">
        <f>IFERROR(IF(BP9-BR9-BT9&lt;=0,0,BP9-BR9-BT9),0)</f>
        <v/>
      </c>
      <c r="BT9" s="163">
        <f>BR9</f>
        <v/>
      </c>
      <c r="BU9" s="163">
        <f>IFERROR(IF(BP9&lt;((1/2*BO9*BQ9^2)*2),SQRT((BP9/2)*2/BO9),BQ9),0)</f>
        <v/>
      </c>
      <c r="BV9" s="163">
        <f>IFERROR(BS9/BN9,0)</f>
        <v/>
      </c>
      <c r="BW9" s="163">
        <f>BU9</f>
        <v/>
      </c>
      <c r="BX9" s="163">
        <f>IF(BM9&gt;0,BM9,SUM(BU9:BW9))</f>
        <v/>
      </c>
      <c r="BY9" s="163" t="n">
        <v>1</v>
      </c>
      <c r="BZ9" s="163">
        <f>BX9*BY9</f>
        <v/>
      </c>
      <c r="CB9" s="160" t="n">
        <v>1</v>
      </c>
      <c r="CC9" s="161" t="inlineStr">
        <is>
          <t>MLS Fork Movement Single Deep</t>
        </is>
      </c>
      <c r="CD9" s="162" t="inlineStr">
        <is>
          <t>Putaway or pick tote or case (50% time to first deep)</t>
        </is>
      </c>
      <c r="CE9" s="163">
        <f>IFERROR(VLOOKUP(CC9,'Master List'!$A:$D,2,0),0)</f>
        <v/>
      </c>
      <c r="CF9" s="163">
        <f>IFERROR(VLOOKUP(CC9,'Master List'!$A:$D,3,0),0)</f>
        <v/>
      </c>
      <c r="CG9" s="163">
        <f>IFERROR(VLOOKUP(CC9,'Master List'!$A:$D,4,0),0)</f>
        <v/>
      </c>
      <c r="CH9" s="163" t="n"/>
      <c r="CI9" s="163">
        <f>IFERROR(CF9/CG9,0)</f>
        <v/>
      </c>
      <c r="CJ9" s="163">
        <f>IFERROR(IF(CH9&lt;((1/2*CG9*CI9^2)*2),1/2*CG9*SQRT((CH9/2)*2/CG9)^2,1/2*CG9*CI9^2),0)</f>
        <v/>
      </c>
      <c r="CK9" s="163">
        <f>IFERROR(IF(CH9-CJ9-CL9&lt;=0,0,CH9-CJ9-CL9),0)</f>
        <v/>
      </c>
      <c r="CL9" s="163">
        <f>CJ9</f>
        <v/>
      </c>
      <c r="CM9" s="163">
        <f>IFERROR(IF(CH9&lt;((1/2*CG9*CI9^2)*2),SQRT((CH9/2)*2/CG9),CI9),0)</f>
        <v/>
      </c>
      <c r="CN9" s="163">
        <f>IFERROR(CK9/CF9,0)</f>
        <v/>
      </c>
      <c r="CO9" s="163">
        <f>CM9</f>
        <v/>
      </c>
      <c r="CP9" s="163">
        <f>IF(CE9&gt;0,CE9,SUM(CM9:CO9))</f>
        <v/>
      </c>
      <c r="CQ9" s="163">
        <f>0.5*2</f>
        <v/>
      </c>
      <c r="CR9" s="163">
        <f>CP9*CQ9</f>
        <v/>
      </c>
    </row>
    <row r="10" ht="17" customHeight="1" s="516">
      <c r="A10" s="51" t="inlineStr">
        <is>
          <t>Total Throughput (Cases or totes/ Hr)</t>
        </is>
      </c>
      <c r="B10" s="533">
        <f>SUM('Medius Input Output'!B7:B8)</f>
        <v/>
      </c>
      <c r="C10" s="533">
        <f>'Medius Input Output'!B34</f>
        <v/>
      </c>
      <c r="H10" s="160">
        <f>H9+1</f>
        <v/>
      </c>
      <c r="I10" s="161" t="inlineStr">
        <is>
          <t>MLS Running</t>
        </is>
      </c>
      <c r="J10" s="162" t="inlineStr">
        <is>
          <t>Inbound cycle</t>
        </is>
      </c>
      <c r="K10" s="163">
        <f>IFERROR(VLOOKUP(I10,'Master List'!$A:$D,2,0),0)</f>
        <v/>
      </c>
      <c r="L10" s="163">
        <f>IFERROR(VLOOKUP(I10,'Master List'!$A:$D,3,0),0)</f>
        <v/>
      </c>
      <c r="M10" s="163">
        <f>IFERROR(VLOOKUP(I10,'Master List'!$A:$D,4,0),0)</f>
        <v/>
      </c>
      <c r="N10" s="163">
        <f>C18</f>
        <v/>
      </c>
      <c r="O10" s="163">
        <f>IFERROR(L10/M10,0)</f>
        <v/>
      </c>
      <c r="P10" s="163">
        <f>IFERROR(IF(N10&lt;((1/2*M10*O10^2)*2),1/2*M10*SQRT((N10/2)*2/M10)^2,1/2*M10*O10^2),0)</f>
        <v/>
      </c>
      <c r="Q10" s="163">
        <f>IFERROR(IF(N10-P10-R10&lt;=0,0,N10-P10-R10),0)</f>
        <v/>
      </c>
      <c r="R10" s="163">
        <f>P10</f>
        <v/>
      </c>
      <c r="S10" s="163">
        <f>IFERROR(IF(N10&lt;((1/2*M10*O10^2)*2),SQRT((N10/2)*2/M10),O10),0)</f>
        <v/>
      </c>
      <c r="T10" s="163">
        <f>IFERROR(Q10/L10,0)</f>
        <v/>
      </c>
      <c r="U10" s="163">
        <f>S10</f>
        <v/>
      </c>
      <c r="V10" s="163">
        <f>IF(K10&gt;0,K10,SUM(S10:U10))</f>
        <v/>
      </c>
      <c r="W10" s="163" t="n">
        <v>1</v>
      </c>
      <c r="X10" s="163">
        <f>V10*W10</f>
        <v/>
      </c>
      <c r="Z10" s="160">
        <f>Z9+1</f>
        <v/>
      </c>
      <c r="AA10" s="161" t="inlineStr">
        <is>
          <t>MLS Running</t>
        </is>
      </c>
      <c r="AB10" s="162" t="inlineStr">
        <is>
          <t>Inbound cycle</t>
        </is>
      </c>
      <c r="AC10" s="163">
        <f>IFERROR(VLOOKUP(AA10,'Master List'!$A:$D,2,0),0)</f>
        <v/>
      </c>
      <c r="AD10" s="163">
        <f>IFERROR(VLOOKUP(AA10,'Master List'!$A:$D,3,0),0)</f>
        <v/>
      </c>
      <c r="AE10" s="163">
        <f>IFERROR(VLOOKUP(AA10,'Master List'!$A:$D,4,0),0)</f>
        <v/>
      </c>
      <c r="AF10" s="163">
        <f>C19</f>
        <v/>
      </c>
      <c r="AG10" s="163">
        <f>IFERROR(AD10/AE10,0)</f>
        <v/>
      </c>
      <c r="AH10" s="163">
        <f>IFERROR(IF(AF10&lt;((1/2*AE10*AG10^2)*2),1/2*AE10*SQRT((AF10/2)*2/AE10)^2,1/2*AE10*AG10^2),0)</f>
        <v/>
      </c>
      <c r="AI10" s="163">
        <f>IFERROR(IF(AF10-AH10-AJ10&lt;=0,0,AF10-AH10-AJ10),0)</f>
        <v/>
      </c>
      <c r="AJ10" s="163">
        <f>AH10</f>
        <v/>
      </c>
      <c r="AK10" s="163">
        <f>IFERROR(IF(AF10&lt;((1/2*AE10*AG10^2)*2),SQRT((AF10/2)*2/AE10),AG10),0)</f>
        <v/>
      </c>
      <c r="AL10" s="163">
        <f>IFERROR(AI10/AD10,0)</f>
        <v/>
      </c>
      <c r="AM10" s="163">
        <f>AK10</f>
        <v/>
      </c>
      <c r="AN10" s="163">
        <f>IF(AC10&gt;0,AC10,SUM(AK10:AM10))</f>
        <v/>
      </c>
      <c r="AO10" s="163" t="n">
        <v>1</v>
      </c>
      <c r="AP10" s="163">
        <f>AN10*AO10</f>
        <v/>
      </c>
      <c r="AR10" s="160">
        <f>AR9+1</f>
        <v/>
      </c>
      <c r="AS10" s="161" t="inlineStr">
        <is>
          <t>MLS Running</t>
        </is>
      </c>
      <c r="AT10" s="162" t="inlineStr">
        <is>
          <t>Inbound cycle</t>
        </is>
      </c>
      <c r="AU10" s="163">
        <f>IFERROR(VLOOKUP(AS10,'Master List'!$A:$D,2,0),0)</f>
        <v/>
      </c>
      <c r="AV10" s="163">
        <f>IFERROR(VLOOKUP(AS10,'Master List'!$A:$D,3,0),0)</f>
        <v/>
      </c>
      <c r="AW10" s="163">
        <f>IFERROR(VLOOKUP(AS10,'Master List'!$A:$D,4,0),0)</f>
        <v/>
      </c>
      <c r="AX10" s="163">
        <f>C20</f>
        <v/>
      </c>
      <c r="AY10" s="163">
        <f>IFERROR(AV10/AW10,0)</f>
        <v/>
      </c>
      <c r="AZ10" s="163">
        <f>IFERROR(IF(AX10&lt;((1/2*AW10*AY10^2)*2),1/2*AW10*SQRT((AX10/2)*2/AW10)^2,1/2*AW10*AY10^2),0)</f>
        <v/>
      </c>
      <c r="BA10" s="163">
        <f>IFERROR(IF(AX10-AZ10-BB10&lt;=0,0,AX10-AZ10-BB10),0)</f>
        <v/>
      </c>
      <c r="BB10" s="163">
        <f>AZ10</f>
        <v/>
      </c>
      <c r="BC10" s="163">
        <f>IFERROR(IF(AX10&lt;((1/2*AW10*AY10^2)*2),SQRT((AX10/2)*2/AW10),AY10),0)</f>
        <v/>
      </c>
      <c r="BD10" s="163">
        <f>IFERROR(BA10/AV10,0)</f>
        <v/>
      </c>
      <c r="BE10" s="163">
        <f>BC10</f>
        <v/>
      </c>
      <c r="BF10" s="163">
        <f>IF(AU10&gt;0,AU10,SUM(BC10:BE10))</f>
        <v/>
      </c>
      <c r="BG10" s="163" t="n">
        <v>1</v>
      </c>
      <c r="BH10" s="163">
        <f>BF10*BG10</f>
        <v/>
      </c>
      <c r="BJ10" s="160">
        <f>BJ9+1</f>
        <v/>
      </c>
      <c r="BK10" s="161" t="inlineStr">
        <is>
          <t>MLS Running</t>
        </is>
      </c>
      <c r="BL10" s="162" t="inlineStr">
        <is>
          <t>Single cycle</t>
        </is>
      </c>
      <c r="BM10" s="163">
        <f>IFERROR(VLOOKUP(BK10,'Master List'!$A:$D,2,0),0)</f>
        <v/>
      </c>
      <c r="BN10" s="163">
        <f>IFERROR(VLOOKUP(BK10,'Master List'!$A:$D,3,0),0)</f>
        <v/>
      </c>
      <c r="BO10" s="163">
        <f>IFERROR(VLOOKUP(BK10,'Master List'!$A:$D,4,0),0)</f>
        <v/>
      </c>
      <c r="BP10" s="163">
        <f>C21</f>
        <v/>
      </c>
      <c r="BQ10" s="163">
        <f>IFERROR(BN10/BO10,0)</f>
        <v/>
      </c>
      <c r="BR10" s="163">
        <f>IFERROR(IF(BP10&lt;((1/2*BO10*BQ10^2)*2),1/2*BO10*SQRT((BP10/2)*2/BO10)^2,1/2*BO10*BQ10^2),0)</f>
        <v/>
      </c>
      <c r="BS10" s="163">
        <f>IFERROR(IF(BP10-BR10-BT10&lt;=0,0,BP10-BR10-BT10),0)</f>
        <v/>
      </c>
      <c r="BT10" s="163">
        <f>BR10</f>
        <v/>
      </c>
      <c r="BU10" s="163">
        <f>IFERROR(IF(BP10&lt;((1/2*BO10*BQ10^2)*2),SQRT((BP10/2)*2/BO10),BQ10),0)</f>
        <v/>
      </c>
      <c r="BV10" s="163">
        <f>IFERROR(BS10/BN10,0)</f>
        <v/>
      </c>
      <c r="BW10" s="163">
        <f>BU10</f>
        <v/>
      </c>
      <c r="BX10" s="163">
        <f>IF(BM10&gt;0,BM10,SUM(BU10:BW10))</f>
        <v/>
      </c>
      <c r="BY10" s="163" t="n">
        <v>1</v>
      </c>
      <c r="BZ10" s="163">
        <f>BX10*BY10</f>
        <v/>
      </c>
      <c r="CB10" s="160">
        <f>CB9+1</f>
        <v/>
      </c>
      <c r="CC10" s="161" t="inlineStr">
        <is>
          <t>MLS Fork Movement Double Deep</t>
        </is>
      </c>
      <c r="CD10" s="162" t="inlineStr">
        <is>
          <t>Putaway or pick tote or case (50% time to second deep)</t>
        </is>
      </c>
      <c r="CE10" s="163">
        <f>IFERROR(VLOOKUP(CC10,'Master List'!$A:$D,2,0),0)</f>
        <v/>
      </c>
      <c r="CF10" s="163">
        <f>IFERROR(VLOOKUP(CC10,'Master List'!$A:$D,3,0),0)</f>
        <v/>
      </c>
      <c r="CG10" s="163">
        <f>IFERROR(VLOOKUP(CC10,'Master List'!$A:$D,4,0),0)</f>
        <v/>
      </c>
      <c r="CH10" s="163">
        <f>U18</f>
        <v/>
      </c>
      <c r="CI10" s="163">
        <f>IFERROR(CF10/CG10,0)</f>
        <v/>
      </c>
      <c r="CJ10" s="163">
        <f>IFERROR(IF(CH10&lt;((1/2*CG10*CI10^2)*2),1/2*CG10*SQRT((CH10/2)*2/CG10)^2,1/2*CG10*CI10^2),0)</f>
        <v/>
      </c>
      <c r="CK10" s="163">
        <f>IFERROR(IF(CH10-CJ10-CL10&lt;=0,0,CH10-CJ10-CL10),0)</f>
        <v/>
      </c>
      <c r="CL10" s="163">
        <f>CJ10</f>
        <v/>
      </c>
      <c r="CM10" s="163">
        <f>IFERROR(IF(CH10&lt;((1/2*CG10*CI10^2)*2),SQRT((CH10/2)*2/CG10),CI10),0)</f>
        <v/>
      </c>
      <c r="CN10" s="163">
        <f>IFERROR(CK10/CF10,0)</f>
        <v/>
      </c>
      <c r="CO10" s="163">
        <f>CM10</f>
        <v/>
      </c>
      <c r="CP10" s="163">
        <f>IF(CE10&gt;0,CE10,SUM(CM10:CO10))</f>
        <v/>
      </c>
      <c r="CQ10" s="163">
        <f>CQ9</f>
        <v/>
      </c>
      <c r="CR10" s="163">
        <f>CP10*CQ10</f>
        <v/>
      </c>
    </row>
    <row r="11" ht="17" customHeight="1" s="516">
      <c r="A11" s="484" t="n"/>
      <c r="B11" s="252" t="n"/>
      <c r="C11" s="252" t="n"/>
      <c r="H11" s="160">
        <f>H10+1</f>
        <v/>
      </c>
      <c r="I11" s="161" t="inlineStr">
        <is>
          <t>MLS Hoist Movement</t>
        </is>
      </c>
      <c r="J11" s="162" t="inlineStr">
        <is>
          <t>Move MLS up or down to reach desired level</t>
        </is>
      </c>
      <c r="K11" s="163">
        <f>IFERROR(VLOOKUP(I11,'Master List'!$A:$D,2,0),0)</f>
        <v/>
      </c>
      <c r="L11" s="163">
        <f>IFERROR(VLOOKUP(I11,'Master List'!$A:$D,3,0),0)</f>
        <v/>
      </c>
      <c r="M11" s="163">
        <f>IFERROR(VLOOKUP(I11,'Master List'!$A:$D,4,0),0)</f>
        <v/>
      </c>
      <c r="N11" s="163">
        <f>C40</f>
        <v/>
      </c>
      <c r="O11" s="163">
        <f>IFERROR(L11/M11,0)</f>
        <v/>
      </c>
      <c r="P11" s="163">
        <f>IFERROR(IF(N11&lt;((1/2*M11*O11^2)*2),1/2*M11*SQRT((N11/2)*2/M11)^2,1/2*M11*O11^2),0)</f>
        <v/>
      </c>
      <c r="Q11" s="163">
        <f>IFERROR(IF(N11-P11-R11&lt;=0,0,N11-P11-R11),0)</f>
        <v/>
      </c>
      <c r="R11" s="163">
        <f>P11</f>
        <v/>
      </c>
      <c r="S11" s="163">
        <f>IFERROR(IF(N11&lt;((1/2*M11*O11^2)*2),SQRT((N11/2)*2/M11),O11),0)</f>
        <v/>
      </c>
      <c r="T11" s="163">
        <f>IFERROR(Q11/L11,0)</f>
        <v/>
      </c>
      <c r="U11" s="163">
        <f>S11</f>
        <v/>
      </c>
      <c r="V11" s="163">
        <f>IF(K11&gt;0,K11,SUM(S11:U11))</f>
        <v/>
      </c>
      <c r="W11" s="163" t="n">
        <v>2</v>
      </c>
      <c r="X11" s="163">
        <f>V11*W11</f>
        <v/>
      </c>
      <c r="Z11" s="160">
        <f>Z10+1</f>
        <v/>
      </c>
      <c r="AA11" s="161" t="inlineStr">
        <is>
          <t>MLS Hoist Movement</t>
        </is>
      </c>
      <c r="AB11" s="162" t="inlineStr">
        <is>
          <t>Move MLS up or down to reach desired level</t>
        </is>
      </c>
      <c r="AC11" s="163">
        <f>IFERROR(VLOOKUP(AA11,'Master List'!$A:$D,2,0),0)</f>
        <v/>
      </c>
      <c r="AD11" s="163">
        <f>IFERROR(VLOOKUP(AA11,'Master List'!$A:$D,3,0),0)</f>
        <v/>
      </c>
      <c r="AE11" s="163">
        <f>IFERROR(VLOOKUP(AA11,'Master List'!$A:$D,4,0),0)</f>
        <v/>
      </c>
      <c r="AF11" s="163">
        <f>C40</f>
        <v/>
      </c>
      <c r="AG11" s="163">
        <f>IFERROR(AD11/AE11,0)</f>
        <v/>
      </c>
      <c r="AH11" s="163">
        <f>IFERROR(IF(AF11&lt;((1/2*AE11*AG11^2)*2),1/2*AE11*SQRT((AF11/2)*2/AE11)^2,1/2*AE11*AG11^2),0)</f>
        <v/>
      </c>
      <c r="AI11" s="163">
        <f>IFERROR(IF(AF11-AH11-AJ11&lt;=0,0,AF11-AH11-AJ11),0)</f>
        <v/>
      </c>
      <c r="AJ11" s="163">
        <f>AH11</f>
        <v/>
      </c>
      <c r="AK11" s="163">
        <f>IFERROR(IF(AF11&lt;((1/2*AE11*AG11^2)*2),SQRT((AF11/2)*2/AE11),AG11),0)</f>
        <v/>
      </c>
      <c r="AL11" s="163">
        <f>IFERROR(AI11/AD11,0)</f>
        <v/>
      </c>
      <c r="AM11" s="163">
        <f>AK11</f>
        <v/>
      </c>
      <c r="AN11" s="163">
        <f>IF(AC11&gt;0,AC11,SUM(AK11:AM11))</f>
        <v/>
      </c>
      <c r="AO11" s="163">
        <f>W11</f>
        <v/>
      </c>
      <c r="AP11" s="163">
        <f>AN11*AO11</f>
        <v/>
      </c>
      <c r="AR11" s="160">
        <f>AR10+1</f>
        <v/>
      </c>
      <c r="AS11" s="161" t="inlineStr">
        <is>
          <t>MLS Hoist Movement</t>
        </is>
      </c>
      <c r="AT11" s="162" t="inlineStr">
        <is>
          <t>Move MLS up or down to reach desired level</t>
        </is>
      </c>
      <c r="AU11" s="163">
        <f>IFERROR(VLOOKUP(AS11,'Master List'!$A:$D,2,0),0)</f>
        <v/>
      </c>
      <c r="AV11" s="163">
        <f>IFERROR(VLOOKUP(AS11,'Master List'!$A:$D,3,0),0)</f>
        <v/>
      </c>
      <c r="AW11" s="163">
        <f>IFERROR(VLOOKUP(AS11,'Master List'!$A:$D,4,0),0)</f>
        <v/>
      </c>
      <c r="AX11" s="163">
        <f>C40</f>
        <v/>
      </c>
      <c r="AY11" s="163">
        <f>IFERROR(AV11/AW11,0)</f>
        <v/>
      </c>
      <c r="AZ11" s="163">
        <f>IFERROR(IF(AX11&lt;((1/2*AW11*AY11^2)*2),1/2*AW11*SQRT((AX11/2)*2/AW11)^2,1/2*AW11*AY11^2),0)</f>
        <v/>
      </c>
      <c r="BA11" s="163">
        <f>IFERROR(IF(AX11-AZ11-BB11&lt;=0,0,AX11-AZ11-BB11),0)</f>
        <v/>
      </c>
      <c r="BB11" s="163">
        <f>AZ11</f>
        <v/>
      </c>
      <c r="BC11" s="163">
        <f>IFERROR(IF(AX11&lt;((1/2*AW11*AY11^2)*2),SQRT((AX11/2)*2/AW11),AY11),0)</f>
        <v/>
      </c>
      <c r="BD11" s="163">
        <f>IFERROR(BA11/AV11,0)</f>
        <v/>
      </c>
      <c r="BE11" s="163">
        <f>BC11</f>
        <v/>
      </c>
      <c r="BF11" s="163">
        <f>IF(AU11&gt;0,AU11,SUM(BC11:BE11))</f>
        <v/>
      </c>
      <c r="BG11" s="163">
        <f>W11</f>
        <v/>
      </c>
      <c r="BH11" s="163">
        <f>BF11*BG11</f>
        <v/>
      </c>
      <c r="BJ11" s="160">
        <f>BJ10+1</f>
        <v/>
      </c>
      <c r="BK11" s="161" t="inlineStr">
        <is>
          <t>MLS Hoist Movement</t>
        </is>
      </c>
      <c r="BL11" s="162" t="inlineStr">
        <is>
          <t>Move MLS up or down to reach desired level</t>
        </is>
      </c>
      <c r="BM11" s="163">
        <f>IFERROR(VLOOKUP(BK11,'Master List'!$A:$D,2,0),0)</f>
        <v/>
      </c>
      <c r="BN11" s="163">
        <f>IFERROR(VLOOKUP(BK11,'Master List'!$A:$D,3,0),0)</f>
        <v/>
      </c>
      <c r="BO11" s="163">
        <f>IFERROR(VLOOKUP(BK11,'Master List'!$A:$D,4,0),0)</f>
        <v/>
      </c>
      <c r="BP11" s="163">
        <f>C40</f>
        <v/>
      </c>
      <c r="BQ11" s="163">
        <f>IFERROR(BN11/BO11,0)</f>
        <v/>
      </c>
      <c r="BR11" s="163">
        <f>IFERROR(IF(BP11&lt;((1/2*BO11*BQ11^2)*2),1/2*BO11*SQRT((BP11/2)*2/BO11)^2,1/2*BO11*BQ11^2),0)</f>
        <v/>
      </c>
      <c r="BS11" s="163">
        <f>IFERROR(IF(BP11-BR11-BT11&lt;=0,0,BP11-BR11-BT11),0)</f>
        <v/>
      </c>
      <c r="BT11" s="163">
        <f>BR11</f>
        <v/>
      </c>
      <c r="BU11" s="163">
        <f>IFERROR(IF(BP11&lt;((1/2*BO11*BQ11^2)*2),SQRT((BP11/2)*2/BO11),BQ11),0)</f>
        <v/>
      </c>
      <c r="BV11" s="163">
        <f>IFERROR(BS11/BN11,0)</f>
        <v/>
      </c>
      <c r="BW11" s="163">
        <f>BU11</f>
        <v/>
      </c>
      <c r="BX11" s="163">
        <f>IF(BM11&gt;0,BM11,SUM(BU11:BW11))</f>
        <v/>
      </c>
      <c r="BY11" s="163">
        <f>W11</f>
        <v/>
      </c>
      <c r="BZ11" s="163">
        <f>BX11*BY11</f>
        <v/>
      </c>
      <c r="CB11" s="160">
        <f>CB10+1</f>
        <v/>
      </c>
      <c r="CC11" s="161" t="inlineStr">
        <is>
          <t>MLS Running</t>
        </is>
      </c>
      <c r="CD11" s="162" t="inlineStr">
        <is>
          <t>Outbound cycle</t>
        </is>
      </c>
      <c r="CE11" s="163">
        <f>IFERROR(VLOOKUP(CC11,'Master List'!$A:$D,2,0),0)</f>
        <v/>
      </c>
      <c r="CF11" s="163">
        <f>IFERROR(VLOOKUP(CC11,'Master List'!$A:$D,3,0),0)</f>
        <v/>
      </c>
      <c r="CG11" s="163">
        <f>IFERROR(VLOOKUP(CC11,'Master List'!$A:$D,4,0),0)</f>
        <v/>
      </c>
      <c r="CH11" s="163">
        <f>B25</f>
        <v/>
      </c>
      <c r="CI11" s="163">
        <f>IFERROR(CF11/CG11,0)</f>
        <v/>
      </c>
      <c r="CJ11" s="163">
        <f>IFERROR(IF(CH11&lt;((1/2*CG11*CI11^2)*2),1/2*CG11*SQRT((CH11/2)*2/CG11)^2,1/2*CG11*CI11^2),0)</f>
        <v/>
      </c>
      <c r="CK11" s="163">
        <f>IFERROR(IF(CH11-CJ11-CL11&lt;=0,0,CH11-CJ11-CL11),0)</f>
        <v/>
      </c>
      <c r="CL11" s="163">
        <f>CJ11</f>
        <v/>
      </c>
      <c r="CM11" s="163">
        <f>IFERROR(IF(CH11&lt;((1/2*CG11*CI11^2)*2),SQRT((CH11/2)*2/CG11),CI11),0)</f>
        <v/>
      </c>
      <c r="CN11" s="163">
        <f>IFERROR(CK11/CF11,0)</f>
        <v/>
      </c>
      <c r="CO11" s="163">
        <f>CM11</f>
        <v/>
      </c>
      <c r="CP11" s="163">
        <f>IF(CE11&gt;0,CE11,SUM(CM11:CO11))</f>
        <v/>
      </c>
      <c r="CQ11" s="163" t="n">
        <v>2</v>
      </c>
      <c r="CR11" s="163">
        <f>CP11*CQ11</f>
        <v/>
      </c>
      <c r="EE11" s="582" t="n">
        <v>0</v>
      </c>
    </row>
    <row r="12" ht="17" customHeight="1" s="516">
      <c r="A12" s="468" t="inlineStr">
        <is>
          <t>Total Quadrons required</t>
        </is>
      </c>
      <c r="B12" s="469">
        <f>ROUNDUP(SUM(B9:C9),0)</f>
        <v/>
      </c>
      <c r="C12" s="252" t="n"/>
      <c r="H12" s="160">
        <f>H10+1</f>
        <v/>
      </c>
      <c r="I12" s="161" t="inlineStr">
        <is>
          <t>MLS Fork Movement Single Deep</t>
        </is>
      </c>
      <c r="J12" s="162" t="inlineStr">
        <is>
          <t>Putaway tote or case (50% time to first deep)</t>
        </is>
      </c>
      <c r="K12" s="163">
        <f>IFERROR(VLOOKUP(I12,'Master List'!$A:$D,2,0),0)</f>
        <v/>
      </c>
      <c r="L12" s="163">
        <f>IFERROR(VLOOKUP(I12,'Master List'!$A:$D,3,0),0)</f>
        <v/>
      </c>
      <c r="M12" s="163">
        <f>IFERROR(VLOOKUP(I12,'Master List'!$A:$D,4,0),0)</f>
        <v/>
      </c>
      <c r="N12" s="163" t="n"/>
      <c r="O12" s="163">
        <f>IFERROR(L12/M12,0)</f>
        <v/>
      </c>
      <c r="P12" s="163">
        <f>IFERROR(IF(N12&lt;((1/2*M12*O12^2)*2),1/2*M12*SQRT((N12/2)*2/M12)^2,1/2*M12*O12^2),0)</f>
        <v/>
      </c>
      <c r="Q12" s="163">
        <f>IFERROR(IF(N12-P12-R12&lt;=0,0,N12-P12-R12),0)</f>
        <v/>
      </c>
      <c r="R12" s="163">
        <f>P12</f>
        <v/>
      </c>
      <c r="S12" s="163">
        <f>IFERROR(IF(N12&lt;((1/2*M12*O12^2)*2),SQRT((N12/2)*2/M12),O12),0)</f>
        <v/>
      </c>
      <c r="T12" s="163">
        <f>IFERROR(Q12/L12,0)</f>
        <v/>
      </c>
      <c r="U12" s="163">
        <f>S12</f>
        <v/>
      </c>
      <c r="V12" s="163">
        <f>IF(K12&gt;0,K12,SUM(S12:U12))</f>
        <v/>
      </c>
      <c r="W12" s="163">
        <f>0.5</f>
        <v/>
      </c>
      <c r="X12" s="163">
        <f>V12*W12</f>
        <v/>
      </c>
      <c r="Z12" s="160">
        <f>Z11+1</f>
        <v/>
      </c>
      <c r="AA12" s="161" t="inlineStr">
        <is>
          <t>MLS Fork Movement Single Deep</t>
        </is>
      </c>
      <c r="AB12" s="162" t="inlineStr">
        <is>
          <t>Putaway tote or case (50% time to first deep)</t>
        </is>
      </c>
      <c r="AC12" s="163">
        <f>IFERROR(VLOOKUP(AA12,'Master List'!$A:$D,2,0),0)</f>
        <v/>
      </c>
      <c r="AD12" s="163">
        <f>IFERROR(VLOOKUP(AA12,'Master List'!$A:$D,3,0),0)</f>
        <v/>
      </c>
      <c r="AE12" s="163">
        <f>IFERROR(VLOOKUP(AA12,'Master List'!$A:$D,4,0),0)</f>
        <v/>
      </c>
      <c r="AF12" s="163" t="n"/>
      <c r="AG12" s="163">
        <f>IFERROR(AD12/AE12,0)</f>
        <v/>
      </c>
      <c r="AH12" s="163">
        <f>IFERROR(IF(AF12&lt;((1/2*AE12*AG12^2)*2),1/2*AE12*SQRT((AF12/2)*2/AE12)^2,1/2*AE12*AG12^2),0)</f>
        <v/>
      </c>
      <c r="AI12" s="163">
        <f>IFERROR(IF(AF12-AH12-AJ12&lt;=0,0,AF12-AH12-AJ12),0)</f>
        <v/>
      </c>
      <c r="AJ12" s="163">
        <f>AH12</f>
        <v/>
      </c>
      <c r="AK12" s="163">
        <f>IFERROR(IF(AF12&lt;((1/2*AE12*AG12^2)*2),SQRT((AF12/2)*2/AE12),AG12),0)</f>
        <v/>
      </c>
      <c r="AL12" s="163">
        <f>IFERROR(AI12/AD12,0)</f>
        <v/>
      </c>
      <c r="AM12" s="163">
        <f>AK12</f>
        <v/>
      </c>
      <c r="AN12" s="163">
        <f>IF(AC12&gt;0,AC12,SUM(AK12:AM12))</f>
        <v/>
      </c>
      <c r="AO12" s="163" t="n">
        <v>0.5</v>
      </c>
      <c r="AP12" s="163">
        <f>AN12*AO12</f>
        <v/>
      </c>
      <c r="AR12" s="160">
        <f>AR11+1</f>
        <v/>
      </c>
      <c r="AS12" s="161" t="inlineStr">
        <is>
          <t>MLS Fork Movement Single Deep</t>
        </is>
      </c>
      <c r="AT12" s="162" t="inlineStr">
        <is>
          <t>Putaway tote or case (50% time to first deep)</t>
        </is>
      </c>
      <c r="AU12" s="163">
        <f>IFERROR(VLOOKUP(AS12,'Master List'!$A:$D,2,0),0)</f>
        <v/>
      </c>
      <c r="AV12" s="163">
        <f>IFERROR(VLOOKUP(AS12,'Master List'!$A:$D,3,0),0)</f>
        <v/>
      </c>
      <c r="AW12" s="163">
        <f>IFERROR(VLOOKUP(AS12,'Master List'!$A:$D,4,0),0)</f>
        <v/>
      </c>
      <c r="AX12" s="163" t="n"/>
      <c r="AY12" s="163">
        <f>IFERROR(AV12/AW12,0)</f>
        <v/>
      </c>
      <c r="AZ12" s="163">
        <f>IFERROR(IF(AX12&lt;((1/2*AW12*AY12^2)*2),1/2*AW12*SQRT((AX12/2)*2/AW12)^2,1/2*AW12*AY12^2),0)</f>
        <v/>
      </c>
      <c r="BA12" s="163">
        <f>IFERROR(IF(AX12-AZ12-BB12&lt;=0,0,AX12-AZ12-BB12),0)</f>
        <v/>
      </c>
      <c r="BB12" s="163">
        <f>AZ12</f>
        <v/>
      </c>
      <c r="BC12" s="163">
        <f>IFERROR(IF(AX12&lt;((1/2*AW12*AY12^2)*2),SQRT((AX12/2)*2/AW12),AY12),0)</f>
        <v/>
      </c>
      <c r="BD12" s="163">
        <f>IFERROR(BA12/AV12,0)</f>
        <v/>
      </c>
      <c r="BE12" s="163">
        <f>BC12</f>
        <v/>
      </c>
      <c r="BF12" s="163">
        <f>IF(AU12&gt;0,AU12,SUM(BC12:BE12))</f>
        <v/>
      </c>
      <c r="BG12" s="163" t="n">
        <v>0.5</v>
      </c>
      <c r="BH12" s="163">
        <f>BF12*BG12</f>
        <v/>
      </c>
      <c r="BJ12" s="160">
        <f>BJ11+1</f>
        <v/>
      </c>
      <c r="BK12" s="161" t="inlineStr">
        <is>
          <t>MLS Fork Movement Single Deep</t>
        </is>
      </c>
      <c r="BL12" s="162" t="inlineStr">
        <is>
          <t>Putaway or pick tote or case (50% time to first deep)</t>
        </is>
      </c>
      <c r="BM12" s="163">
        <f>IFERROR(VLOOKUP(BK12,'Master List'!$A:$D,2,0),0)</f>
        <v/>
      </c>
      <c r="BN12" s="163">
        <f>IFERROR(VLOOKUP(BK12,'Master List'!$A:$D,3,0),0)</f>
        <v/>
      </c>
      <c r="BO12" s="163">
        <f>IFERROR(VLOOKUP(BK12,'Master List'!$A:$D,4,0),0)</f>
        <v/>
      </c>
      <c r="BP12" s="163" t="n"/>
      <c r="BQ12" s="163">
        <f>IFERROR(BN12/BO12,0)</f>
        <v/>
      </c>
      <c r="BR12" s="163">
        <f>IFERROR(IF(BP12&lt;((1/2*BO12*BQ12^2)*2),1/2*BO12*SQRT((BP12/2)*2/BO12)^2,1/2*BO12*BQ12^2),0)</f>
        <v/>
      </c>
      <c r="BS12" s="163">
        <f>IFERROR(IF(BP12-BR12-BT12&lt;=0,0,BP12-BR12-BT12),0)</f>
        <v/>
      </c>
      <c r="BT12" s="163">
        <f>BR12</f>
        <v/>
      </c>
      <c r="BU12" s="163">
        <f>IFERROR(IF(BP12&lt;((1/2*BO12*BQ12^2)*2),SQRT((BP12/2)*2/BO12),BQ12),0)</f>
        <v/>
      </c>
      <c r="BV12" s="163">
        <f>IFERROR(BS12/BN12,0)</f>
        <v/>
      </c>
      <c r="BW12" s="163">
        <f>BU12</f>
        <v/>
      </c>
      <c r="BX12" s="163">
        <f>IF(BM12&gt;0,BM12,SUM(BU12:BW12))</f>
        <v/>
      </c>
      <c r="BY12" s="163" t="n">
        <v>0.5</v>
      </c>
      <c r="BZ12" s="163">
        <f>BX12*BY12</f>
        <v/>
      </c>
      <c r="CB12" s="160">
        <f>CB11+1</f>
        <v/>
      </c>
      <c r="CC12" s="161" t="inlineStr">
        <is>
          <t>MLS Hoist Movement</t>
        </is>
      </c>
      <c r="CD12" s="162" t="inlineStr">
        <is>
          <t>Move MLS up or down to reach desired level</t>
        </is>
      </c>
      <c r="CE12" s="163">
        <f>IFERROR(VLOOKUP(CC12,'Master List'!$A:$D,2,0),0)</f>
        <v/>
      </c>
      <c r="CF12" s="163">
        <f>IFERROR(VLOOKUP(CC12,'Master List'!$A:$D,3,0),0)</f>
        <v/>
      </c>
      <c r="CG12" s="163">
        <f>IFERROR(VLOOKUP(CC12,'Master List'!$A:$D,4,0),0)</f>
        <v/>
      </c>
      <c r="CH12" s="163">
        <f>C40</f>
        <v/>
      </c>
      <c r="CI12" s="163">
        <f>IFERROR(CF12/CG12,0)</f>
        <v/>
      </c>
      <c r="CJ12" s="163">
        <f>IFERROR(IF(CH12&lt;((1/2*CG12*CI12^2)*2),1/2*CG12*SQRT((CH12/2)*2/CG12)^2,1/2*CG12*CI12^2),0)</f>
        <v/>
      </c>
      <c r="CK12" s="163">
        <f>IFERROR(IF(CH12-CJ12-CL12&lt;=0,0,CH12-CJ12-CL12),0)</f>
        <v/>
      </c>
      <c r="CL12" s="163">
        <f>CJ12</f>
        <v/>
      </c>
      <c r="CM12" s="163">
        <f>IFERROR(IF(CH12&lt;((1/2*CG12*CI12^2)*2),SQRT((CH12/2)*2/CG12),CI12),0)</f>
        <v/>
      </c>
      <c r="CN12" s="163">
        <f>IFERROR(CK12/CF12,0)</f>
        <v/>
      </c>
      <c r="CO12" s="163">
        <f>CM12</f>
        <v/>
      </c>
      <c r="CP12" s="163">
        <f>IF(CE12&gt;0,CE12,SUM(CM12:CO12))</f>
        <v/>
      </c>
      <c r="CQ12" s="163" t="n">
        <v>2</v>
      </c>
      <c r="CR12" s="163">
        <f>CP12*CQ12</f>
        <v/>
      </c>
      <c r="EE12" s="582" t="n">
        <v>1</v>
      </c>
    </row>
    <row r="13" ht="17" customHeight="1" s="516">
      <c r="A13" s="468" t="inlineStr">
        <is>
          <t>Effective totes or cartons per Hr</t>
        </is>
      </c>
      <c r="B13" s="469">
        <f>B10/B12</f>
        <v/>
      </c>
      <c r="C13" s="252" t="n"/>
      <c r="H13" s="160">
        <f>H11+1</f>
        <v/>
      </c>
      <c r="I13" s="161" t="inlineStr">
        <is>
          <t>MLS Fork Movement Double Deep</t>
        </is>
      </c>
      <c r="J13" s="162" t="inlineStr">
        <is>
          <t>Putaway tote or case (50% time to second deep)</t>
        </is>
      </c>
      <c r="K13" s="163">
        <f>IFERROR(VLOOKUP(I13,'Master List'!$A:$D,2,0),0)</f>
        <v/>
      </c>
      <c r="L13" s="163">
        <f>IFERROR(VLOOKUP(I13,'Master List'!$A:$D,3,0),0)</f>
        <v/>
      </c>
      <c r="M13" s="163">
        <f>IFERROR(VLOOKUP(I13,'Master List'!$A:$D,4,0),0)</f>
        <v/>
      </c>
      <c r="N13" s="163" t="n"/>
      <c r="O13" s="163">
        <f>IFERROR(L13/M13,0)</f>
        <v/>
      </c>
      <c r="P13" s="163">
        <f>IFERROR(IF(N13&lt;((1/2*M13*O13^2)*2),1/2*M13*SQRT((N13/2)*2/M13)^2,1/2*M13*O13^2),0)</f>
        <v/>
      </c>
      <c r="Q13" s="163">
        <f>IFERROR(IF(N13-P13-R13&lt;=0,0,N13-P13-R13),0)</f>
        <v/>
      </c>
      <c r="R13" s="163">
        <f>P13</f>
        <v/>
      </c>
      <c r="S13" s="163">
        <f>IFERROR(IF(N13&lt;((1/2*M13*O13^2)*2),SQRT((N13/2)*2/M13),O13),0)</f>
        <v/>
      </c>
      <c r="T13" s="163">
        <f>IFERROR(Q13/L13,0)</f>
        <v/>
      </c>
      <c r="U13" s="163">
        <f>S13</f>
        <v/>
      </c>
      <c r="V13" s="163">
        <f>IF(K13&gt;0,K13,SUM(S13:U13))</f>
        <v/>
      </c>
      <c r="W13" s="163" t="n">
        <v>0.5</v>
      </c>
      <c r="X13" s="163">
        <f>V13*W13</f>
        <v/>
      </c>
      <c r="Z13" s="160">
        <f>Z12+1</f>
        <v/>
      </c>
      <c r="AA13" s="161" t="inlineStr">
        <is>
          <t>MLS Fork Movement Double Deep</t>
        </is>
      </c>
      <c r="AB13" s="162" t="inlineStr">
        <is>
          <t>Putaway tote or case (50% time to second deep)</t>
        </is>
      </c>
      <c r="AC13" s="163">
        <f>IFERROR(VLOOKUP(AA13,'Master List'!$A:$D,2,0),0)</f>
        <v/>
      </c>
      <c r="AD13" s="163">
        <f>IFERROR(VLOOKUP(AA13,'Master List'!$A:$D,3,0),0)</f>
        <v/>
      </c>
      <c r="AE13" s="163">
        <f>IFERROR(VLOOKUP(AA13,'Master List'!$A:$D,4,0),0)</f>
        <v/>
      </c>
      <c r="AF13" s="163" t="n"/>
      <c r="AG13" s="163">
        <f>IFERROR(AD13/AE13,0)</f>
        <v/>
      </c>
      <c r="AH13" s="163">
        <f>IFERROR(IF(AF13&lt;((1/2*AE13*AG13^2)*2),1/2*AE13*SQRT((AF13/2)*2/AE13)^2,1/2*AE13*AG13^2),0)</f>
        <v/>
      </c>
      <c r="AI13" s="163">
        <f>IFERROR(IF(AF13-AH13-AJ13&lt;=0,0,AF13-AH13-AJ13),0)</f>
        <v/>
      </c>
      <c r="AJ13" s="163">
        <f>AH13</f>
        <v/>
      </c>
      <c r="AK13" s="163">
        <f>IFERROR(IF(AF13&lt;((1/2*AE13*AG13^2)*2),SQRT((AF13/2)*2/AE13),AG13),0)</f>
        <v/>
      </c>
      <c r="AL13" s="163">
        <f>IFERROR(AI13/AD13,0)</f>
        <v/>
      </c>
      <c r="AM13" s="163">
        <f>AK13</f>
        <v/>
      </c>
      <c r="AN13" s="163">
        <f>IF(AC13&gt;0,AC13,SUM(AK13:AM13))</f>
        <v/>
      </c>
      <c r="AO13" s="163" t="n">
        <v>0.5</v>
      </c>
      <c r="AP13" s="163">
        <f>AN13*AO13</f>
        <v/>
      </c>
      <c r="AR13" s="160">
        <f>AR12+1</f>
        <v/>
      </c>
      <c r="AS13" s="161" t="inlineStr">
        <is>
          <t>MLS Fork Movement Double Deep</t>
        </is>
      </c>
      <c r="AT13" s="162" t="inlineStr">
        <is>
          <t>Putaway tote or case (50% time to second deep)</t>
        </is>
      </c>
      <c r="AU13" s="163">
        <f>IFERROR(VLOOKUP(AS13,'Master List'!$A:$D,2,0),0)</f>
        <v/>
      </c>
      <c r="AV13" s="163">
        <f>IFERROR(VLOOKUP(AS13,'Master List'!$A:$D,3,0),0)</f>
        <v/>
      </c>
      <c r="AW13" s="163">
        <f>IFERROR(VLOOKUP(AS13,'Master List'!$A:$D,4,0),0)</f>
        <v/>
      </c>
      <c r="AX13" s="163" t="n"/>
      <c r="AY13" s="163">
        <f>IFERROR(AV13/AW13,0)</f>
        <v/>
      </c>
      <c r="AZ13" s="163">
        <f>IFERROR(IF(AX13&lt;((1/2*AW13*AY13^2)*2),1/2*AW13*SQRT((AX13/2)*2/AW13)^2,1/2*AW13*AY13^2),0)</f>
        <v/>
      </c>
      <c r="BA13" s="163">
        <f>IFERROR(IF(AX13-AZ13-BB13&lt;=0,0,AX13-AZ13-BB13),0)</f>
        <v/>
      </c>
      <c r="BB13" s="163">
        <f>AZ13</f>
        <v/>
      </c>
      <c r="BC13" s="163">
        <f>IFERROR(IF(AX13&lt;((1/2*AW13*AY13^2)*2),SQRT((AX13/2)*2/AW13),AY13),0)</f>
        <v/>
      </c>
      <c r="BD13" s="163">
        <f>IFERROR(BA13/AV13,0)</f>
        <v/>
      </c>
      <c r="BE13" s="163">
        <f>BC13</f>
        <v/>
      </c>
      <c r="BF13" s="163">
        <f>IF(AU13&gt;0,AU13,SUM(BC13:BE13))</f>
        <v/>
      </c>
      <c r="BG13" s="163" t="n">
        <v>0.5</v>
      </c>
      <c r="BH13" s="163">
        <f>BF13*BG13</f>
        <v/>
      </c>
      <c r="BJ13" s="160">
        <f>BJ12+1</f>
        <v/>
      </c>
      <c r="BK13" s="161" t="inlineStr">
        <is>
          <t>MLS Fork Movement Double Deep</t>
        </is>
      </c>
      <c r="BL13" s="162" t="inlineStr">
        <is>
          <t>Putaway or pick tote or case (50% time to second deep)</t>
        </is>
      </c>
      <c r="BM13" s="163">
        <f>IFERROR(VLOOKUP(BK13,'Master List'!$A:$D,2,0),0)</f>
        <v/>
      </c>
      <c r="BN13" s="163">
        <f>IFERROR(VLOOKUP(BK13,'Master List'!$A:$D,3,0),0)</f>
        <v/>
      </c>
      <c r="BO13" s="163">
        <f>IFERROR(VLOOKUP(BK13,'Master List'!$A:$D,4,0),0)</f>
        <v/>
      </c>
      <c r="BP13" s="163" t="n"/>
      <c r="BQ13" s="163">
        <f>IFERROR(BN13/BO13,0)</f>
        <v/>
      </c>
      <c r="BR13" s="163">
        <f>IFERROR(IF(BP13&lt;((1/2*BO13*BQ13^2)*2),1/2*BO13*SQRT((BP13/2)*2/BO13)^2,1/2*BO13*BQ13^2),0)</f>
        <v/>
      </c>
      <c r="BS13" s="163">
        <f>IFERROR(IF(BP13-BR13-BT13&lt;=0,0,BP13-BR13-BT13),0)</f>
        <v/>
      </c>
      <c r="BT13" s="163">
        <f>BR13</f>
        <v/>
      </c>
      <c r="BU13" s="163">
        <f>IFERROR(IF(BP13&lt;((1/2*BO13*BQ13^2)*2),SQRT((BP13/2)*2/BO13),BQ13),0)</f>
        <v/>
      </c>
      <c r="BV13" s="163">
        <f>IFERROR(BS13/BN13,0)</f>
        <v/>
      </c>
      <c r="BW13" s="163">
        <f>BU13</f>
        <v/>
      </c>
      <c r="BX13" s="163">
        <f>IF(BM13&gt;0,BM13,SUM(BU13:BW13))</f>
        <v/>
      </c>
      <c r="BY13" s="163" t="n">
        <v>0.5</v>
      </c>
      <c r="BZ13" s="163">
        <f>BX13*BY13</f>
        <v/>
      </c>
      <c r="CB13" s="160">
        <f>CB12+1</f>
        <v/>
      </c>
      <c r="CC13" s="161" t="n"/>
      <c r="CD13" s="162" t="n"/>
      <c r="CE13" s="163">
        <f>IFERROR(VLOOKUP(CC13,'Master List'!$A:$D,2,0),0)</f>
        <v/>
      </c>
      <c r="CF13" s="163">
        <f>IFERROR(VLOOKUP(CC13,'Master List'!$A:$D,3,0),0)</f>
        <v/>
      </c>
      <c r="CG13" s="163">
        <f>IFERROR(VLOOKUP(CC13,'Master List'!$A:$D,4,0),0)</f>
        <v/>
      </c>
      <c r="CH13" s="163" t="n"/>
      <c r="CI13" s="163">
        <f>IFERROR(CF13/CG13,0)</f>
        <v/>
      </c>
      <c r="CJ13" s="163">
        <f>IFERROR(IF(CH13&lt;((1/2*CG13*CI13^2)*2),1/2*CG13*SQRT((CH13/2)*2/CG13)^2,1/2*CG13*CI13^2),0)</f>
        <v/>
      </c>
      <c r="CK13" s="163">
        <f>IFERROR(IF(CH13-CJ13-CL13&lt;=0,0,CH13-CJ13-CL13),0)</f>
        <v/>
      </c>
      <c r="CL13" s="163">
        <f>CJ13</f>
        <v/>
      </c>
      <c r="CM13" s="163">
        <f>IFERROR(IF(CH13&lt;((1/2*CG13*CI13^2)*2),SQRT((CH13/2)*2/CG13),CI13),0)</f>
        <v/>
      </c>
      <c r="CN13" s="163">
        <f>IFERROR(CK13/CF13,0)</f>
        <v/>
      </c>
      <c r="CO13" s="163">
        <f>CM13</f>
        <v/>
      </c>
      <c r="CP13" s="163">
        <f>IF(CE13&gt;0,CE13,SUM(CM13:CO13))</f>
        <v/>
      </c>
      <c r="CQ13" s="163" t="n"/>
      <c r="CR13" s="163">
        <f>CP13*CQ13</f>
        <v/>
      </c>
      <c r="EE13" s="582" t="n">
        <v>0</v>
      </c>
    </row>
    <row r="14" ht="17" customHeight="1" s="516">
      <c r="H14" s="160">
        <f>H13+1</f>
        <v/>
      </c>
      <c r="I14" s="161" t="inlineStr">
        <is>
          <t>MLS Running</t>
        </is>
      </c>
      <c r="J14" s="162" t="inlineStr">
        <is>
          <t>Outbound cycle</t>
        </is>
      </c>
      <c r="K14" s="163">
        <f>IFERROR(VLOOKUP(I14,'Master List'!$A:$D,2,0),0)</f>
        <v/>
      </c>
      <c r="L14" s="163">
        <f>IFERROR(VLOOKUP(I14,'Master List'!$A:$D,3,0),0)</f>
        <v/>
      </c>
      <c r="M14" s="163">
        <f>IFERROR(VLOOKUP(I14,'Master List'!$A:$D,4,0),0)</f>
        <v/>
      </c>
      <c r="N14" s="163">
        <f>B23</f>
        <v/>
      </c>
      <c r="O14" s="163">
        <f>IFERROR(L14/M14,0)</f>
        <v/>
      </c>
      <c r="P14" s="163">
        <f>IFERROR(IF(N14&lt;((1/2*M14*O14^2)*2),1/2*M14*SQRT((N14/2)*2/M14)^2,1/2*M14*O14^2),0)</f>
        <v/>
      </c>
      <c r="Q14" s="163">
        <f>IFERROR(IF(N14-P14-R14&lt;=0,0,N14-P14-R14),0)</f>
        <v/>
      </c>
      <c r="R14" s="163">
        <f>P14</f>
        <v/>
      </c>
      <c r="S14" s="163">
        <f>IFERROR(IF(N14&lt;((1/2*M14*O14^2)*2),SQRT((N14/2)*2/M14),O14),0)</f>
        <v/>
      </c>
      <c r="T14" s="163">
        <f>IFERROR(Q14/L14,0)</f>
        <v/>
      </c>
      <c r="U14" s="163">
        <f>S14</f>
        <v/>
      </c>
      <c r="V14" s="163">
        <f>IF(K14&gt;0,K14,SUM(S14:U14))</f>
        <v/>
      </c>
      <c r="W14" s="163" t="n">
        <v>1</v>
      </c>
      <c r="X14" s="163">
        <f>V14*W14</f>
        <v/>
      </c>
      <c r="Z14" s="160">
        <f>Z13+1</f>
        <v/>
      </c>
      <c r="AA14" s="161" t="inlineStr">
        <is>
          <t>MLS Running</t>
        </is>
      </c>
      <c r="AB14" s="162" t="inlineStr">
        <is>
          <t>Outbound cycle</t>
        </is>
      </c>
      <c r="AC14" s="163">
        <f>IFERROR(VLOOKUP(AA14,'Master List'!$A:$D,2,0),0)</f>
        <v/>
      </c>
      <c r="AD14" s="163">
        <f>IFERROR(VLOOKUP(AA14,'Master List'!$A:$D,3,0),0)</f>
        <v/>
      </c>
      <c r="AE14" s="163">
        <f>IFERROR(VLOOKUP(AA14,'Master List'!$A:$D,4,0),0)</f>
        <v/>
      </c>
      <c r="AF14" s="163" t="n"/>
      <c r="AG14" s="163">
        <f>IFERROR(AD14/AE14,0)</f>
        <v/>
      </c>
      <c r="AH14" s="163">
        <f>IFERROR(IF(AF14&lt;((1/2*AE14*AG14^2)*2),1/2*AE14*SQRT((AF14/2)*2/AE14)^2,1/2*AE14*AG14^2),0)</f>
        <v/>
      </c>
      <c r="AI14" s="163">
        <f>IFERROR(IF(AF14-AH14-AJ14&lt;=0,0,AF14-AH14-AJ14),0)</f>
        <v/>
      </c>
      <c r="AJ14" s="163">
        <f>AH14</f>
        <v/>
      </c>
      <c r="AK14" s="163">
        <f>IFERROR(IF(AF14&lt;((1/2*AE14*AG14^2)*2),SQRT((AF14/2)*2/AE14),AG14),0)</f>
        <v/>
      </c>
      <c r="AL14" s="163">
        <f>IFERROR(AI14/AD14,0)</f>
        <v/>
      </c>
      <c r="AM14" s="163">
        <f>AK14</f>
        <v/>
      </c>
      <c r="AN14" s="163">
        <f>IF(AC14&gt;0,AC14,SUM(AK14:AM14))</f>
        <v/>
      </c>
      <c r="AO14" s="163" t="n">
        <v>1</v>
      </c>
      <c r="AP14" s="163">
        <f>AN14*AO14</f>
        <v/>
      </c>
      <c r="AR14" s="160">
        <f>AR13+1</f>
        <v/>
      </c>
      <c r="AS14" s="161" t="inlineStr">
        <is>
          <t>MLS Running</t>
        </is>
      </c>
      <c r="AT14" s="162" t="inlineStr">
        <is>
          <t>Outbound cycle</t>
        </is>
      </c>
      <c r="AU14" s="163">
        <f>IFERROR(VLOOKUP(AS14,'Master List'!$A:$D,2,0),0)</f>
        <v/>
      </c>
      <c r="AV14" s="163">
        <f>IFERROR(VLOOKUP(AS14,'Master List'!$A:$D,3,0),0)</f>
        <v/>
      </c>
      <c r="AW14" s="163">
        <f>IFERROR(VLOOKUP(AS14,'Master List'!$A:$D,4,0),0)</f>
        <v/>
      </c>
      <c r="AX14" s="163">
        <f>B23</f>
        <v/>
      </c>
      <c r="AY14" s="163">
        <f>IFERROR(AV14/AW14,0)</f>
        <v/>
      </c>
      <c r="AZ14" s="163">
        <f>IFERROR(IF(AX14&lt;((1/2*AW14*AY14^2)*2),1/2*AW14*SQRT((AX14/2)*2/AW14)^2,1/2*AW14*AY14^2),0)</f>
        <v/>
      </c>
      <c r="BA14" s="163">
        <f>IFERROR(IF(AX14-AZ14-BB14&lt;=0,0,AX14-AZ14-BB14),0)</f>
        <v/>
      </c>
      <c r="BB14" s="163">
        <f>AZ14</f>
        <v/>
      </c>
      <c r="BC14" s="163">
        <f>IFERROR(IF(AX14&lt;((1/2*AW14*AY14^2)*2),SQRT((AX14/2)*2/AW14),AY14),0)</f>
        <v/>
      </c>
      <c r="BD14" s="163">
        <f>IFERROR(BA14/AV14,0)</f>
        <v/>
      </c>
      <c r="BE14" s="163">
        <f>BC14</f>
        <v/>
      </c>
      <c r="BF14" s="163">
        <f>IF(AU14&gt;0,AU14,SUM(BC14:BE14))</f>
        <v/>
      </c>
      <c r="BG14" s="163" t="n">
        <v>1</v>
      </c>
      <c r="BH14" s="163">
        <f>BF14*BG14</f>
        <v/>
      </c>
      <c r="BJ14" s="160">
        <f>BJ13+1</f>
        <v/>
      </c>
      <c r="BK14" s="161" t="inlineStr">
        <is>
          <t>MLS Running</t>
        </is>
      </c>
      <c r="BL14" s="162" t="inlineStr">
        <is>
          <t>Outbound cycle</t>
        </is>
      </c>
      <c r="BM14" s="163">
        <f>IFERROR(VLOOKUP(BK14,'Master List'!$A:$D,2,0),0)</f>
        <v/>
      </c>
      <c r="BN14" s="163">
        <f>IFERROR(VLOOKUP(BK14,'Master List'!$A:$D,3,0),0)</f>
        <v/>
      </c>
      <c r="BO14" s="163">
        <f>IFERROR(VLOOKUP(BK14,'Master List'!$A:$D,4,0),0)</f>
        <v/>
      </c>
      <c r="BP14" s="163">
        <f>BP10</f>
        <v/>
      </c>
      <c r="BQ14" s="163">
        <f>IFERROR(BN14/BO14,0)</f>
        <v/>
      </c>
      <c r="BR14" s="163">
        <f>IFERROR(IF(BP14&lt;((1/2*BO14*BQ14^2)*2),1/2*BO14*SQRT((BP14/2)*2/BO14)^2,1/2*BO14*BQ14^2),0)</f>
        <v/>
      </c>
      <c r="BS14" s="163">
        <f>IFERROR(IF(BP14-BR14-BT14&lt;=0,0,BP14-BR14-BT14),0)</f>
        <v/>
      </c>
      <c r="BT14" s="163">
        <f>BR14</f>
        <v/>
      </c>
      <c r="BU14" s="163">
        <f>IFERROR(IF(BP14&lt;((1/2*BO14*BQ14^2)*2),SQRT((BP14/2)*2/BO14),BQ14),0)</f>
        <v/>
      </c>
      <c r="BV14" s="163">
        <f>IFERROR(BS14/BN14,0)</f>
        <v/>
      </c>
      <c r="BW14" s="163">
        <f>BU14</f>
        <v/>
      </c>
      <c r="BX14" s="163">
        <f>IF(BM14&gt;0,BM14,SUM(BU14:BW14))</f>
        <v/>
      </c>
      <c r="BY14" s="163" t="n">
        <v>1</v>
      </c>
      <c r="BZ14" s="163">
        <f>BX14*BY14</f>
        <v/>
      </c>
      <c r="CB14" s="160">
        <f>CB13+1</f>
        <v/>
      </c>
      <c r="CC14" s="161" t="n"/>
      <c r="CD14" s="162" t="n"/>
      <c r="CE14" s="163">
        <f>IFERROR(VLOOKUP(CC14,'Master List'!$A:$D,2,0),0)</f>
        <v/>
      </c>
      <c r="CF14" s="163">
        <f>IFERROR(VLOOKUP(CC14,'Master List'!$A:$D,3,0),0)</f>
        <v/>
      </c>
      <c r="CG14" s="163">
        <f>IFERROR(VLOOKUP(CC14,'Master List'!$A:$D,4,0),0)</f>
        <v/>
      </c>
      <c r="CH14" s="163">
        <f>CH10</f>
        <v/>
      </c>
      <c r="CI14" s="163">
        <f>IFERROR(CF14/CG14,0)</f>
        <v/>
      </c>
      <c r="CJ14" s="163">
        <f>IFERROR(IF(CH14&lt;((1/2*CG14*CI14^2)*2),1/2*CG14*SQRT((CH14/2)*2/CG14)^2,1/2*CG14*CI14^2),0)</f>
        <v/>
      </c>
      <c r="CK14" s="163">
        <f>IFERROR(IF(CH14-CJ14-CL14&lt;=0,0,CH14-CJ14-CL14),0)</f>
        <v/>
      </c>
      <c r="CL14" s="163">
        <f>CJ14</f>
        <v/>
      </c>
      <c r="CM14" s="163">
        <f>IFERROR(IF(CH14&lt;((1/2*CG14*CI14^2)*2),SQRT((CH14/2)*2/CG14),CI14),0)</f>
        <v/>
      </c>
      <c r="CN14" s="163">
        <f>IFERROR(CK14/CF14,0)</f>
        <v/>
      </c>
      <c r="CO14" s="163">
        <f>CM14</f>
        <v/>
      </c>
      <c r="CP14" s="163">
        <f>IF(CE14&gt;0,CE14,SUM(CM14:CO14))</f>
        <v/>
      </c>
      <c r="CQ14" s="163" t="n"/>
      <c r="CR14" s="163">
        <f>CP14*CQ14</f>
        <v/>
      </c>
      <c r="EE14" s="582" t="n">
        <v>2</v>
      </c>
    </row>
    <row r="15" ht="17" customHeight="1" s="516">
      <c r="A15" s="33" t="inlineStr">
        <is>
          <t>Aisle length m</t>
        </is>
      </c>
      <c r="B15" s="533">
        <f>'Medius Input Output'!B9</f>
        <v/>
      </c>
      <c r="H15" s="160" t="n"/>
      <c r="I15" s="161" t="inlineStr">
        <is>
          <t>MLS Fork Movement Single Deep</t>
        </is>
      </c>
      <c r="J15" s="162" t="inlineStr">
        <is>
          <t>Pick tote or case (50% time to first deep)</t>
        </is>
      </c>
      <c r="K15" s="163">
        <f>IFERROR(VLOOKUP(I15,'Master List'!$A:$D,2,0),0)</f>
        <v/>
      </c>
      <c r="L15" s="163">
        <f>IFERROR(VLOOKUP(I15,'Master List'!$A:$D,3,0),0)</f>
        <v/>
      </c>
      <c r="M15" s="163">
        <f>IFERROR(VLOOKUP(I15,'Master List'!$A:$D,4,0),0)</f>
        <v/>
      </c>
      <c r="N15" s="163" t="n"/>
      <c r="O15" s="163">
        <f>IFERROR(L15/M15,0)</f>
        <v/>
      </c>
      <c r="P15" s="163">
        <f>IFERROR(IF(N15&lt;((1/2*M15*O15^2)*2),1/2*M15*SQRT((N15/2)*2/M15)^2,1/2*M15*O15^2),0)</f>
        <v/>
      </c>
      <c r="Q15" s="163">
        <f>IFERROR(IF(N15-P15-R15&lt;=0,0,N15-P15-R15),0)</f>
        <v/>
      </c>
      <c r="R15" s="163">
        <f>P15</f>
        <v/>
      </c>
      <c r="S15" s="163">
        <f>IFERROR(IF(N15&lt;((1/2*M15*O15^2)*2),SQRT((N15/2)*2/M15),O15),0)</f>
        <v/>
      </c>
      <c r="T15" s="163">
        <f>IFERROR(Q15/L15,0)</f>
        <v/>
      </c>
      <c r="U15" s="163">
        <f>S15</f>
        <v/>
      </c>
      <c r="V15" s="163">
        <f>IF(K15&gt;0,K15,SUM(S15:U15))</f>
        <v/>
      </c>
      <c r="W15" s="163">
        <f>0.5</f>
        <v/>
      </c>
      <c r="X15" s="163">
        <f>V15*W15</f>
        <v/>
      </c>
      <c r="Z15" s="160">
        <f>Z14+1</f>
        <v/>
      </c>
      <c r="AA15" s="161" t="inlineStr">
        <is>
          <t>MLS Fork Movement Single Deep</t>
        </is>
      </c>
      <c r="AB15" s="162" t="inlineStr">
        <is>
          <t>Pick tote or case (50% time to first deep)</t>
        </is>
      </c>
      <c r="AC15" s="163">
        <f>IFERROR(VLOOKUP(AA15,'Master List'!$A:$D,2,0),0)</f>
        <v/>
      </c>
      <c r="AD15" s="163">
        <f>IFERROR(VLOOKUP(AA15,'Master List'!$A:$D,3,0),0)</f>
        <v/>
      </c>
      <c r="AE15" s="163">
        <f>IFERROR(VLOOKUP(AA15,'Master List'!$A:$D,4,0),0)</f>
        <v/>
      </c>
      <c r="AF15" s="163" t="n"/>
      <c r="AG15" s="163">
        <f>IFERROR(AD15/AE15,0)</f>
        <v/>
      </c>
      <c r="AH15" s="163">
        <f>IFERROR(IF(AF15&lt;((1/2*AE15*AG15^2)*2),1/2*AE15*SQRT((AF15/2)*2/AE15)^2,1/2*AE15*AG15^2),0)</f>
        <v/>
      </c>
      <c r="AI15" s="163">
        <f>IFERROR(IF(AF15-AH15-AJ15&lt;=0,0,AF15-AH15-AJ15),0)</f>
        <v/>
      </c>
      <c r="AJ15" s="163">
        <f>AH15</f>
        <v/>
      </c>
      <c r="AK15" s="163">
        <f>IFERROR(IF(AF15&lt;((1/2*AE15*AG15^2)*2),SQRT((AF15/2)*2/AE15),AG15),0)</f>
        <v/>
      </c>
      <c r="AL15" s="163">
        <f>IFERROR(AI15/AD15,0)</f>
        <v/>
      </c>
      <c r="AM15" s="163">
        <f>AK15</f>
        <v/>
      </c>
      <c r="AN15" s="163">
        <f>IF(AC15&gt;0,AC15,SUM(AK15:AM15))</f>
        <v/>
      </c>
      <c r="AO15" s="163" t="n">
        <v>0.5</v>
      </c>
      <c r="AP15" s="163">
        <f>AN15*AO15</f>
        <v/>
      </c>
      <c r="AR15" s="160">
        <f>AR14+1</f>
        <v/>
      </c>
      <c r="AS15" s="161" t="inlineStr">
        <is>
          <t>MLS Fork Movement Single Deep</t>
        </is>
      </c>
      <c r="AT15" s="162" t="inlineStr">
        <is>
          <t>Pick tote or case (50% time to first deep)</t>
        </is>
      </c>
      <c r="AU15" s="163">
        <f>IFERROR(VLOOKUP(AS15,'Master List'!$A:$D,2,0),0)</f>
        <v/>
      </c>
      <c r="AV15" s="163">
        <f>IFERROR(VLOOKUP(AS15,'Master List'!$A:$D,3,0),0)</f>
        <v/>
      </c>
      <c r="AW15" s="163">
        <f>IFERROR(VLOOKUP(AS15,'Master List'!$A:$D,4,0),0)</f>
        <v/>
      </c>
      <c r="AX15" s="163" t="n"/>
      <c r="AY15" s="163">
        <f>IFERROR(AV15/AW15,0)</f>
        <v/>
      </c>
      <c r="AZ15" s="163">
        <f>IFERROR(IF(AX15&lt;((1/2*AW15*AY15^2)*2),1/2*AW15*SQRT((AX15/2)*2/AW15)^2,1/2*AW15*AY15^2),0)</f>
        <v/>
      </c>
      <c r="BA15" s="163">
        <f>IFERROR(IF(AX15-AZ15-BB15&lt;=0,0,AX15-AZ15-BB15),0)</f>
        <v/>
      </c>
      <c r="BB15" s="163">
        <f>AZ15</f>
        <v/>
      </c>
      <c r="BC15" s="163">
        <f>IFERROR(IF(AX15&lt;((1/2*AW15*AY15^2)*2),SQRT((AX15/2)*2/AW15),AY15),0)</f>
        <v/>
      </c>
      <c r="BD15" s="163">
        <f>IFERROR(BA15/AV15,0)</f>
        <v/>
      </c>
      <c r="BE15" s="163">
        <f>BC15</f>
        <v/>
      </c>
      <c r="BF15" s="163">
        <f>IF(AU15&gt;0,AU15,SUM(BC15:BE15))</f>
        <v/>
      </c>
      <c r="BG15" s="163" t="n">
        <v>0.5</v>
      </c>
      <c r="BH15" s="163">
        <f>BF15*BG15</f>
        <v/>
      </c>
      <c r="BJ15" s="160">
        <f>BJ14+1</f>
        <v/>
      </c>
      <c r="BK15" s="161" t="n"/>
      <c r="BL15" s="162" t="n"/>
      <c r="BM15" s="163">
        <f>IFERROR(VLOOKUP(BK15,'Master List'!$A:$D,2,0),0)</f>
        <v/>
      </c>
      <c r="BN15" s="163">
        <f>IFERROR(VLOOKUP(BK15,'Master List'!$A:$D,3,0),0)</f>
        <v/>
      </c>
      <c r="BO15" s="163">
        <f>IFERROR(VLOOKUP(BK15,'Master List'!$A:$D,4,0),0)</f>
        <v/>
      </c>
      <c r="BP15" s="163" t="n"/>
      <c r="BQ15" s="163">
        <f>IFERROR(BN15/BO15,0)</f>
        <v/>
      </c>
      <c r="BR15" s="163">
        <f>IFERROR(IF(BP15&lt;((1/2*BO15*BQ15^2)*2),1/2*BO15*SQRT((BP15/2)*2/BO15)^2,1/2*BO15*BQ15^2),0)</f>
        <v/>
      </c>
      <c r="BS15" s="163">
        <f>IFERROR(IF(BP15-BR15-BT15&lt;=0,0,BP15-BR15-BT15),0)</f>
        <v/>
      </c>
      <c r="BT15" s="163">
        <f>BR15</f>
        <v/>
      </c>
      <c r="BU15" s="163">
        <f>IFERROR(IF(BP15&lt;((1/2*BO15*BQ15^2)*2),SQRT((BP15/2)*2/BO15),BQ15),0)</f>
        <v/>
      </c>
      <c r="BV15" s="163">
        <f>IFERROR(BS15/BN15,0)</f>
        <v/>
      </c>
      <c r="BW15" s="163">
        <f>BU15</f>
        <v/>
      </c>
      <c r="BX15" s="163">
        <f>IF(BM15&gt;0,BM15,SUM(BU15:BW15))</f>
        <v/>
      </c>
      <c r="BY15" s="163" t="n">
        <v>1</v>
      </c>
      <c r="BZ15" s="163">
        <f>BX15*BY15</f>
        <v/>
      </c>
      <c r="CB15" s="160">
        <f>CB14+1</f>
        <v/>
      </c>
      <c r="CC15" s="161" t="n"/>
      <c r="CD15" s="162" t="n"/>
      <c r="CE15" s="163">
        <f>IFERROR(VLOOKUP(CC15,'Master List'!$A:$D,2,0),0)</f>
        <v/>
      </c>
      <c r="CF15" s="163">
        <f>IFERROR(VLOOKUP(CC15,'Master List'!$A:$D,3,0),0)</f>
        <v/>
      </c>
      <c r="CG15" s="163">
        <f>IFERROR(VLOOKUP(CC15,'Master List'!$A:$D,4,0),0)</f>
        <v/>
      </c>
      <c r="CH15" s="163" t="n"/>
      <c r="CI15" s="163">
        <f>IFERROR(CF15/CG15,0)</f>
        <v/>
      </c>
      <c r="CJ15" s="163">
        <f>IFERROR(IF(CH15&lt;((1/2*CG15*CI15^2)*2),1/2*CG15*SQRT((CH15/2)*2/CG15)^2,1/2*CG15*CI15^2),0)</f>
        <v/>
      </c>
      <c r="CK15" s="163">
        <f>IFERROR(IF(CH15-CJ15-CL15&lt;=0,0,CH15-CJ15-CL15),0)</f>
        <v/>
      </c>
      <c r="CL15" s="163">
        <f>CJ15</f>
        <v/>
      </c>
      <c r="CM15" s="163">
        <f>IFERROR(IF(CH15&lt;((1/2*CG15*CI15^2)*2),SQRT((CH15/2)*2/CG15),CI15),0)</f>
        <v/>
      </c>
      <c r="CN15" s="163">
        <f>IFERROR(CK15/CF15,0)</f>
        <v/>
      </c>
      <c r="CO15" s="163">
        <f>CM15</f>
        <v/>
      </c>
      <c r="CP15" s="163">
        <f>IF(CE15&gt;0,CE15,SUM(CM15:CO15))</f>
        <v/>
      </c>
      <c r="CQ15" s="163" t="n"/>
      <c r="CR15" s="163">
        <f>CP15*CQ15</f>
        <v/>
      </c>
      <c r="EE15" s="582" t="n">
        <v>0</v>
      </c>
    </row>
    <row r="16" ht="15" customHeight="1" s="516">
      <c r="H16" s="160">
        <f>H14+1</f>
        <v/>
      </c>
      <c r="I16" s="161" t="inlineStr">
        <is>
          <t>MLS Fork Movement Double Deep</t>
        </is>
      </c>
      <c r="J16" s="162" t="inlineStr">
        <is>
          <t>Pick tote or case (50% time to second deep)</t>
        </is>
      </c>
      <c r="K16" s="163">
        <f>IFERROR(VLOOKUP(I16,'Master List'!$A:$D,2,0),0)</f>
        <v/>
      </c>
      <c r="L16" s="163">
        <f>IFERROR(VLOOKUP(I16,'Master List'!$A:$D,3,0),0)</f>
        <v/>
      </c>
      <c r="M16" s="163">
        <f>IFERROR(VLOOKUP(I16,'Master List'!$A:$D,4,0),0)</f>
        <v/>
      </c>
      <c r="N16" s="163" t="n"/>
      <c r="O16" s="163">
        <f>IFERROR(L16/M16,0)</f>
        <v/>
      </c>
      <c r="P16" s="163">
        <f>IFERROR(IF(N16&lt;((1/2*M16*O16^2)*2),1/2*M16*SQRT((N16/2)*2/M16)^2,1/2*M16*O16^2),0)</f>
        <v/>
      </c>
      <c r="Q16" s="163">
        <f>IFERROR(IF(N16-P16-R16&lt;=0,0,N16-P16-R16),0)</f>
        <v/>
      </c>
      <c r="R16" s="163">
        <f>P16</f>
        <v/>
      </c>
      <c r="S16" s="163">
        <f>IFERROR(IF(N16&lt;((1/2*M16*O16^2)*2),SQRT((N16/2)*2/M16),O16),0)</f>
        <v/>
      </c>
      <c r="T16" s="163">
        <f>IFERROR(Q16/L16,0)</f>
        <v/>
      </c>
      <c r="U16" s="163">
        <f>S16</f>
        <v/>
      </c>
      <c r="V16" s="163">
        <f>IF(K16&gt;0,K16,SUM(S16:U16))</f>
        <v/>
      </c>
      <c r="W16" s="163" t="n">
        <v>0.5</v>
      </c>
      <c r="X16" s="163">
        <f>V16*W16</f>
        <v/>
      </c>
      <c r="Z16" s="160">
        <f>Z15+1</f>
        <v/>
      </c>
      <c r="AA16" s="161" t="inlineStr">
        <is>
          <t>MLS Fork Movement Double Deep</t>
        </is>
      </c>
      <c r="AB16" s="162" t="inlineStr">
        <is>
          <t>Pick tote or case (50% time to second deep)</t>
        </is>
      </c>
      <c r="AC16" s="163">
        <f>IFERROR(VLOOKUP(AA16,'Master List'!$A:$D,2,0),0)</f>
        <v/>
      </c>
      <c r="AD16" s="163">
        <f>IFERROR(VLOOKUP(AA16,'Master List'!$A:$D,3,0),0)</f>
        <v/>
      </c>
      <c r="AE16" s="163">
        <f>IFERROR(VLOOKUP(AA16,'Master List'!$A:$D,4,0),0)</f>
        <v/>
      </c>
      <c r="AF16" s="163" t="n"/>
      <c r="AG16" s="163">
        <f>IFERROR(AD16/AE16,0)</f>
        <v/>
      </c>
      <c r="AH16" s="163">
        <f>IFERROR(IF(AF16&lt;((1/2*AE16*AG16^2)*2),1/2*AE16*SQRT((AF16/2)*2/AE16)^2,1/2*AE16*AG16^2),0)</f>
        <v/>
      </c>
      <c r="AI16" s="163">
        <f>IFERROR(IF(AF16-AH16-AJ16&lt;=0,0,AF16-AH16-AJ16),0)</f>
        <v/>
      </c>
      <c r="AJ16" s="163">
        <f>AH16</f>
        <v/>
      </c>
      <c r="AK16" s="163">
        <f>IFERROR(IF(AF16&lt;((1/2*AE16*AG16^2)*2),SQRT((AF16/2)*2/AE16),AG16),0)</f>
        <v/>
      </c>
      <c r="AL16" s="163">
        <f>IFERROR(AI16/AD16,0)</f>
        <v/>
      </c>
      <c r="AM16" s="163">
        <f>AK16</f>
        <v/>
      </c>
      <c r="AN16" s="163">
        <f>IF(AC16&gt;0,AC16,SUM(AK16:AM16))</f>
        <v/>
      </c>
      <c r="AO16" s="163" t="n">
        <v>0.5</v>
      </c>
      <c r="AP16" s="163">
        <f>AN16*AO16</f>
        <v/>
      </c>
      <c r="AR16" s="160">
        <f>AR15+1</f>
        <v/>
      </c>
      <c r="AS16" s="161" t="inlineStr">
        <is>
          <t>MLS Fork Movement Double Deep</t>
        </is>
      </c>
      <c r="AT16" s="162" t="inlineStr">
        <is>
          <t>Pick tote or case (50% time to second deep)</t>
        </is>
      </c>
      <c r="AU16" s="163">
        <f>IFERROR(VLOOKUP(AS16,'Master List'!$A:$D,2,0),0)</f>
        <v/>
      </c>
      <c r="AV16" s="163">
        <f>IFERROR(VLOOKUP(AS16,'Master List'!$A:$D,3,0),0)</f>
        <v/>
      </c>
      <c r="AW16" s="163">
        <f>IFERROR(VLOOKUP(AS16,'Master List'!$A:$D,4,0),0)</f>
        <v/>
      </c>
      <c r="AX16" s="163" t="n"/>
      <c r="AY16" s="163">
        <f>IFERROR(AV16/AW16,0)</f>
        <v/>
      </c>
      <c r="AZ16" s="163">
        <f>IFERROR(IF(AX16&lt;((1/2*AW16*AY16^2)*2),1/2*AW16*SQRT((AX16/2)*2/AW16)^2,1/2*AW16*AY16^2),0)</f>
        <v/>
      </c>
      <c r="BA16" s="163">
        <f>IFERROR(IF(AX16-AZ16-BB16&lt;=0,0,AX16-AZ16-BB16),0)</f>
        <v/>
      </c>
      <c r="BB16" s="163">
        <f>AZ16</f>
        <v/>
      </c>
      <c r="BC16" s="163">
        <f>IFERROR(IF(AX16&lt;((1/2*AW16*AY16^2)*2),SQRT((AX16/2)*2/AW16),AY16),0)</f>
        <v/>
      </c>
      <c r="BD16" s="163">
        <f>IFERROR(BA16/AV16,0)</f>
        <v/>
      </c>
      <c r="BE16" s="163">
        <f>BC16</f>
        <v/>
      </c>
      <c r="BF16" s="163">
        <f>IF(AU16&gt;0,AU16,SUM(BC16:BE16))</f>
        <v/>
      </c>
      <c r="BG16" s="163" t="n">
        <v>0.5</v>
      </c>
      <c r="BH16" s="163">
        <f>BF16*BG16</f>
        <v/>
      </c>
      <c r="BJ16" s="160">
        <f>BJ15+1</f>
        <v/>
      </c>
      <c r="BK16" s="161" t="n"/>
      <c r="BL16" s="162" t="n"/>
      <c r="BM16" s="163">
        <f>IFERROR(VLOOKUP(BK16,'Master List'!$A:$D,2,0),0)</f>
        <v/>
      </c>
      <c r="BN16" s="163">
        <f>IFERROR(VLOOKUP(BK16,'Master List'!$A:$D,3,0),0)</f>
        <v/>
      </c>
      <c r="BO16" s="163">
        <f>IFERROR(VLOOKUP(BK16,'Master List'!$A:$D,4,0),0)</f>
        <v/>
      </c>
      <c r="BP16" s="163" t="n"/>
      <c r="BQ16" s="163">
        <f>IFERROR(BN16/BO16,0)</f>
        <v/>
      </c>
      <c r="BR16" s="163">
        <f>IFERROR(IF(BP16&lt;((1/2*BO16*BQ16^2)*2),1/2*BO16*SQRT((BP16/2)*2/BO16)^2,1/2*BO16*BQ16^2),0)</f>
        <v/>
      </c>
      <c r="BS16" s="163">
        <f>IFERROR(IF(BP16-BR16-BT16&lt;=0,0,BP16-BR16-BT16),0)</f>
        <v/>
      </c>
      <c r="BT16" s="163">
        <f>BR16</f>
        <v/>
      </c>
      <c r="BU16" s="163">
        <f>IFERROR(IF(BP16&lt;((1/2*BO16*BQ16^2)*2),SQRT((BP16/2)*2/BO16),BQ16),0)</f>
        <v/>
      </c>
      <c r="BV16" s="163">
        <f>IFERROR(BS16/BN16,0)</f>
        <v/>
      </c>
      <c r="BW16" s="163">
        <f>BU16</f>
        <v/>
      </c>
      <c r="BX16" s="163">
        <f>IF(BM16&gt;0,BM16,SUM(BU16:BW16))</f>
        <v/>
      </c>
      <c r="BY16" s="163" t="n">
        <v>0.5</v>
      </c>
      <c r="BZ16" s="163">
        <f>BX16*BY16</f>
        <v/>
      </c>
      <c r="CB16" s="160">
        <f>CB15+1</f>
        <v/>
      </c>
      <c r="CC16" s="161" t="n"/>
      <c r="CD16" s="162" t="n"/>
      <c r="CE16" s="163">
        <f>IFERROR(VLOOKUP(CC16,'Master List'!$A:$D,2,0),0)</f>
        <v/>
      </c>
      <c r="CF16" s="163">
        <f>IFERROR(VLOOKUP(CC16,'Master List'!$A:$D,3,0),0)</f>
        <v/>
      </c>
      <c r="CG16" s="163">
        <f>IFERROR(VLOOKUP(CC16,'Master List'!$A:$D,4,0),0)</f>
        <v/>
      </c>
      <c r="CH16" s="163" t="n"/>
      <c r="CI16" s="163">
        <f>IFERROR(CF16/CG16,0)</f>
        <v/>
      </c>
      <c r="CJ16" s="163">
        <f>IFERROR(IF(CH16&lt;((1/2*CG16*CI16^2)*2),1/2*CG16*SQRT((CH16/2)*2/CG16)^2,1/2*CG16*CI16^2),0)</f>
        <v/>
      </c>
      <c r="CK16" s="163">
        <f>IFERROR(IF(CH16-CJ16-CL16&lt;=0,0,CH16-CJ16-CL16),0)</f>
        <v/>
      </c>
      <c r="CL16" s="163">
        <f>CJ16</f>
        <v/>
      </c>
      <c r="CM16" s="163">
        <f>IFERROR(IF(CH16&lt;((1/2*CG16*CI16^2)*2),SQRT((CH16/2)*2/CG16),CI16),0)</f>
        <v/>
      </c>
      <c r="CN16" s="163">
        <f>IFERROR(CK16/CF16,0)</f>
        <v/>
      </c>
      <c r="CO16" s="163">
        <f>CM16</f>
        <v/>
      </c>
      <c r="CP16" s="163">
        <f>IF(CE16&gt;0,CE16,SUM(CM16:CO16))</f>
        <v/>
      </c>
      <c r="CQ16" s="163" t="n"/>
      <c r="CR16" s="163">
        <f>CP16*CQ16</f>
        <v/>
      </c>
      <c r="EE16" s="582" t="n">
        <v>3</v>
      </c>
    </row>
    <row r="17" ht="15" customHeight="1" s="516">
      <c r="A17" s="33" t="n"/>
      <c r="B17" s="34" t="inlineStr">
        <is>
          <t>% of Aisle Length</t>
        </is>
      </c>
      <c r="C17" s="34" t="inlineStr">
        <is>
          <t>Distance travelled M</t>
        </is>
      </c>
      <c r="D17" s="34" t="inlineStr">
        <is>
          <t>Cycles/ Hr</t>
        </is>
      </c>
      <c r="E17" s="34" t="inlineStr">
        <is>
          <t>Weightage</t>
        </is>
      </c>
      <c r="F17" s="34" t="inlineStr">
        <is>
          <t>Totes/ Cases per hr</t>
        </is>
      </c>
      <c r="H17" s="160">
        <f>H15+1</f>
        <v/>
      </c>
      <c r="I17" s="161" t="inlineStr">
        <is>
          <t>MLS Running</t>
        </is>
      </c>
      <c r="J17" s="162" t="inlineStr">
        <is>
          <t>Deliver tote or case to buffer conveyor</t>
        </is>
      </c>
      <c r="K17" s="163">
        <f>IFERROR(VLOOKUP(I17,'Master List'!$A:$D,2,0),0)</f>
        <v/>
      </c>
      <c r="L17" s="163">
        <f>IFERROR(VLOOKUP(I17,'Master List'!$A:$D,3,0),0)</f>
        <v/>
      </c>
      <c r="M17" s="163">
        <f>IFERROR(VLOOKUP(I17,'Master List'!$A:$D,4,0),0)</f>
        <v/>
      </c>
      <c r="N17" s="163">
        <f>N14+N10</f>
        <v/>
      </c>
      <c r="O17" s="163">
        <f>IFERROR(L17/M17,0)</f>
        <v/>
      </c>
      <c r="P17" s="163">
        <f>IFERROR(IF(N17&lt;((1/2*M17*O17^2)*2),1/2*M17*SQRT((N17/2)*2/M17)^2,1/2*M17*O17^2),0)</f>
        <v/>
      </c>
      <c r="Q17" s="163">
        <f>IFERROR(IF(N17-P17-R17&lt;=0,0,N17-P17-R17),0)</f>
        <v/>
      </c>
      <c r="R17" s="163">
        <f>P17</f>
        <v/>
      </c>
      <c r="S17" s="163">
        <f>IFERROR(IF(N17&lt;((1/2*M17*O17^2)*2),SQRT((N17/2)*2/M17),O17),0)</f>
        <v/>
      </c>
      <c r="T17" s="163">
        <f>IFERROR(Q17/L17,0)</f>
        <v/>
      </c>
      <c r="U17" s="163">
        <f>S17</f>
        <v/>
      </c>
      <c r="V17" s="163">
        <f>IF(K17&gt;0,K17,SUM(S17:U17))</f>
        <v/>
      </c>
      <c r="W17" s="163" t="n">
        <v>1</v>
      </c>
      <c r="X17" s="163">
        <f>V17*W17</f>
        <v/>
      </c>
      <c r="Z17" s="160">
        <f>Z16+1</f>
        <v/>
      </c>
      <c r="AA17" s="161" t="inlineStr">
        <is>
          <t>MLS Running</t>
        </is>
      </c>
      <c r="AB17" s="162" t="inlineStr">
        <is>
          <t>Deliver tote or case to buffer conveyor</t>
        </is>
      </c>
      <c r="AC17" s="163">
        <f>IFERROR(VLOOKUP(AA17,'Master List'!$A:$D,2,0),0)</f>
        <v/>
      </c>
      <c r="AD17" s="163">
        <f>IFERROR(VLOOKUP(AA17,'Master List'!$A:$D,3,0),0)</f>
        <v/>
      </c>
      <c r="AE17" s="163">
        <f>IFERROR(VLOOKUP(AA17,'Master List'!$A:$D,4,0),0)</f>
        <v/>
      </c>
      <c r="AF17" s="163">
        <f>SUM(AF10,AF14)</f>
        <v/>
      </c>
      <c r="AG17" s="163">
        <f>IFERROR(AD17/AE17,0)</f>
        <v/>
      </c>
      <c r="AH17" s="163">
        <f>IFERROR(IF(AF17&lt;((1/2*AE17*AG17^2)*2),1/2*AE17*SQRT((AF17/2)*2/AE17)^2,1/2*AE17*AG17^2),0)</f>
        <v/>
      </c>
      <c r="AI17" s="163">
        <f>IFERROR(IF(AF17-AH17-AJ17&lt;=0,0,AF17-AH17-AJ17),0)</f>
        <v/>
      </c>
      <c r="AJ17" s="163">
        <f>AH17</f>
        <v/>
      </c>
      <c r="AK17" s="163">
        <f>IFERROR(IF(AF17&lt;((1/2*AE17*AG17^2)*2),SQRT((AF17/2)*2/AE17),AG17),0)</f>
        <v/>
      </c>
      <c r="AL17" s="163">
        <f>IFERROR(AI17/AD17,0)</f>
        <v/>
      </c>
      <c r="AM17" s="163">
        <f>AK17</f>
        <v/>
      </c>
      <c r="AN17" s="163">
        <f>IF(AC17&gt;0,AC17,SUM(AK17:AM17))</f>
        <v/>
      </c>
      <c r="AO17" s="163" t="n">
        <v>1</v>
      </c>
      <c r="AP17" s="163">
        <f>AN17*AO17</f>
        <v/>
      </c>
      <c r="AR17" s="160">
        <f>AR16+1</f>
        <v/>
      </c>
      <c r="AS17" s="161" t="inlineStr">
        <is>
          <t>MLS Running</t>
        </is>
      </c>
      <c r="AT17" s="162" t="inlineStr">
        <is>
          <t>Deliver tote or case to buffer conveyor</t>
        </is>
      </c>
      <c r="AU17" s="163">
        <f>IFERROR(VLOOKUP(AS17,'Master List'!$A:$D,2,0),0)</f>
        <v/>
      </c>
      <c r="AV17" s="163">
        <f>IFERROR(VLOOKUP(AS17,'Master List'!$A:$D,3,0),0)</f>
        <v/>
      </c>
      <c r="AW17" s="163">
        <f>IFERROR(VLOOKUP(AS17,'Master List'!$A:$D,4,0),0)</f>
        <v/>
      </c>
      <c r="AX17" s="163">
        <f>AX10-AX14</f>
        <v/>
      </c>
      <c r="AY17" s="163">
        <f>IFERROR(AV17/AW17,0)</f>
        <v/>
      </c>
      <c r="AZ17" s="163">
        <f>IFERROR(IF(AX17&lt;((1/2*AW17*AY17^2)*2),1/2*AW17*SQRT((AX17/2)*2/AW17)^2,1/2*AW17*AY17^2),0)</f>
        <v/>
      </c>
      <c r="BA17" s="163">
        <f>IFERROR(IF(AX17-AZ17-BB17&lt;=0,0,AX17-AZ17-BB17),0)</f>
        <v/>
      </c>
      <c r="BB17" s="163">
        <f>AZ17</f>
        <v/>
      </c>
      <c r="BC17" s="163">
        <f>IFERROR(IF(AX17&lt;((1/2*AW17*AY17^2)*2),SQRT((AX17/2)*2/AW17),AY17),0)</f>
        <v/>
      </c>
      <c r="BD17" s="163">
        <f>IFERROR(BA17/AV17,0)</f>
        <v/>
      </c>
      <c r="BE17" s="163">
        <f>BC17</f>
        <v/>
      </c>
      <c r="BF17" s="163">
        <f>IF(AU17&gt;0,AU17,SUM(BC17:BE17))</f>
        <v/>
      </c>
      <c r="BG17" s="163" t="n">
        <v>1</v>
      </c>
      <c r="BH17" s="163">
        <f>BF17*BG17</f>
        <v/>
      </c>
      <c r="BJ17" s="160">
        <f>BJ16+1</f>
        <v/>
      </c>
      <c r="BK17" s="161" t="n"/>
      <c r="BL17" s="162" t="n"/>
      <c r="BM17" s="163">
        <f>IFERROR(VLOOKUP(BK17,'Master List'!$A:$D,2,0),0)</f>
        <v/>
      </c>
      <c r="BN17" s="163">
        <f>IFERROR(VLOOKUP(BK17,'Master List'!$A:$D,3,0),0)</f>
        <v/>
      </c>
      <c r="BO17" s="163">
        <f>IFERROR(VLOOKUP(BK17,'Master List'!$A:$D,4,0),0)</f>
        <v/>
      </c>
      <c r="BP17" s="163" t="n"/>
      <c r="BQ17" s="163">
        <f>IFERROR(BN17/BO17,0)</f>
        <v/>
      </c>
      <c r="BR17" s="163">
        <f>IFERROR(IF(BP17&lt;((1/2*BO17*BQ17^2)*2),1/2*BO17*SQRT((BP17/2)*2/BO17)^2,1/2*BO17*BQ17^2),0)</f>
        <v/>
      </c>
      <c r="BS17" s="163">
        <f>IFERROR(IF(BP17-BR17-BT17&lt;=0,0,BP17-BR17-BT17),0)</f>
        <v/>
      </c>
      <c r="BT17" s="163">
        <f>BR17</f>
        <v/>
      </c>
      <c r="BU17" s="163">
        <f>IFERROR(IF(BP17&lt;((1/2*BO17*BQ17^2)*2),SQRT((BP17/2)*2/BO17),BQ17),0)</f>
        <v/>
      </c>
      <c r="BV17" s="163">
        <f>IFERROR(BS17/BN17,0)</f>
        <v/>
      </c>
      <c r="BW17" s="163">
        <f>BU17</f>
        <v/>
      </c>
      <c r="BX17" s="163">
        <f>IF(BM17&gt;0,BM17,SUM(BU17:BW17))</f>
        <v/>
      </c>
      <c r="BY17" s="163" t="n">
        <v>0.5</v>
      </c>
      <c r="BZ17" s="163">
        <f>BX17*BY17</f>
        <v/>
      </c>
      <c r="CB17" s="160">
        <f>CB16+1</f>
        <v/>
      </c>
      <c r="CC17" s="161" t="n"/>
      <c r="CD17" s="162" t="n"/>
      <c r="CE17" s="163">
        <f>IFERROR(VLOOKUP(CC17,'Master List'!$A:$D,2,0),0)</f>
        <v/>
      </c>
      <c r="CF17" s="163">
        <f>IFERROR(VLOOKUP(CC17,'Master List'!$A:$D,3,0),0)</f>
        <v/>
      </c>
      <c r="CG17" s="163">
        <f>IFERROR(VLOOKUP(CC17,'Master List'!$A:$D,4,0),0)</f>
        <v/>
      </c>
      <c r="CH17" s="163" t="n"/>
      <c r="CI17" s="163">
        <f>IFERROR(CF17/CG17,0)</f>
        <v/>
      </c>
      <c r="CJ17" s="163">
        <f>IFERROR(IF(CH17&lt;((1/2*CG17*CI17^2)*2),1/2*CG17*SQRT((CH17/2)*2/CG17)^2,1/2*CG17*CI17^2),0)</f>
        <v/>
      </c>
      <c r="CK17" s="163">
        <f>IFERROR(IF(CH17-CJ17-CL17&lt;=0,0,CH17-CJ17-CL17),0)</f>
        <v/>
      </c>
      <c r="CL17" s="163">
        <f>CJ17</f>
        <v/>
      </c>
      <c r="CM17" s="163">
        <f>IFERROR(IF(CH17&lt;((1/2*CG17*CI17^2)*2),SQRT((CH17/2)*2/CG17),CI17),0)</f>
        <v/>
      </c>
      <c r="CN17" s="163">
        <f>IFERROR(CK17/CF17,0)</f>
        <v/>
      </c>
      <c r="CO17" s="163">
        <f>CM17</f>
        <v/>
      </c>
      <c r="CP17" s="163">
        <f>IF(CE17&gt;0,CE17,SUM(CM17:CO17))</f>
        <v/>
      </c>
      <c r="CQ17" s="163" t="n"/>
      <c r="CR17" s="163">
        <f>CP17*CQ17</f>
        <v/>
      </c>
      <c r="EE17" s="582" t="n">
        <v>0</v>
      </c>
    </row>
    <row r="18" ht="15" customHeight="1" s="516">
      <c r="A18" s="33">
        <f>"Combined cycle - Near "&amp;C18&amp;" m"</f>
        <v/>
      </c>
      <c r="B18" s="52" t="n">
        <v>0.3</v>
      </c>
      <c r="C18" s="45">
        <f>B18*$B$15</f>
        <v/>
      </c>
      <c r="D18" s="45">
        <f>'Medius TP'!X4</f>
        <v/>
      </c>
      <c r="E18" s="52">
        <f>'Medius Input Output'!E7/3</f>
        <v/>
      </c>
      <c r="F18" s="43">
        <f>D18*2</f>
        <v/>
      </c>
      <c r="H18" s="160">
        <f>H17+1</f>
        <v/>
      </c>
      <c r="I18" s="161" t="inlineStr">
        <is>
          <t>MLS Fork Movement Single Deep</t>
        </is>
      </c>
      <c r="J18" s="162" t="inlineStr">
        <is>
          <t>Deliver tote or case from buffer conveyor</t>
        </is>
      </c>
      <c r="K18" s="163">
        <f>IFERROR(VLOOKUP(I18,'Master List'!$A:$D,2,0),0)</f>
        <v/>
      </c>
      <c r="L18" s="163">
        <f>IFERROR(VLOOKUP(I18,'Master List'!$A:$D,3,0),0)</f>
        <v/>
      </c>
      <c r="M18" s="163">
        <f>IFERROR(VLOOKUP(I18,'Master List'!$A:$D,4,0),0)</f>
        <v/>
      </c>
      <c r="N18" s="163" t="n"/>
      <c r="O18" s="163">
        <f>IFERROR(L18/M18,0)</f>
        <v/>
      </c>
      <c r="P18" s="163">
        <f>IFERROR(IF(N18&lt;((1/2*M18*O18^2)*2),1/2*M18*SQRT((N18/2)*2/M18)^2,1/2*M18*O18^2),0)</f>
        <v/>
      </c>
      <c r="Q18" s="163">
        <f>IFERROR(IF(N18-P18-R18&lt;=0,0,N18-P18-R18),0)</f>
        <v/>
      </c>
      <c r="R18" s="163">
        <f>P18</f>
        <v/>
      </c>
      <c r="S18" s="163">
        <f>IFERROR(IF(N18&lt;((1/2*M18*O18^2)*2),SQRT((N18/2)*2/M18),O18),0)</f>
        <v/>
      </c>
      <c r="T18" s="163">
        <f>IFERROR(Q18/L18,0)</f>
        <v/>
      </c>
      <c r="U18" s="163">
        <f>S18</f>
        <v/>
      </c>
      <c r="V18" s="163">
        <f>IF(K18&gt;0,K18,SUM(S18:U18))</f>
        <v/>
      </c>
      <c r="W18" s="163" t="n">
        <v>1</v>
      </c>
      <c r="X18" s="163">
        <f>V18*W18</f>
        <v/>
      </c>
      <c r="Z18" s="160">
        <f>Z17+1</f>
        <v/>
      </c>
      <c r="AA18" s="161" t="inlineStr">
        <is>
          <t>MLS Fork Movement Single Deep</t>
        </is>
      </c>
      <c r="AB18" s="162" t="inlineStr">
        <is>
          <t>Deliver tote or case from buffer conveyor</t>
        </is>
      </c>
      <c r="AC18" s="163">
        <f>IFERROR(VLOOKUP(AA18,'Master List'!$A:$D,2,0),0)</f>
        <v/>
      </c>
      <c r="AD18" s="163">
        <f>IFERROR(VLOOKUP(AA18,'Master List'!$A:$D,3,0),0)</f>
        <v/>
      </c>
      <c r="AE18" s="163">
        <f>IFERROR(VLOOKUP(AA18,'Master List'!$A:$D,4,0),0)</f>
        <v/>
      </c>
      <c r="AF18" s="163" t="n"/>
      <c r="AG18" s="163">
        <f>IFERROR(AD18/AE18,0)</f>
        <v/>
      </c>
      <c r="AH18" s="163">
        <f>IFERROR(IF(AF18&lt;((1/2*AE18*AG18^2)*2),1/2*AE18*SQRT((AF18/2)*2/AE18)^2,1/2*AE18*AG18^2),0)</f>
        <v/>
      </c>
      <c r="AI18" s="163">
        <f>IFERROR(IF(AF18-AH18-AJ18&lt;=0,0,AF18-AH18-AJ18),0)</f>
        <v/>
      </c>
      <c r="AJ18" s="163">
        <f>AH18</f>
        <v/>
      </c>
      <c r="AK18" s="163">
        <f>IFERROR(IF(AF18&lt;((1/2*AE18*AG18^2)*2),SQRT((AF18/2)*2/AE18),AG18),0)</f>
        <v/>
      </c>
      <c r="AL18" s="163">
        <f>IFERROR(AI18/AD18,0)</f>
        <v/>
      </c>
      <c r="AM18" s="163">
        <f>AK18</f>
        <v/>
      </c>
      <c r="AN18" s="163">
        <f>IF(AC18&gt;0,AC18,SUM(AK18:AM18))</f>
        <v/>
      </c>
      <c r="AO18" s="163" t="n">
        <v>1</v>
      </c>
      <c r="AP18" s="163">
        <f>AN18*AO18</f>
        <v/>
      </c>
      <c r="AR18" s="160">
        <f>AR17+1</f>
        <v/>
      </c>
      <c r="AS18" s="161" t="inlineStr">
        <is>
          <t>MLS Fork Movement Single Deep</t>
        </is>
      </c>
      <c r="AT18" s="162" t="inlineStr">
        <is>
          <t>Deliver tote or case from buffer conveyor</t>
        </is>
      </c>
      <c r="AU18" s="163">
        <f>IFERROR(VLOOKUP(AS18,'Master List'!$A:$D,2,0),0)</f>
        <v/>
      </c>
      <c r="AV18" s="163">
        <f>IFERROR(VLOOKUP(AS18,'Master List'!$A:$D,3,0),0)</f>
        <v/>
      </c>
      <c r="AW18" s="163">
        <f>IFERROR(VLOOKUP(AS18,'Master List'!$A:$D,4,0),0)</f>
        <v/>
      </c>
      <c r="AX18" s="163" t="n"/>
      <c r="AY18" s="163">
        <f>IFERROR(AV18/AW18,0)</f>
        <v/>
      </c>
      <c r="AZ18" s="163">
        <f>IFERROR(IF(AX18&lt;((1/2*AW18*AY18^2)*2),1/2*AW18*SQRT((AX18/2)*2/AW18)^2,1/2*AW18*AY18^2),0)</f>
        <v/>
      </c>
      <c r="BA18" s="163">
        <f>IFERROR(IF(AX18-AZ18-BB18&lt;=0,0,AX18-AZ18-BB18),0)</f>
        <v/>
      </c>
      <c r="BB18" s="163">
        <f>AZ18</f>
        <v/>
      </c>
      <c r="BC18" s="163">
        <f>IFERROR(IF(AX18&lt;((1/2*AW18*AY18^2)*2),SQRT((AX18/2)*2/AW18),AY18),0)</f>
        <v/>
      </c>
      <c r="BD18" s="163">
        <f>IFERROR(BA18/AV18,0)</f>
        <v/>
      </c>
      <c r="BE18" s="163">
        <f>BC18</f>
        <v/>
      </c>
      <c r="BF18" s="163">
        <f>IF(AU18&gt;0,AU18,SUM(BC18:BE18))</f>
        <v/>
      </c>
      <c r="BG18" s="163" t="n">
        <v>1</v>
      </c>
      <c r="BH18" s="163">
        <f>BF18*BG18</f>
        <v/>
      </c>
      <c r="BJ18" s="160">
        <f>BJ17+1</f>
        <v/>
      </c>
      <c r="BK18" s="161" t="n"/>
      <c r="BL18" s="162" t="n"/>
      <c r="BM18" s="163">
        <f>IFERROR(VLOOKUP(BK18,'Master List'!$A:$D,2,0),0)</f>
        <v/>
      </c>
      <c r="BN18" s="163">
        <f>IFERROR(VLOOKUP(BK18,'Master List'!$A:$D,3,0),0)</f>
        <v/>
      </c>
      <c r="BO18" s="163">
        <f>IFERROR(VLOOKUP(BK18,'Master List'!$A:$D,4,0),0)</f>
        <v/>
      </c>
      <c r="BP18" s="163" t="n"/>
      <c r="BQ18" s="163">
        <f>IFERROR(BN18/BO18,0)</f>
        <v/>
      </c>
      <c r="BR18" s="163">
        <f>IFERROR(IF(BP18&lt;((1/2*BO18*BQ18^2)*2),1/2*BO18*SQRT((BP18/2)*2/BO18)^2,1/2*BO18*BQ18^2),0)</f>
        <v/>
      </c>
      <c r="BS18" s="163">
        <f>IFERROR(IF(BP18-BR18-BT18&lt;=0,0,BP18-BR18-BT18),0)</f>
        <v/>
      </c>
      <c r="BT18" s="163">
        <f>BR18</f>
        <v/>
      </c>
      <c r="BU18" s="163">
        <f>IFERROR(IF(BP18&lt;((1/2*BO18*BQ18^2)*2),SQRT((BP18/2)*2/BO18),BQ18),0)</f>
        <v/>
      </c>
      <c r="BV18" s="163">
        <f>IFERROR(BS18/BN18,0)</f>
        <v/>
      </c>
      <c r="BW18" s="163">
        <f>BU18</f>
        <v/>
      </c>
      <c r="BX18" s="163">
        <f>IF(BM18&gt;0,BM18,SUM(BU18:BW18))</f>
        <v/>
      </c>
      <c r="BY18" s="163" t="n">
        <v>1</v>
      </c>
      <c r="BZ18" s="163">
        <f>BX18*BY18</f>
        <v/>
      </c>
      <c r="CB18" s="160">
        <f>CB17+1</f>
        <v/>
      </c>
      <c r="CC18" s="161" t="n"/>
      <c r="CD18" s="162" t="n"/>
      <c r="CE18" s="163">
        <f>IFERROR(VLOOKUP(CC18,'Master List'!$A:$D,2,0),0)</f>
        <v/>
      </c>
      <c r="CF18" s="163">
        <f>IFERROR(VLOOKUP(CC18,'Master List'!$A:$D,3,0),0)</f>
        <v/>
      </c>
      <c r="CG18" s="163">
        <f>IFERROR(VLOOKUP(CC18,'Master List'!$A:$D,4,0),0)</f>
        <v/>
      </c>
      <c r="CH18" s="163" t="n"/>
      <c r="CI18" s="163">
        <f>IFERROR(CF18/CG18,0)</f>
        <v/>
      </c>
      <c r="CJ18" s="163">
        <f>IFERROR(IF(CH18&lt;((1/2*CG18*CI18^2)*2),1/2*CG18*SQRT((CH18/2)*2/CG18)^2,1/2*CG18*CI18^2),0)</f>
        <v/>
      </c>
      <c r="CK18" s="163">
        <f>IFERROR(IF(CH18-CJ18-CL18&lt;=0,0,CH18-CJ18-CL18),0)</f>
        <v/>
      </c>
      <c r="CL18" s="163">
        <f>CJ18</f>
        <v/>
      </c>
      <c r="CM18" s="163">
        <f>IFERROR(IF(CH18&lt;((1/2*CG18*CI18^2)*2),SQRT((CH18/2)*2/CG18),CI18),0)</f>
        <v/>
      </c>
      <c r="CN18" s="163">
        <f>IFERROR(CK18/CF18,0)</f>
        <v/>
      </c>
      <c r="CO18" s="163">
        <f>CM18</f>
        <v/>
      </c>
      <c r="CP18" s="163">
        <f>IF(CE18&gt;0,CE18,SUM(CM18:CO18))</f>
        <v/>
      </c>
      <c r="CQ18" s="163" t="n"/>
      <c r="CR18" s="163">
        <f>CP18*CQ18</f>
        <v/>
      </c>
      <c r="EE18" s="582" t="n">
        <v>4</v>
      </c>
    </row>
    <row r="19" ht="15" customHeight="1" s="516">
      <c r="A19" s="33">
        <f>"Combined cycle - Mid "&amp;C19&amp;" m"</f>
        <v/>
      </c>
      <c r="B19" s="52" t="n">
        <v>0.7</v>
      </c>
      <c r="C19" s="45">
        <f>B19*$B$15</f>
        <v/>
      </c>
      <c r="D19" s="45">
        <f>'Medius TP'!AP4</f>
        <v/>
      </c>
      <c r="E19" s="52">
        <f>E18</f>
        <v/>
      </c>
      <c r="F19" s="43">
        <f>D19*2</f>
        <v/>
      </c>
      <c r="H19" s="160">
        <f>H18+1</f>
        <v/>
      </c>
      <c r="I19" s="161" t="n"/>
      <c r="J19" s="162" t="n"/>
      <c r="K19" s="163">
        <f>IFERROR(VLOOKUP(I19,'Master List'!$A:$D,2,0),0)</f>
        <v/>
      </c>
      <c r="L19" s="163">
        <f>IFERROR(VLOOKUP(I19,'Master List'!$A:$D,3,0),0)</f>
        <v/>
      </c>
      <c r="M19" s="163">
        <f>IFERROR(VLOOKUP(I19,'Master List'!$A:$D,4,0),0)</f>
        <v/>
      </c>
      <c r="N19" s="163" t="n"/>
      <c r="O19" s="163">
        <f>IFERROR(L19/M19,0)</f>
        <v/>
      </c>
      <c r="P19" s="163">
        <f>IFERROR(IF(N19&lt;((1/2*M19*O19^2)*2),1/2*M19*SQRT((N19/2)*2/M19)^2,1/2*M19*O19^2),0)</f>
        <v/>
      </c>
      <c r="Q19" s="163">
        <f>IFERROR(IF(N19-P19-R19&lt;=0,0,N19-P19-R19),0)</f>
        <v/>
      </c>
      <c r="R19" s="163">
        <f>P19</f>
        <v/>
      </c>
      <c r="S19" s="163">
        <f>IFERROR(IF(N19&lt;((1/2*M19*O19^2)*2),SQRT((N19/2)*2/M19),O19),0)</f>
        <v/>
      </c>
      <c r="T19" s="163">
        <f>IFERROR(Q19/L19,0)</f>
        <v/>
      </c>
      <c r="U19" s="163">
        <f>S19</f>
        <v/>
      </c>
      <c r="V19" s="163">
        <f>IF(K19&gt;0,K19,SUM(S19:U19))</f>
        <v/>
      </c>
      <c r="W19" s="163" t="n"/>
      <c r="X19" s="163">
        <f>V19*W19</f>
        <v/>
      </c>
      <c r="Z19" s="160">
        <f>Z18+1</f>
        <v/>
      </c>
      <c r="AA19" s="161" t="n"/>
      <c r="AB19" s="162" t="n"/>
      <c r="AC19" s="163">
        <f>IFERROR(VLOOKUP(AA19,'Master List'!$A:$D,2,0),0)</f>
        <v/>
      </c>
      <c r="AD19" s="163">
        <f>IFERROR(VLOOKUP(AA19,'Master List'!$A:$D,3,0),0)</f>
        <v/>
      </c>
      <c r="AE19" s="163">
        <f>IFERROR(VLOOKUP(AA19,'Master List'!$A:$D,4,0),0)</f>
        <v/>
      </c>
      <c r="AF19" s="163" t="n"/>
      <c r="AG19" s="163">
        <f>IFERROR(AD19/AE19,0)</f>
        <v/>
      </c>
      <c r="AH19" s="163">
        <f>IFERROR(IF(AF19&lt;((1/2*AE19*AG19^2)*2),1/2*AE19*SQRT((AF19/2)*2/AE19)^2,1/2*AE19*AG19^2),0)</f>
        <v/>
      </c>
      <c r="AI19" s="163">
        <f>IFERROR(IF(AF19-AH19-AJ19&lt;=0,0,AF19-AH19-AJ19),0)</f>
        <v/>
      </c>
      <c r="AJ19" s="163">
        <f>AH19</f>
        <v/>
      </c>
      <c r="AK19" s="163">
        <f>IFERROR(IF(AF19&lt;((1/2*AE19*AG19^2)*2),SQRT((AF19/2)*2/AE19),AG19),0)</f>
        <v/>
      </c>
      <c r="AL19" s="163">
        <f>IFERROR(AI19/AD19,0)</f>
        <v/>
      </c>
      <c r="AM19" s="163">
        <f>AK19</f>
        <v/>
      </c>
      <c r="AN19" s="163">
        <f>IF(AC19&gt;0,AC19,SUM(AK19:AM19))</f>
        <v/>
      </c>
      <c r="AO19" s="163" t="n"/>
      <c r="AP19" s="163">
        <f>AN19*AO19</f>
        <v/>
      </c>
      <c r="AR19" s="160">
        <f>AR18+1</f>
        <v/>
      </c>
      <c r="AS19" s="161" t="n"/>
      <c r="AT19" s="162" t="n"/>
      <c r="AU19" s="163">
        <f>IFERROR(VLOOKUP(AS19,'Master List'!$A:$D,2,0),0)</f>
        <v/>
      </c>
      <c r="AV19" s="163">
        <f>IFERROR(VLOOKUP(AS19,'Master List'!$A:$D,3,0),0)</f>
        <v/>
      </c>
      <c r="AW19" s="163">
        <f>IFERROR(VLOOKUP(AS19,'Master List'!$A:$D,4,0),0)</f>
        <v/>
      </c>
      <c r="AX19" s="163" t="n"/>
      <c r="AY19" s="163">
        <f>IFERROR(AV19/AW19,0)</f>
        <v/>
      </c>
      <c r="AZ19" s="163">
        <f>IFERROR(IF(AX19&lt;((1/2*AW19*AY19^2)*2),1/2*AW19*SQRT((AX19/2)*2/AW19)^2,1/2*AW19*AY19^2),0)</f>
        <v/>
      </c>
      <c r="BA19" s="163">
        <f>IFERROR(IF(AX19-AZ19-BB19&lt;=0,0,AX19-AZ19-BB19),0)</f>
        <v/>
      </c>
      <c r="BB19" s="163">
        <f>AZ19</f>
        <v/>
      </c>
      <c r="BC19" s="163">
        <f>IFERROR(IF(AX19&lt;((1/2*AW19*AY19^2)*2),SQRT((AX19/2)*2/AW19),AY19),0)</f>
        <v/>
      </c>
      <c r="BD19" s="163">
        <f>IFERROR(BA19/AV19,0)</f>
        <v/>
      </c>
      <c r="BE19" s="163">
        <f>BC19</f>
        <v/>
      </c>
      <c r="BF19" s="163">
        <f>IF(AU19&gt;0,AU19,SUM(BC19:BE19))</f>
        <v/>
      </c>
      <c r="BG19" s="163" t="n"/>
      <c r="BH19" s="163">
        <f>BF19*BG19</f>
        <v/>
      </c>
      <c r="BJ19" s="160">
        <f>BJ18+1</f>
        <v/>
      </c>
      <c r="BK19" s="161" t="n"/>
      <c r="BL19" s="162" t="n"/>
      <c r="BM19" s="163">
        <f>IFERROR(VLOOKUP(BK19,'Master List'!$A:$D,2,0),0)</f>
        <v/>
      </c>
      <c r="BN19" s="163">
        <f>IFERROR(VLOOKUP(BK19,'Master List'!$A:$D,3,0),0)</f>
        <v/>
      </c>
      <c r="BO19" s="163">
        <f>IFERROR(VLOOKUP(BK19,'Master List'!$A:$D,4,0),0)</f>
        <v/>
      </c>
      <c r="BP19" s="163" t="n"/>
      <c r="BQ19" s="163">
        <f>IFERROR(BN19/BO19,0)</f>
        <v/>
      </c>
      <c r="BR19" s="163">
        <f>IFERROR(IF(BP19&lt;((1/2*BO19*BQ19^2)*2),1/2*BO19*SQRT((BP19/2)*2/BO19)^2,1/2*BO19*BQ19^2),0)</f>
        <v/>
      </c>
      <c r="BS19" s="163">
        <f>IFERROR(IF(BP19-BR19-BT19&lt;=0,0,BP19-BR19-BT19),0)</f>
        <v/>
      </c>
      <c r="BT19" s="163">
        <f>BR19</f>
        <v/>
      </c>
      <c r="BU19" s="163">
        <f>IFERROR(IF(BP19&lt;((1/2*BO19*BQ19^2)*2),SQRT((BP19/2)*2/BO19),BQ19),0)</f>
        <v/>
      </c>
      <c r="BV19" s="163">
        <f>IFERROR(BS19/BN19,0)</f>
        <v/>
      </c>
      <c r="BW19" s="163">
        <f>BU19</f>
        <v/>
      </c>
      <c r="BX19" s="163">
        <f>IF(BM19&gt;0,BM19,SUM(BU19:BW19))</f>
        <v/>
      </c>
      <c r="BY19" s="163" t="n">
        <v>1</v>
      </c>
      <c r="BZ19" s="163">
        <f>BX19*BY19</f>
        <v/>
      </c>
      <c r="CB19" s="160">
        <f>CB18+1</f>
        <v/>
      </c>
      <c r="CC19" s="161" t="n"/>
      <c r="CD19" s="162" t="n"/>
      <c r="CE19" s="163">
        <f>IFERROR(VLOOKUP(CC19,'Master List'!$A:$D,2,0),0)</f>
        <v/>
      </c>
      <c r="CF19" s="163">
        <f>IFERROR(VLOOKUP(CC19,'Master List'!$A:$D,3,0),0)</f>
        <v/>
      </c>
      <c r="CG19" s="163">
        <f>IFERROR(VLOOKUP(CC19,'Master List'!$A:$D,4,0),0)</f>
        <v/>
      </c>
      <c r="CH19" s="163" t="n"/>
      <c r="CI19" s="163">
        <f>IFERROR(CF19/CG19,0)</f>
        <v/>
      </c>
      <c r="CJ19" s="163">
        <f>IFERROR(IF(CH19&lt;((1/2*CG19*CI19^2)*2),1/2*CG19*SQRT((CH19/2)*2/CG19)^2,1/2*CG19*CI19^2),0)</f>
        <v/>
      </c>
      <c r="CK19" s="163">
        <f>IFERROR(IF(CH19-CJ19-CL19&lt;=0,0,CH19-CJ19-CL19),0)</f>
        <v/>
      </c>
      <c r="CL19" s="163">
        <f>CJ19</f>
        <v/>
      </c>
      <c r="CM19" s="163">
        <f>IFERROR(IF(CH19&lt;((1/2*CG19*CI19^2)*2),SQRT((CH19/2)*2/CG19),CI19),0)</f>
        <v/>
      </c>
      <c r="CN19" s="163">
        <f>IFERROR(CK19/CF19,0)</f>
        <v/>
      </c>
      <c r="CO19" s="163">
        <f>CM19</f>
        <v/>
      </c>
      <c r="CP19" s="163">
        <f>IF(CE19&gt;0,CE19,SUM(CM19:CO19))</f>
        <v/>
      </c>
      <c r="CQ19" s="163" t="n"/>
      <c r="CR19" s="163">
        <f>CP19*CQ19</f>
        <v/>
      </c>
      <c r="EE19" s="582" t="n">
        <v>0</v>
      </c>
    </row>
    <row r="20" ht="15" customHeight="1" s="516">
      <c r="A20" s="33">
        <f>"Combined cycle - Far "&amp;C20&amp;" m"</f>
        <v/>
      </c>
      <c r="B20" s="52" t="n">
        <v>1</v>
      </c>
      <c r="C20" s="45">
        <f>B20*$B$15</f>
        <v/>
      </c>
      <c r="D20" s="45">
        <f>'Medius TP'!BH4</f>
        <v/>
      </c>
      <c r="E20" s="52">
        <f>E19</f>
        <v/>
      </c>
      <c r="F20" s="43">
        <f>D20*2</f>
        <v/>
      </c>
      <c r="H20" s="160">
        <f>H19+1</f>
        <v/>
      </c>
      <c r="I20" s="161" t="n"/>
      <c r="J20" s="162" t="n"/>
      <c r="K20" s="163">
        <f>IFERROR(VLOOKUP(I20,'Master List'!$A:$D,2,0),0)</f>
        <v/>
      </c>
      <c r="L20" s="163">
        <f>IFERROR(VLOOKUP(I20,'Master List'!$A:$D,3,0),0)</f>
        <v/>
      </c>
      <c r="M20" s="163">
        <f>IFERROR(VLOOKUP(I20,'Master List'!$A:$D,4,0),0)</f>
        <v/>
      </c>
      <c r="N20" s="163" t="n"/>
      <c r="O20" s="163">
        <f>IFERROR(L20/M20,0)</f>
        <v/>
      </c>
      <c r="P20" s="163">
        <f>IFERROR(IF(N20&lt;((1/2*M20*O20^2)*2),1/2*M20*SQRT((N20/2)*2/M20)^2,1/2*M20*O20^2),0)</f>
        <v/>
      </c>
      <c r="Q20" s="163">
        <f>IFERROR(IF(N20-P20-R20&lt;=0,0,N20-P20-R20),0)</f>
        <v/>
      </c>
      <c r="R20" s="163">
        <f>P20</f>
        <v/>
      </c>
      <c r="S20" s="163">
        <f>IFERROR(IF(N20&lt;((1/2*M20*O20^2)*2),SQRT((N20/2)*2/M20),O20),0)</f>
        <v/>
      </c>
      <c r="T20" s="163">
        <f>IFERROR(Q20/L20,0)</f>
        <v/>
      </c>
      <c r="U20" s="163">
        <f>S20</f>
        <v/>
      </c>
      <c r="V20" s="163">
        <f>IF(K20&gt;0,K20,SUM(S20:U20))</f>
        <v/>
      </c>
      <c r="W20" s="163" t="n"/>
      <c r="X20" s="163">
        <f>V20*W20</f>
        <v/>
      </c>
      <c r="Z20" s="160">
        <f>Z19+1</f>
        <v/>
      </c>
      <c r="AA20" s="161" t="n"/>
      <c r="AB20" s="162" t="n"/>
      <c r="AC20" s="163">
        <f>IFERROR(VLOOKUP(AA20,'Master List'!$A:$D,2,0),0)</f>
        <v/>
      </c>
      <c r="AD20" s="163">
        <f>IFERROR(VLOOKUP(AA20,'Master List'!$A:$D,3,0),0)</f>
        <v/>
      </c>
      <c r="AE20" s="163">
        <f>IFERROR(VLOOKUP(AA20,'Master List'!$A:$D,4,0),0)</f>
        <v/>
      </c>
      <c r="AF20" s="163" t="n"/>
      <c r="AG20" s="163">
        <f>IFERROR(AD20/AE20,0)</f>
        <v/>
      </c>
      <c r="AH20" s="163">
        <f>IFERROR(IF(AF20&lt;((1/2*AE20*AG20^2)*2),1/2*AE20*SQRT((AF20/2)*2/AE20)^2,1/2*AE20*AG20^2),0)</f>
        <v/>
      </c>
      <c r="AI20" s="163">
        <f>IFERROR(IF(AF20-AH20-AJ20&lt;=0,0,AF20-AH20-AJ20),0)</f>
        <v/>
      </c>
      <c r="AJ20" s="163">
        <f>AH20</f>
        <v/>
      </c>
      <c r="AK20" s="163">
        <f>IFERROR(IF(AF20&lt;((1/2*AE20*AG20^2)*2),SQRT((AF20/2)*2/AE20),AG20),0)</f>
        <v/>
      </c>
      <c r="AL20" s="163">
        <f>IFERROR(AI20/AD20,0)</f>
        <v/>
      </c>
      <c r="AM20" s="163">
        <f>AK20</f>
        <v/>
      </c>
      <c r="AN20" s="163">
        <f>IF(AC20&gt;0,AC20,SUM(AK20:AM20))</f>
        <v/>
      </c>
      <c r="AO20" s="163" t="n"/>
      <c r="AP20" s="163">
        <f>AN20*AO20</f>
        <v/>
      </c>
      <c r="AR20" s="160">
        <f>AR19+1</f>
        <v/>
      </c>
      <c r="AS20" s="161" t="n"/>
      <c r="AT20" s="162" t="n"/>
      <c r="AU20" s="163">
        <f>IFERROR(VLOOKUP(AS20,'Master List'!$A:$D,2,0),0)</f>
        <v/>
      </c>
      <c r="AV20" s="163">
        <f>IFERROR(VLOOKUP(AS20,'Master List'!$A:$D,3,0),0)</f>
        <v/>
      </c>
      <c r="AW20" s="163">
        <f>IFERROR(VLOOKUP(AS20,'Master List'!$A:$D,4,0),0)</f>
        <v/>
      </c>
      <c r="AX20" s="163" t="n"/>
      <c r="AY20" s="163">
        <f>IFERROR(AV20/AW20,0)</f>
        <v/>
      </c>
      <c r="AZ20" s="163">
        <f>IFERROR(IF(AX20&lt;((1/2*AW20*AY20^2)*2),1/2*AW20*SQRT((AX20/2)*2/AW20)^2,1/2*AW20*AY20^2),0)</f>
        <v/>
      </c>
      <c r="BA20" s="163">
        <f>IFERROR(IF(AX20-AZ20-BB20&lt;=0,0,AX20-AZ20-BB20),0)</f>
        <v/>
      </c>
      <c r="BB20" s="163">
        <f>AZ20</f>
        <v/>
      </c>
      <c r="BC20" s="163">
        <f>IFERROR(IF(AX20&lt;((1/2*AW20*AY20^2)*2),SQRT((AX20/2)*2/AW20),AY20),0)</f>
        <v/>
      </c>
      <c r="BD20" s="163">
        <f>IFERROR(BA20/AV20,0)</f>
        <v/>
      </c>
      <c r="BE20" s="163">
        <f>BC20</f>
        <v/>
      </c>
      <c r="BF20" s="163">
        <f>IF(AU20&gt;0,AU20,SUM(BC20:BE20))</f>
        <v/>
      </c>
      <c r="BG20" s="163" t="n"/>
      <c r="BH20" s="163">
        <f>BF20*BG20</f>
        <v/>
      </c>
      <c r="BJ20" s="160">
        <f>BJ19+1</f>
        <v/>
      </c>
      <c r="BK20" s="161" t="n"/>
      <c r="BL20" s="162" t="n"/>
      <c r="BM20" s="163">
        <f>IFERROR(VLOOKUP(BK20,'Master List'!$A:$D,2,0),0)</f>
        <v/>
      </c>
      <c r="BN20" s="163">
        <f>IFERROR(VLOOKUP(BK20,'Master List'!$A:$D,3,0),0)</f>
        <v/>
      </c>
      <c r="BO20" s="163">
        <f>IFERROR(VLOOKUP(BK20,'Master List'!$A:$D,4,0),0)</f>
        <v/>
      </c>
      <c r="BP20" s="163" t="n"/>
      <c r="BQ20" s="163">
        <f>IFERROR(BN20/BO20,0)</f>
        <v/>
      </c>
      <c r="BR20" s="163">
        <f>IFERROR(IF(BP20&lt;((1/2*BO20*BQ20^2)*2),1/2*BO20*SQRT((BP20/2)*2/BO20)^2,1/2*BO20*BQ20^2),0)</f>
        <v/>
      </c>
      <c r="BS20" s="163">
        <f>IFERROR(IF(BP20-BR20-BT20&lt;=0,0,BP20-BR20-BT20),0)</f>
        <v/>
      </c>
      <c r="BT20" s="163">
        <f>BR20</f>
        <v/>
      </c>
      <c r="BU20" s="163">
        <f>IFERROR(IF(BP20&lt;((1/2*BO20*BQ20^2)*2),SQRT((BP20/2)*2/BO20),BQ20),0)</f>
        <v/>
      </c>
      <c r="BV20" s="163">
        <f>IFERROR(BS20/BN20,0)</f>
        <v/>
      </c>
      <c r="BW20" s="163">
        <f>BU20</f>
        <v/>
      </c>
      <c r="BX20" s="163">
        <f>IF(BM20&gt;0,BM20,SUM(BU20:BW20))</f>
        <v/>
      </c>
      <c r="BY20" s="163" t="n">
        <v>1</v>
      </c>
      <c r="BZ20" s="163">
        <f>BX20*BY20</f>
        <v/>
      </c>
      <c r="CB20" s="160">
        <f>CB19+1</f>
        <v/>
      </c>
      <c r="CC20" s="161" t="n"/>
      <c r="CD20" s="162" t="n"/>
      <c r="CE20" s="163">
        <f>IFERROR(VLOOKUP(CC20,'Master List'!$A:$D,2,0),0)</f>
        <v/>
      </c>
      <c r="CF20" s="163">
        <f>IFERROR(VLOOKUP(CC20,'Master List'!$A:$D,3,0),0)</f>
        <v/>
      </c>
      <c r="CG20" s="163">
        <f>IFERROR(VLOOKUP(CC20,'Master List'!$A:$D,4,0),0)</f>
        <v/>
      </c>
      <c r="CH20" s="163" t="n"/>
      <c r="CI20" s="163">
        <f>IFERROR(CF20/CG20,0)</f>
        <v/>
      </c>
      <c r="CJ20" s="163">
        <f>IFERROR(IF(CH20&lt;((1/2*CG20*CI20^2)*2),1/2*CG20*SQRT((CH20/2)*2/CG20)^2,1/2*CG20*CI20^2),0)</f>
        <v/>
      </c>
      <c r="CK20" s="163">
        <f>IFERROR(IF(CH20-CJ20-CL20&lt;=0,0,CH20-CJ20-CL20),0)</f>
        <v/>
      </c>
      <c r="CL20" s="163">
        <f>CJ20</f>
        <v/>
      </c>
      <c r="CM20" s="163">
        <f>IFERROR(IF(CH20&lt;((1/2*CG20*CI20^2)*2),SQRT((CH20/2)*2/CG20),CI20),0)</f>
        <v/>
      </c>
      <c r="CN20" s="163">
        <f>IFERROR(CK20/CF20,0)</f>
        <v/>
      </c>
      <c r="CO20" s="163">
        <f>CM20</f>
        <v/>
      </c>
      <c r="CP20" s="163">
        <f>IF(CE20&gt;0,CE20,SUM(CM20:CO20))</f>
        <v/>
      </c>
      <c r="CQ20" s="163" t="n"/>
      <c r="CR20" s="163">
        <f>CP20*CQ20</f>
        <v/>
      </c>
      <c r="EE20" s="582" t="n">
        <v>5</v>
      </c>
    </row>
    <row r="21" ht="15" customHeight="1" s="516">
      <c r="A21" s="33">
        <f>"Single cycle "&amp;C21&amp;" m"</f>
        <v/>
      </c>
      <c r="B21" s="52" t="n">
        <v>0.55</v>
      </c>
      <c r="C21" s="45">
        <f>B21*$B$15</f>
        <v/>
      </c>
      <c r="D21" s="45">
        <f>'Medius TP'!BZ4</f>
        <v/>
      </c>
      <c r="E21" s="52">
        <f>'Medius Input Output'!E8</f>
        <v/>
      </c>
      <c r="F21" s="43">
        <f>D21*1</f>
        <v/>
      </c>
      <c r="H21" s="160">
        <f>H20+1</f>
        <v/>
      </c>
      <c r="I21" s="165" t="n"/>
      <c r="J21" s="162" t="n"/>
      <c r="K21" s="163">
        <f>IFERROR(VLOOKUP(I21,'Master List'!$A:$D,2,0),0)</f>
        <v/>
      </c>
      <c r="L21" s="163">
        <f>IFERROR(VLOOKUP(I21,'Master List'!$A:$D,3,0),0)</f>
        <v/>
      </c>
      <c r="M21" s="163">
        <f>IFERROR(VLOOKUP(I21,'Master List'!$A:$D,4,0),0)</f>
        <v/>
      </c>
      <c r="N21" s="163" t="n"/>
      <c r="O21" s="163">
        <f>IFERROR(L21/M21,0)</f>
        <v/>
      </c>
      <c r="P21" s="163">
        <f>IFERROR(IF(N21&lt;((1/2*M21*O21^2)*2),1/2*M21*SQRT((N21/2)*2/M21)^2,1/2*M21*O21^2),0)</f>
        <v/>
      </c>
      <c r="Q21" s="163">
        <f>IFERROR(IF(N21-P21-R21&lt;=0,0,N21-P21-R21),0)</f>
        <v/>
      </c>
      <c r="R21" s="163">
        <f>P21</f>
        <v/>
      </c>
      <c r="S21" s="163">
        <f>IFERROR(IF(N21&lt;((1/2*M21*O21^2)*2),SQRT((N21/2)*2/M21),O21),0)</f>
        <v/>
      </c>
      <c r="T21" s="163">
        <f>IFERROR(Q21/L21,0)</f>
        <v/>
      </c>
      <c r="U21" s="163">
        <f>S21</f>
        <v/>
      </c>
      <c r="V21" s="163">
        <f>IF(K21&gt;0,K21,SUM(S21:U21))</f>
        <v/>
      </c>
      <c r="W21" s="163" t="n"/>
      <c r="X21" s="163">
        <f>V21*W21</f>
        <v/>
      </c>
      <c r="Z21" s="160">
        <f>Z20+1</f>
        <v/>
      </c>
      <c r="AA21" s="165" t="n"/>
      <c r="AB21" s="162" t="n"/>
      <c r="AC21" s="163">
        <f>IFERROR(VLOOKUP(AA21,'Master List'!$A:$D,2,0),0)</f>
        <v/>
      </c>
      <c r="AD21" s="163">
        <f>IFERROR(VLOOKUP(AA21,'Master List'!$A:$D,3,0),0)</f>
        <v/>
      </c>
      <c r="AE21" s="163">
        <f>IFERROR(VLOOKUP(AA21,'Master List'!$A:$D,4,0),0)</f>
        <v/>
      </c>
      <c r="AF21" s="163" t="n"/>
      <c r="AG21" s="163">
        <f>IFERROR(AD21/AE21,0)</f>
        <v/>
      </c>
      <c r="AH21" s="163">
        <f>IFERROR(IF(AF21&lt;((1/2*AE21*AG21^2)*2),1/2*AE21*SQRT((AF21/2)*2/AE21)^2,1/2*AE21*AG21^2),0)</f>
        <v/>
      </c>
      <c r="AI21" s="163">
        <f>IFERROR(IF(AF21-AH21-AJ21&lt;=0,0,AF21-AH21-AJ21),0)</f>
        <v/>
      </c>
      <c r="AJ21" s="163">
        <f>AH21</f>
        <v/>
      </c>
      <c r="AK21" s="163">
        <f>IFERROR(IF(AF21&lt;((1/2*AE21*AG21^2)*2),SQRT((AF21/2)*2/AE21),AG21),0)</f>
        <v/>
      </c>
      <c r="AL21" s="163">
        <f>IFERROR(AI21/AD21,0)</f>
        <v/>
      </c>
      <c r="AM21" s="163">
        <f>AK21</f>
        <v/>
      </c>
      <c r="AN21" s="163">
        <f>IF(AC21&gt;0,AC21,SUM(AK21:AM21))</f>
        <v/>
      </c>
      <c r="AO21" s="163" t="n"/>
      <c r="AP21" s="163">
        <f>AN21*AO21</f>
        <v/>
      </c>
      <c r="AR21" s="160">
        <f>AR20+1</f>
        <v/>
      </c>
      <c r="AS21" s="165" t="n"/>
      <c r="AT21" s="162" t="n"/>
      <c r="AU21" s="163">
        <f>IFERROR(VLOOKUP(AS21,'Master List'!$A:$D,2,0),0)</f>
        <v/>
      </c>
      <c r="AV21" s="163">
        <f>IFERROR(VLOOKUP(AS21,'Master List'!$A:$D,3,0),0)</f>
        <v/>
      </c>
      <c r="AW21" s="163">
        <f>IFERROR(VLOOKUP(AS21,'Master List'!$A:$D,4,0),0)</f>
        <v/>
      </c>
      <c r="AX21" s="163" t="n"/>
      <c r="AY21" s="163">
        <f>IFERROR(AV21/AW21,0)</f>
        <v/>
      </c>
      <c r="AZ21" s="163">
        <f>IFERROR(IF(AX21&lt;((1/2*AW21*AY21^2)*2),1/2*AW21*SQRT((AX21/2)*2/AW21)^2,1/2*AW21*AY21^2),0)</f>
        <v/>
      </c>
      <c r="BA21" s="163">
        <f>IFERROR(IF(AX21-AZ21-BB21&lt;=0,0,AX21-AZ21-BB21),0)</f>
        <v/>
      </c>
      <c r="BB21" s="163">
        <f>AZ21</f>
        <v/>
      </c>
      <c r="BC21" s="163">
        <f>IFERROR(IF(AX21&lt;((1/2*AW21*AY21^2)*2),SQRT((AX21/2)*2/AW21),AY21),0)</f>
        <v/>
      </c>
      <c r="BD21" s="163">
        <f>IFERROR(BA21/AV21,0)</f>
        <v/>
      </c>
      <c r="BE21" s="163">
        <f>BC21</f>
        <v/>
      </c>
      <c r="BF21" s="163">
        <f>IF(AU21&gt;0,AU21,SUM(BC21:BE21))</f>
        <v/>
      </c>
      <c r="BG21" s="163" t="n"/>
      <c r="BH21" s="163">
        <f>BF21*BG21</f>
        <v/>
      </c>
      <c r="BJ21" s="160">
        <f>BJ20+1</f>
        <v/>
      </c>
      <c r="BK21" s="165" t="n"/>
      <c r="BL21" s="162" t="n"/>
      <c r="BM21" s="163">
        <f>IFERROR(VLOOKUP(BK21,'Master List'!$A:$D,2,0),0)</f>
        <v/>
      </c>
      <c r="BN21" s="163">
        <f>IFERROR(VLOOKUP(BK21,'Master List'!$A:$D,3,0),0)</f>
        <v/>
      </c>
      <c r="BO21" s="163">
        <f>IFERROR(VLOOKUP(BK21,'Master List'!$A:$D,4,0),0)</f>
        <v/>
      </c>
      <c r="BP21" s="163" t="n"/>
      <c r="BQ21" s="163">
        <f>IFERROR(BN21/BO21,0)</f>
        <v/>
      </c>
      <c r="BR21" s="163">
        <f>IFERROR(IF(BP21&lt;((1/2*BO21*BQ21^2)*2),1/2*BO21*SQRT((BP21/2)*2/BO21)^2,1/2*BO21*BQ21^2),0)</f>
        <v/>
      </c>
      <c r="BS21" s="163">
        <f>IFERROR(IF(BP21-BR21-BT21&lt;=0,0,BP21-BR21-BT21),0)</f>
        <v/>
      </c>
      <c r="BT21" s="163">
        <f>BR21</f>
        <v/>
      </c>
      <c r="BU21" s="163">
        <f>IFERROR(IF(BP21&lt;((1/2*BO21*BQ21^2)*2),SQRT((BP21/2)*2/BO21),BQ21),0)</f>
        <v/>
      </c>
      <c r="BV21" s="163">
        <f>IFERROR(BS21/BN21,0)</f>
        <v/>
      </c>
      <c r="BW21" s="163">
        <f>BU21</f>
        <v/>
      </c>
      <c r="BX21" s="163">
        <f>IF(BM21&gt;0,BM21,SUM(BU21:BW21))</f>
        <v/>
      </c>
      <c r="BY21" s="163" t="n">
        <v>1</v>
      </c>
      <c r="BZ21" s="163">
        <f>BX21*BY21</f>
        <v/>
      </c>
      <c r="CB21" s="160">
        <f>CB20+1</f>
        <v/>
      </c>
      <c r="CC21" s="165" t="n"/>
      <c r="CD21" s="162" t="n"/>
      <c r="CE21" s="163">
        <f>IFERROR(VLOOKUP(CC21,'Master List'!$A:$D,2,0),0)</f>
        <v/>
      </c>
      <c r="CF21" s="163">
        <f>IFERROR(VLOOKUP(CC21,'Master List'!$A:$D,3,0),0)</f>
        <v/>
      </c>
      <c r="CG21" s="163">
        <f>IFERROR(VLOOKUP(CC21,'Master List'!$A:$D,4,0),0)</f>
        <v/>
      </c>
      <c r="CH21" s="163" t="n"/>
      <c r="CI21" s="163">
        <f>IFERROR(CF21/CG21,0)</f>
        <v/>
      </c>
      <c r="CJ21" s="163">
        <f>IFERROR(IF(CH21&lt;((1/2*CG21*CI21^2)*2),1/2*CG21*SQRT((CH21/2)*2/CG21)^2,1/2*CG21*CI21^2),0)</f>
        <v/>
      </c>
      <c r="CK21" s="163">
        <f>IFERROR(IF(CH21-CJ21-CL21&lt;=0,0,CH21-CJ21-CL21),0)</f>
        <v/>
      </c>
      <c r="CL21" s="163">
        <f>CJ21</f>
        <v/>
      </c>
      <c r="CM21" s="163">
        <f>IFERROR(IF(CH21&lt;((1/2*CG21*CI21^2)*2),SQRT((CH21/2)*2/CG21),CI21),0)</f>
        <v/>
      </c>
      <c r="CN21" s="163">
        <f>IFERROR(CK21/CF21,0)</f>
        <v/>
      </c>
      <c r="CO21" s="163">
        <f>CM21</f>
        <v/>
      </c>
      <c r="CP21" s="163">
        <f>IF(CE21&gt;0,CE21,SUM(CM21:CO21))</f>
        <v/>
      </c>
      <c r="CQ21" s="163" t="n"/>
      <c r="CR21" s="163">
        <f>CP21*CQ21</f>
        <v/>
      </c>
      <c r="EE21" s="582" t="n">
        <v>0</v>
      </c>
    </row>
    <row r="22" ht="15" customHeight="1" s="516">
      <c r="A22" s="31" t="n"/>
      <c r="E22" s="44">
        <f>SUM(E18:E21)</f>
        <v/>
      </c>
      <c r="H22" s="160">
        <f>H21+1</f>
        <v/>
      </c>
      <c r="I22" s="165" t="n"/>
      <c r="J22" s="162" t="n"/>
      <c r="K22" s="163">
        <f>IFERROR(VLOOKUP(I22,'Master List'!$A:$D,2,0),0)</f>
        <v/>
      </c>
      <c r="L22" s="163">
        <f>IFERROR(VLOOKUP(I22,'Master List'!$A:$D,3,0),0)</f>
        <v/>
      </c>
      <c r="M22" s="163">
        <f>IFERROR(VLOOKUP(I22,'Master List'!$A:$D,4,0),0)</f>
        <v/>
      </c>
      <c r="N22" s="163" t="n"/>
      <c r="O22" s="163">
        <f>IFERROR(L22/M22,0)</f>
        <v/>
      </c>
      <c r="P22" s="163">
        <f>IFERROR(IF(N22&lt;((1/2*M22*O22^2)*2),1/2*M22*SQRT((N22/2)*2/M22)^2,1/2*M22*O22^2),0)</f>
        <v/>
      </c>
      <c r="Q22" s="163">
        <f>IFERROR(IF(N22-P22-R22&lt;=0,0,N22-P22-R22),0)</f>
        <v/>
      </c>
      <c r="R22" s="163">
        <f>P22</f>
        <v/>
      </c>
      <c r="S22" s="163">
        <f>IFERROR(IF(N22&lt;((1/2*M22*O22^2)*2),SQRT((N22/2)*2/M22),O22),0)</f>
        <v/>
      </c>
      <c r="T22" s="163">
        <f>IFERROR(Q22/L22,0)</f>
        <v/>
      </c>
      <c r="U22" s="163">
        <f>S22</f>
        <v/>
      </c>
      <c r="V22" s="163">
        <f>IF(K22&gt;0,K22,SUM(S22:U22))</f>
        <v/>
      </c>
      <c r="W22" s="163" t="n"/>
      <c r="X22" s="163">
        <f>V22*W22</f>
        <v/>
      </c>
      <c r="Z22" s="160">
        <f>Z21+1</f>
        <v/>
      </c>
      <c r="AA22" s="165" t="n"/>
      <c r="AB22" s="162" t="n"/>
      <c r="AC22" s="163">
        <f>IFERROR(VLOOKUP(AA22,'Master List'!$A:$D,2,0),0)</f>
        <v/>
      </c>
      <c r="AD22" s="163">
        <f>IFERROR(VLOOKUP(AA22,'Master List'!$A:$D,3,0),0)</f>
        <v/>
      </c>
      <c r="AE22" s="163">
        <f>IFERROR(VLOOKUP(AA22,'Master List'!$A:$D,4,0),0)</f>
        <v/>
      </c>
      <c r="AF22" s="163" t="n"/>
      <c r="AG22" s="163">
        <f>IFERROR(AD22/AE22,0)</f>
        <v/>
      </c>
      <c r="AH22" s="163">
        <f>IFERROR(IF(AF22&lt;((1/2*AE22*AG22^2)*2),1/2*AE22*SQRT((AF22/2)*2/AE22)^2,1/2*AE22*AG22^2),0)</f>
        <v/>
      </c>
      <c r="AI22" s="163">
        <f>IFERROR(IF(AF22-AH22-AJ22&lt;=0,0,AF22-AH22-AJ22),0)</f>
        <v/>
      </c>
      <c r="AJ22" s="163">
        <f>AH22</f>
        <v/>
      </c>
      <c r="AK22" s="163">
        <f>IFERROR(IF(AF22&lt;((1/2*AE22*AG22^2)*2),SQRT((AF22/2)*2/AE22),AG22),0)</f>
        <v/>
      </c>
      <c r="AL22" s="163">
        <f>IFERROR(AI22/AD22,0)</f>
        <v/>
      </c>
      <c r="AM22" s="163">
        <f>AK22</f>
        <v/>
      </c>
      <c r="AN22" s="163">
        <f>IF(AC22&gt;0,AC22,SUM(AK22:AM22))</f>
        <v/>
      </c>
      <c r="AO22" s="163" t="n"/>
      <c r="AP22" s="163">
        <f>AN22*AO22</f>
        <v/>
      </c>
      <c r="AR22" s="160">
        <f>AR21+1</f>
        <v/>
      </c>
      <c r="AS22" s="165" t="n"/>
      <c r="AT22" s="162" t="n"/>
      <c r="AU22" s="163">
        <f>IFERROR(VLOOKUP(AS22,'Master List'!$A:$D,2,0),0)</f>
        <v/>
      </c>
      <c r="AV22" s="163">
        <f>IFERROR(VLOOKUP(AS22,'Master List'!$A:$D,3,0),0)</f>
        <v/>
      </c>
      <c r="AW22" s="163">
        <f>IFERROR(VLOOKUP(AS22,'Master List'!$A:$D,4,0),0)</f>
        <v/>
      </c>
      <c r="AX22" s="163" t="n"/>
      <c r="AY22" s="163">
        <f>IFERROR(AV22/AW22,0)</f>
        <v/>
      </c>
      <c r="AZ22" s="163">
        <f>IFERROR(IF(AX22&lt;((1/2*AW22*AY22^2)*2),1/2*AW22*SQRT((AX22/2)*2/AW22)^2,1/2*AW22*AY22^2),0)</f>
        <v/>
      </c>
      <c r="BA22" s="163">
        <f>IFERROR(IF(AX22-AZ22-BB22&lt;=0,0,AX22-AZ22-BB22),0)</f>
        <v/>
      </c>
      <c r="BB22" s="163">
        <f>AZ22</f>
        <v/>
      </c>
      <c r="BC22" s="163">
        <f>IFERROR(IF(AX22&lt;((1/2*AW22*AY22^2)*2),SQRT((AX22/2)*2/AW22),AY22),0)</f>
        <v/>
      </c>
      <c r="BD22" s="163">
        <f>IFERROR(BA22/AV22,0)</f>
        <v/>
      </c>
      <c r="BE22" s="163">
        <f>BC22</f>
        <v/>
      </c>
      <c r="BF22" s="163">
        <f>IF(AU22&gt;0,AU22,SUM(BC22:BE22))</f>
        <v/>
      </c>
      <c r="BG22" s="163" t="n"/>
      <c r="BH22" s="163">
        <f>BF22*BG22</f>
        <v/>
      </c>
      <c r="BJ22" s="160">
        <f>BJ21+1</f>
        <v/>
      </c>
      <c r="BK22" s="165" t="n"/>
      <c r="BL22" s="162" t="n"/>
      <c r="BM22" s="163">
        <f>IFERROR(VLOOKUP(BK22,'Master List'!$A:$D,2,0),0)</f>
        <v/>
      </c>
      <c r="BN22" s="163">
        <f>IFERROR(VLOOKUP(BK22,'Master List'!$A:$D,3,0),0)</f>
        <v/>
      </c>
      <c r="BO22" s="163">
        <f>IFERROR(VLOOKUP(BK22,'Master List'!$A:$D,4,0),0)</f>
        <v/>
      </c>
      <c r="BP22" s="163" t="n"/>
      <c r="BQ22" s="163">
        <f>IFERROR(BN22/BO22,0)</f>
        <v/>
      </c>
      <c r="BR22" s="163">
        <f>IFERROR(IF(BP22&lt;((1/2*BO22*BQ22^2)*2),1/2*BO22*SQRT((BP22/2)*2/BO22)^2,1/2*BO22*BQ22^2),0)</f>
        <v/>
      </c>
      <c r="BS22" s="163">
        <f>IFERROR(IF(BP22-BR22-BT22&lt;=0,0,BP22-BR22-BT22),0)</f>
        <v/>
      </c>
      <c r="BT22" s="163">
        <f>BR22</f>
        <v/>
      </c>
      <c r="BU22" s="163">
        <f>IFERROR(IF(BP22&lt;((1/2*BO22*BQ22^2)*2),SQRT((BP22/2)*2/BO22),BQ22),0)</f>
        <v/>
      </c>
      <c r="BV22" s="163">
        <f>IFERROR(BS22/BN22,0)</f>
        <v/>
      </c>
      <c r="BW22" s="163">
        <f>BU22</f>
        <v/>
      </c>
      <c r="BX22" s="163">
        <f>IF(BM22&gt;0,BM22,SUM(BU22:BW22))</f>
        <v/>
      </c>
      <c r="BY22" s="163" t="n">
        <v>1</v>
      </c>
      <c r="BZ22" s="163">
        <f>BX22*BY22</f>
        <v/>
      </c>
      <c r="CB22" s="160">
        <f>CB21+1</f>
        <v/>
      </c>
      <c r="CC22" s="165" t="n"/>
      <c r="CD22" s="162" t="n"/>
      <c r="CE22" s="163">
        <f>IFERROR(VLOOKUP(CC22,'Master List'!$A:$D,2,0),0)</f>
        <v/>
      </c>
      <c r="CF22" s="163">
        <f>IFERROR(VLOOKUP(CC22,'Master List'!$A:$D,3,0),0)</f>
        <v/>
      </c>
      <c r="CG22" s="163">
        <f>IFERROR(VLOOKUP(CC22,'Master List'!$A:$D,4,0),0)</f>
        <v/>
      </c>
      <c r="CH22" s="163" t="n"/>
      <c r="CI22" s="163">
        <f>IFERROR(CF22/CG22,0)</f>
        <v/>
      </c>
      <c r="CJ22" s="163">
        <f>IFERROR(IF(CH22&lt;((1/2*CG22*CI22^2)*2),1/2*CG22*SQRT((CH22/2)*2/CG22)^2,1/2*CG22*CI22^2),0)</f>
        <v/>
      </c>
      <c r="CK22" s="163">
        <f>IFERROR(IF(CH22-CJ22-CL22&lt;=0,0,CH22-CJ22-CL22),0)</f>
        <v/>
      </c>
      <c r="CL22" s="163">
        <f>CJ22</f>
        <v/>
      </c>
      <c r="CM22" s="163">
        <f>IFERROR(IF(CH22&lt;((1/2*CG22*CI22^2)*2),SQRT((CH22/2)*2/CG22),CI22),0)</f>
        <v/>
      </c>
      <c r="CN22" s="163">
        <f>IFERROR(CK22/CF22,0)</f>
        <v/>
      </c>
      <c r="CO22" s="163">
        <f>CM22</f>
        <v/>
      </c>
      <c r="CP22" s="163">
        <f>IF(CE22&gt;0,CE22,SUM(CM22:CO22))</f>
        <v/>
      </c>
      <c r="CQ22" s="163" t="n"/>
      <c r="CR22" s="163">
        <f>CP22*CQ22</f>
        <v/>
      </c>
      <c r="EE22" s="582" t="n">
        <v>6</v>
      </c>
    </row>
    <row r="23">
      <c r="A23" s="30" t="inlineStr">
        <is>
          <t>Combined cycle next location distance m</t>
        </is>
      </c>
      <c r="B23" s="533">
        <f>B15*15%</f>
        <v/>
      </c>
      <c r="H23" s="160">
        <f>H22+1</f>
        <v/>
      </c>
      <c r="I23" s="165" t="n"/>
      <c r="J23" s="162" t="n"/>
      <c r="K23" s="163">
        <f>IFERROR(VLOOKUP(I23,'Master List'!$A:$D,2,0),0)</f>
        <v/>
      </c>
      <c r="L23" s="163">
        <f>IFERROR(VLOOKUP(I23,'Master List'!$A:$D,3,0),0)</f>
        <v/>
      </c>
      <c r="M23" s="163">
        <f>IFERROR(VLOOKUP(I23,'Master List'!$A:$D,4,0),0)</f>
        <v/>
      </c>
      <c r="N23" s="163" t="n"/>
      <c r="O23" s="163">
        <f>IFERROR(L23/M23,0)</f>
        <v/>
      </c>
      <c r="P23" s="163">
        <f>IFERROR(IF(N23&lt;((1/2*M23*O23^2)*2),1/2*M23*SQRT((N23/2)*2/M23)^2,1/2*M23*O23^2),0)</f>
        <v/>
      </c>
      <c r="Q23" s="163">
        <f>IFERROR(IF(N23-P23-R23&lt;=0,0,N23-P23-R23),0)</f>
        <v/>
      </c>
      <c r="R23" s="163">
        <f>P23</f>
        <v/>
      </c>
      <c r="S23" s="163">
        <f>IFERROR(IF(N23&lt;((1/2*M23*O23^2)*2),SQRT((N23/2)*2/M23),O23),0)</f>
        <v/>
      </c>
      <c r="T23" s="163">
        <f>IFERROR(Q23/L23,0)</f>
        <v/>
      </c>
      <c r="U23" s="163">
        <f>S23</f>
        <v/>
      </c>
      <c r="V23" s="163">
        <f>IF(K23&gt;0,K23,SUM(S23:U23))</f>
        <v/>
      </c>
      <c r="W23" s="163" t="n"/>
      <c r="X23" s="163">
        <f>V23*W23</f>
        <v/>
      </c>
      <c r="Z23" s="160">
        <f>Z22+1</f>
        <v/>
      </c>
      <c r="AA23" s="165" t="n"/>
      <c r="AB23" s="162" t="n"/>
      <c r="AC23" s="163">
        <f>IFERROR(VLOOKUP(AA23,'Master List'!$A:$D,2,0),0)</f>
        <v/>
      </c>
      <c r="AD23" s="163">
        <f>IFERROR(VLOOKUP(AA23,'Master List'!$A:$D,3,0),0)</f>
        <v/>
      </c>
      <c r="AE23" s="163">
        <f>IFERROR(VLOOKUP(AA23,'Master List'!$A:$D,4,0),0)</f>
        <v/>
      </c>
      <c r="AF23" s="163" t="n"/>
      <c r="AG23" s="163">
        <f>IFERROR(AD23/AE23,0)</f>
        <v/>
      </c>
      <c r="AH23" s="163">
        <f>IFERROR(IF(AF23&lt;((1/2*AE23*AG23^2)*2),1/2*AE23*SQRT((AF23/2)*2/AE23)^2,1/2*AE23*AG23^2),0)</f>
        <v/>
      </c>
      <c r="AI23" s="163">
        <f>IFERROR(IF(AF23-AH23-AJ23&lt;=0,0,AF23-AH23-AJ23),0)</f>
        <v/>
      </c>
      <c r="AJ23" s="163">
        <f>AH23</f>
        <v/>
      </c>
      <c r="AK23" s="163">
        <f>IFERROR(IF(AF23&lt;((1/2*AE23*AG23^2)*2),SQRT((AF23/2)*2/AE23),AG23),0)</f>
        <v/>
      </c>
      <c r="AL23" s="163">
        <f>IFERROR(AI23/AD23,0)</f>
        <v/>
      </c>
      <c r="AM23" s="163">
        <f>AK23</f>
        <v/>
      </c>
      <c r="AN23" s="163">
        <f>IF(AC23&gt;0,AC23,SUM(AK23:AM23))</f>
        <v/>
      </c>
      <c r="AO23" s="163" t="n"/>
      <c r="AP23" s="163">
        <f>AN23*AO23</f>
        <v/>
      </c>
      <c r="AR23" s="160">
        <f>AR22+1</f>
        <v/>
      </c>
      <c r="AS23" s="165" t="n"/>
      <c r="AT23" s="162" t="n"/>
      <c r="AU23" s="163">
        <f>IFERROR(VLOOKUP(AS23,'Master List'!$A:$D,2,0),0)</f>
        <v/>
      </c>
      <c r="AV23" s="163">
        <f>IFERROR(VLOOKUP(AS23,'Master List'!$A:$D,3,0),0)</f>
        <v/>
      </c>
      <c r="AW23" s="163">
        <f>IFERROR(VLOOKUP(AS23,'Master List'!$A:$D,4,0),0)</f>
        <v/>
      </c>
      <c r="AX23" s="163" t="n"/>
      <c r="AY23" s="163">
        <f>IFERROR(AV23/AW23,0)</f>
        <v/>
      </c>
      <c r="AZ23" s="163">
        <f>IFERROR(IF(AX23&lt;((1/2*AW23*AY23^2)*2),1/2*AW23*SQRT((AX23/2)*2/AW23)^2,1/2*AW23*AY23^2),0)</f>
        <v/>
      </c>
      <c r="BA23" s="163">
        <f>IFERROR(IF(AX23-AZ23-BB23&lt;=0,0,AX23-AZ23-BB23),0)</f>
        <v/>
      </c>
      <c r="BB23" s="163">
        <f>AZ23</f>
        <v/>
      </c>
      <c r="BC23" s="163">
        <f>IFERROR(IF(AX23&lt;((1/2*AW23*AY23^2)*2),SQRT((AX23/2)*2/AW23),AY23),0)</f>
        <v/>
      </c>
      <c r="BD23" s="163">
        <f>IFERROR(BA23/AV23,0)</f>
        <v/>
      </c>
      <c r="BE23" s="163">
        <f>BC23</f>
        <v/>
      </c>
      <c r="BF23" s="163">
        <f>IF(AU23&gt;0,AU23,SUM(BC23:BE23))</f>
        <v/>
      </c>
      <c r="BG23" s="163" t="n"/>
      <c r="BH23" s="163">
        <f>BF23*BG23</f>
        <v/>
      </c>
      <c r="BJ23" s="160">
        <f>BJ22+1</f>
        <v/>
      </c>
      <c r="BK23" s="165" t="n"/>
      <c r="BL23" s="162" t="n"/>
      <c r="BM23" s="163">
        <f>IFERROR(VLOOKUP(BK23,'Master List'!$A:$D,2,0),0)</f>
        <v/>
      </c>
      <c r="BN23" s="163">
        <f>IFERROR(VLOOKUP(BK23,'Master List'!$A:$D,3,0),0)</f>
        <v/>
      </c>
      <c r="BO23" s="163">
        <f>IFERROR(VLOOKUP(BK23,'Master List'!$A:$D,4,0),0)</f>
        <v/>
      </c>
      <c r="BP23" s="163" t="n"/>
      <c r="BQ23" s="163">
        <f>IFERROR(BN23/BO23,0)</f>
        <v/>
      </c>
      <c r="BR23" s="163">
        <f>IFERROR(IF(BP23&lt;((1/2*BO23*BQ23^2)*2),1/2*BO23*SQRT((BP23/2)*2/BO23)^2,1/2*BO23*BQ23^2),0)</f>
        <v/>
      </c>
      <c r="BS23" s="163">
        <f>IFERROR(IF(BP23-BR23-BT23&lt;=0,0,BP23-BR23-BT23),0)</f>
        <v/>
      </c>
      <c r="BT23" s="163">
        <f>BR23</f>
        <v/>
      </c>
      <c r="BU23" s="163">
        <f>IFERROR(IF(BP23&lt;((1/2*BO23*BQ23^2)*2),SQRT((BP23/2)*2/BO23),BQ23),0)</f>
        <v/>
      </c>
      <c r="BV23" s="163">
        <f>IFERROR(BS23/BN23,0)</f>
        <v/>
      </c>
      <c r="BW23" s="163">
        <f>BU23</f>
        <v/>
      </c>
      <c r="BX23" s="163">
        <f>IF(BM23&gt;0,BM23,SUM(BU23:BW23))</f>
        <v/>
      </c>
      <c r="BY23" s="163" t="n">
        <v>1</v>
      </c>
      <c r="BZ23" s="163">
        <f>BX23*BY23</f>
        <v/>
      </c>
      <c r="CB23" s="160">
        <f>CB22+1</f>
        <v/>
      </c>
      <c r="CC23" s="165" t="n"/>
      <c r="CD23" s="162" t="n"/>
      <c r="CE23" s="163">
        <f>IFERROR(VLOOKUP(CC23,'Master List'!$A:$D,2,0),0)</f>
        <v/>
      </c>
      <c r="CF23" s="163">
        <f>IFERROR(VLOOKUP(CC23,'Master List'!$A:$D,3,0),0)</f>
        <v/>
      </c>
      <c r="CG23" s="163">
        <f>IFERROR(VLOOKUP(CC23,'Master List'!$A:$D,4,0),0)</f>
        <v/>
      </c>
      <c r="CH23" s="163" t="n"/>
      <c r="CI23" s="163">
        <f>IFERROR(CF23/CG23,0)</f>
        <v/>
      </c>
      <c r="CJ23" s="163">
        <f>IFERROR(IF(CH23&lt;((1/2*CG23*CI23^2)*2),1/2*CG23*SQRT((CH23/2)*2/CG23)^2,1/2*CG23*CI23^2),0)</f>
        <v/>
      </c>
      <c r="CK23" s="163">
        <f>IFERROR(IF(CH23-CJ23-CL23&lt;=0,0,CH23-CJ23-CL23),0)</f>
        <v/>
      </c>
      <c r="CL23" s="163">
        <f>CJ23</f>
        <v/>
      </c>
      <c r="CM23" s="163">
        <f>IFERROR(IF(CH23&lt;((1/2*CG23*CI23^2)*2),SQRT((CH23/2)*2/CG23),CI23),0)</f>
        <v/>
      </c>
      <c r="CN23" s="163">
        <f>IFERROR(CK23/CF23,0)</f>
        <v/>
      </c>
      <c r="CO23" s="163">
        <f>CM23</f>
        <v/>
      </c>
      <c r="CP23" s="163">
        <f>IF(CE23&gt;0,CE23,SUM(CM23:CO23))</f>
        <v/>
      </c>
      <c r="CQ23" s="163" t="n"/>
      <c r="CR23" s="163">
        <f>CP23*CQ23</f>
        <v/>
      </c>
      <c r="EE23" s="148" t="n">
        <v>0</v>
      </c>
    </row>
    <row r="24">
      <c r="A24" s="30" t="inlineStr">
        <is>
          <t>Location height m</t>
        </is>
      </c>
      <c r="B24" s="62">
        <f>'Medius Input Output'!B11</f>
        <v/>
      </c>
      <c r="H24" s="160">
        <f>H23+1</f>
        <v/>
      </c>
      <c r="I24" s="165" t="n"/>
      <c r="J24" s="162" t="n"/>
      <c r="K24" s="163">
        <f>IFERROR(VLOOKUP(I24,'Master List'!$A:$D,2,0),0)</f>
        <v/>
      </c>
      <c r="L24" s="163">
        <f>IFERROR(VLOOKUP(I24,'Master List'!$A:$D,3,0),0)</f>
        <v/>
      </c>
      <c r="M24" s="163">
        <f>IFERROR(VLOOKUP(I24,'Master List'!$A:$D,4,0),0)</f>
        <v/>
      </c>
      <c r="N24" s="163" t="n"/>
      <c r="O24" s="163">
        <f>IFERROR(L24/M24,0)</f>
        <v/>
      </c>
      <c r="P24" s="163">
        <f>IFERROR(IF(N24&lt;((1/2*M24*O24^2)*2),1/2*M24*SQRT((N24/2)*2/M24)^2,1/2*M24*O24^2),0)</f>
        <v/>
      </c>
      <c r="Q24" s="163">
        <f>IFERROR(IF(N24-P24-R24&lt;=0,0,N24-P24-R24),0)</f>
        <v/>
      </c>
      <c r="R24" s="163">
        <f>P24</f>
        <v/>
      </c>
      <c r="S24" s="163">
        <f>IFERROR(IF(N24&lt;((1/2*M24*O24^2)*2),SQRT((N24/2)*2/M24),O24),0)</f>
        <v/>
      </c>
      <c r="T24" s="163">
        <f>IFERROR(Q24/L24,0)</f>
        <v/>
      </c>
      <c r="U24" s="163">
        <f>S24</f>
        <v/>
      </c>
      <c r="V24" s="163">
        <f>IF(K24&gt;0,K24,SUM(S24:U24))</f>
        <v/>
      </c>
      <c r="W24" s="163" t="n"/>
      <c r="X24" s="163">
        <f>V24*W24</f>
        <v/>
      </c>
      <c r="Z24" s="160">
        <f>Z23+1</f>
        <v/>
      </c>
      <c r="AA24" s="165" t="n"/>
      <c r="AB24" s="162" t="n"/>
      <c r="AC24" s="163">
        <f>IFERROR(VLOOKUP(AA24,'Master List'!$A:$D,2,0),0)</f>
        <v/>
      </c>
      <c r="AD24" s="163">
        <f>IFERROR(VLOOKUP(AA24,'Master List'!$A:$D,3,0),0)</f>
        <v/>
      </c>
      <c r="AE24" s="163">
        <f>IFERROR(VLOOKUP(AA24,'Master List'!$A:$D,4,0),0)</f>
        <v/>
      </c>
      <c r="AF24" s="163" t="n"/>
      <c r="AG24" s="163">
        <f>IFERROR(AD24/AE24,0)</f>
        <v/>
      </c>
      <c r="AH24" s="163">
        <f>IFERROR(IF(AF24&lt;((1/2*AE24*AG24^2)*2),1/2*AE24*SQRT((AF24/2)*2/AE24)^2,1/2*AE24*AG24^2),0)</f>
        <v/>
      </c>
      <c r="AI24" s="163">
        <f>IFERROR(IF(AF24-AH24-AJ24&lt;=0,0,AF24-AH24-AJ24),0)</f>
        <v/>
      </c>
      <c r="AJ24" s="163">
        <f>AH24</f>
        <v/>
      </c>
      <c r="AK24" s="163">
        <f>IFERROR(IF(AF24&lt;((1/2*AE24*AG24^2)*2),SQRT((AF24/2)*2/AE24),AG24),0)</f>
        <v/>
      </c>
      <c r="AL24" s="163">
        <f>IFERROR(AI24/AD24,0)</f>
        <v/>
      </c>
      <c r="AM24" s="163">
        <f>AK24</f>
        <v/>
      </c>
      <c r="AN24" s="163">
        <f>IF(AC24&gt;0,AC24,SUM(AK24:AM24))</f>
        <v/>
      </c>
      <c r="AO24" s="163" t="n"/>
      <c r="AP24" s="163">
        <f>AN24*AO24</f>
        <v/>
      </c>
      <c r="AR24" s="160">
        <f>AR23+1</f>
        <v/>
      </c>
      <c r="AS24" s="165" t="n"/>
      <c r="AT24" s="162" t="n"/>
      <c r="AU24" s="163">
        <f>IFERROR(VLOOKUP(AS24,'Master List'!$A:$D,2,0),0)</f>
        <v/>
      </c>
      <c r="AV24" s="163">
        <f>IFERROR(VLOOKUP(AS24,'Master List'!$A:$D,3,0),0)</f>
        <v/>
      </c>
      <c r="AW24" s="163">
        <f>IFERROR(VLOOKUP(AS24,'Master List'!$A:$D,4,0),0)</f>
        <v/>
      </c>
      <c r="AX24" s="163" t="n"/>
      <c r="AY24" s="163">
        <f>IFERROR(AV24/AW24,0)</f>
        <v/>
      </c>
      <c r="AZ24" s="163">
        <f>IFERROR(IF(AX24&lt;((1/2*AW24*AY24^2)*2),1/2*AW24*SQRT((AX24/2)*2/AW24)^2,1/2*AW24*AY24^2),0)</f>
        <v/>
      </c>
      <c r="BA24" s="163">
        <f>IFERROR(IF(AX24-AZ24-BB24&lt;=0,0,AX24-AZ24-BB24),0)</f>
        <v/>
      </c>
      <c r="BB24" s="163">
        <f>AZ24</f>
        <v/>
      </c>
      <c r="BC24" s="163">
        <f>IFERROR(IF(AX24&lt;((1/2*AW24*AY24^2)*2),SQRT((AX24/2)*2/AW24),AY24),0)</f>
        <v/>
      </c>
      <c r="BD24" s="163">
        <f>IFERROR(BA24/AV24,0)</f>
        <v/>
      </c>
      <c r="BE24" s="163">
        <f>BC24</f>
        <v/>
      </c>
      <c r="BF24" s="163">
        <f>IF(AU24&gt;0,AU24,SUM(BC24:BE24))</f>
        <v/>
      </c>
      <c r="BG24" s="163" t="n"/>
      <c r="BH24" s="163">
        <f>BF24*BG24</f>
        <v/>
      </c>
      <c r="BJ24" s="160">
        <f>BJ23+1</f>
        <v/>
      </c>
      <c r="BK24" s="165" t="n"/>
      <c r="BL24" s="162" t="n"/>
      <c r="BM24" s="163">
        <f>IFERROR(VLOOKUP(BK24,'Master List'!$A:$D,2,0),0)</f>
        <v/>
      </c>
      <c r="BN24" s="163">
        <f>IFERROR(VLOOKUP(BK24,'Master List'!$A:$D,3,0),0)</f>
        <v/>
      </c>
      <c r="BO24" s="163">
        <f>IFERROR(VLOOKUP(BK24,'Master List'!$A:$D,4,0),0)</f>
        <v/>
      </c>
      <c r="BP24" s="163" t="n"/>
      <c r="BQ24" s="163">
        <f>IFERROR(BN24/BO24,0)</f>
        <v/>
      </c>
      <c r="BR24" s="163">
        <f>IFERROR(IF(BP24&lt;((1/2*BO24*BQ24^2)*2),1/2*BO24*SQRT((BP24/2)*2/BO24)^2,1/2*BO24*BQ24^2),0)</f>
        <v/>
      </c>
      <c r="BS24" s="163">
        <f>IFERROR(IF(BP24-BR24-BT24&lt;=0,0,BP24-BR24-BT24),0)</f>
        <v/>
      </c>
      <c r="BT24" s="163">
        <f>BR24</f>
        <v/>
      </c>
      <c r="BU24" s="163">
        <f>IFERROR(IF(BP24&lt;((1/2*BO24*BQ24^2)*2),SQRT((BP24/2)*2/BO24),BQ24),0)</f>
        <v/>
      </c>
      <c r="BV24" s="163">
        <f>IFERROR(BS24/BN24,0)</f>
        <v/>
      </c>
      <c r="BW24" s="163">
        <f>BU24</f>
        <v/>
      </c>
      <c r="BX24" s="163">
        <f>IF(BM24&gt;0,BM24,SUM(BU24:BW24))</f>
        <v/>
      </c>
      <c r="BY24" s="163" t="n">
        <v>1</v>
      </c>
      <c r="BZ24" s="163">
        <f>BX24*BY24</f>
        <v/>
      </c>
      <c r="CB24" s="160">
        <f>CB23+1</f>
        <v/>
      </c>
      <c r="CC24" s="165" t="n"/>
      <c r="CD24" s="162" t="n"/>
      <c r="CE24" s="163">
        <f>IFERROR(VLOOKUP(CC24,'Master List'!$A:$D,2,0),0)</f>
        <v/>
      </c>
      <c r="CF24" s="163">
        <f>IFERROR(VLOOKUP(CC24,'Master List'!$A:$D,3,0),0)</f>
        <v/>
      </c>
      <c r="CG24" s="163">
        <f>IFERROR(VLOOKUP(CC24,'Master List'!$A:$D,4,0),0)</f>
        <v/>
      </c>
      <c r="CH24" s="163" t="n"/>
      <c r="CI24" s="163">
        <f>IFERROR(CF24/CG24,0)</f>
        <v/>
      </c>
      <c r="CJ24" s="163">
        <f>IFERROR(IF(CH24&lt;((1/2*CG24*CI24^2)*2),1/2*CG24*SQRT((CH24/2)*2/CG24)^2,1/2*CG24*CI24^2),0)</f>
        <v/>
      </c>
      <c r="CK24" s="163">
        <f>IFERROR(IF(CH24-CJ24-CL24&lt;=0,0,CH24-CJ24-CL24),0)</f>
        <v/>
      </c>
      <c r="CL24" s="163">
        <f>CJ24</f>
        <v/>
      </c>
      <c r="CM24" s="163">
        <f>IFERROR(IF(CH24&lt;((1/2*CG24*CI24^2)*2),SQRT((CH24/2)*2/CG24),CI24),0)</f>
        <v/>
      </c>
      <c r="CN24" s="163">
        <f>IFERROR(CK24/CF24,0)</f>
        <v/>
      </c>
      <c r="CO24" s="163">
        <f>CM24</f>
        <v/>
      </c>
      <c r="CP24" s="163">
        <f>IF(CE24&gt;0,CE24,SUM(CM24:CO24))</f>
        <v/>
      </c>
      <c r="CQ24" s="163" t="n"/>
      <c r="CR24" s="163">
        <f>CP24*CQ24</f>
        <v/>
      </c>
      <c r="EE24" s="148" t="n">
        <v>7</v>
      </c>
    </row>
    <row r="25">
      <c r="A25" s="30" t="inlineStr">
        <is>
          <t>Reshuffling cycle travel distance m</t>
        </is>
      </c>
      <c r="B25" s="533">
        <f>B15*15%</f>
        <v/>
      </c>
      <c r="H25" s="160">
        <f>H24+1</f>
        <v/>
      </c>
      <c r="I25" s="165" t="n"/>
      <c r="J25" s="162" t="n"/>
      <c r="K25" s="163">
        <f>IFERROR(VLOOKUP(I25,'Master List'!$A:$D,2,0),0)</f>
        <v/>
      </c>
      <c r="L25" s="163">
        <f>IFERROR(VLOOKUP(I25,'Master List'!$A:$D,3,0),0)</f>
        <v/>
      </c>
      <c r="M25" s="163">
        <f>IFERROR(VLOOKUP(I25,'Master List'!$A:$D,4,0),0)</f>
        <v/>
      </c>
      <c r="N25" s="163" t="n"/>
      <c r="O25" s="163">
        <f>IFERROR(L25/M25,0)</f>
        <v/>
      </c>
      <c r="P25" s="163">
        <f>IFERROR(IF(N25&lt;((1/2*M25*O25^2)*2),1/2*M25*SQRT((N25/2)*2/M25)^2,1/2*M25*O25^2),0)</f>
        <v/>
      </c>
      <c r="Q25" s="163">
        <f>IFERROR(IF(N25-P25-R25&lt;=0,0,N25-P25-R25),0)</f>
        <v/>
      </c>
      <c r="R25" s="163">
        <f>P25</f>
        <v/>
      </c>
      <c r="S25" s="163">
        <f>IFERROR(IF(N25&lt;((1/2*M25*O25^2)*2),SQRT((N25/2)*2/M25),O25),0)</f>
        <v/>
      </c>
      <c r="T25" s="163">
        <f>IFERROR(Q25/L25,0)</f>
        <v/>
      </c>
      <c r="U25" s="163">
        <f>S25</f>
        <v/>
      </c>
      <c r="V25" s="163">
        <f>IF(K25&gt;0,K25,SUM(S25:U25))</f>
        <v/>
      </c>
      <c r="W25" s="163" t="n"/>
      <c r="X25" s="163">
        <f>V25*W25</f>
        <v/>
      </c>
      <c r="Z25" s="160">
        <f>Z24+1</f>
        <v/>
      </c>
      <c r="AA25" s="165" t="n"/>
      <c r="AB25" s="162" t="n"/>
      <c r="AC25" s="163">
        <f>IFERROR(VLOOKUP(AA25,'Master List'!$A:$D,2,0),0)</f>
        <v/>
      </c>
      <c r="AD25" s="163">
        <f>IFERROR(VLOOKUP(AA25,'Master List'!$A:$D,3,0),0)</f>
        <v/>
      </c>
      <c r="AE25" s="163">
        <f>IFERROR(VLOOKUP(AA25,'Master List'!$A:$D,4,0),0)</f>
        <v/>
      </c>
      <c r="AF25" s="163" t="n"/>
      <c r="AG25" s="163">
        <f>IFERROR(AD25/AE25,0)</f>
        <v/>
      </c>
      <c r="AH25" s="163">
        <f>IFERROR(IF(AF25&lt;((1/2*AE25*AG25^2)*2),1/2*AE25*SQRT((AF25/2)*2/AE25)^2,1/2*AE25*AG25^2),0)</f>
        <v/>
      </c>
      <c r="AI25" s="163">
        <f>IFERROR(IF(AF25-AH25-AJ25&lt;=0,0,AF25-AH25-AJ25),0)</f>
        <v/>
      </c>
      <c r="AJ25" s="163">
        <f>AH25</f>
        <v/>
      </c>
      <c r="AK25" s="163">
        <f>IFERROR(IF(AF25&lt;((1/2*AE25*AG25^2)*2),SQRT((AF25/2)*2/AE25),AG25),0)</f>
        <v/>
      </c>
      <c r="AL25" s="163">
        <f>IFERROR(AI25/AD25,0)</f>
        <v/>
      </c>
      <c r="AM25" s="163">
        <f>AK25</f>
        <v/>
      </c>
      <c r="AN25" s="163">
        <f>IF(AC25&gt;0,AC25,SUM(AK25:AM25))</f>
        <v/>
      </c>
      <c r="AO25" s="163" t="n"/>
      <c r="AP25" s="163">
        <f>AN25*AO25</f>
        <v/>
      </c>
      <c r="AR25" s="160">
        <f>AR24+1</f>
        <v/>
      </c>
      <c r="AS25" s="165" t="n"/>
      <c r="AT25" s="162" t="n"/>
      <c r="AU25" s="163">
        <f>IFERROR(VLOOKUP(AS25,'Master List'!$A:$D,2,0),0)</f>
        <v/>
      </c>
      <c r="AV25" s="163">
        <f>IFERROR(VLOOKUP(AS25,'Master List'!$A:$D,3,0),0)</f>
        <v/>
      </c>
      <c r="AW25" s="163">
        <f>IFERROR(VLOOKUP(AS25,'Master List'!$A:$D,4,0),0)</f>
        <v/>
      </c>
      <c r="AX25" s="163" t="n"/>
      <c r="AY25" s="163">
        <f>IFERROR(AV25/AW25,0)</f>
        <v/>
      </c>
      <c r="AZ25" s="163">
        <f>IFERROR(IF(AX25&lt;((1/2*AW25*AY25^2)*2),1/2*AW25*SQRT((AX25/2)*2/AW25)^2,1/2*AW25*AY25^2),0)</f>
        <v/>
      </c>
      <c r="BA25" s="163">
        <f>IFERROR(IF(AX25-AZ25-BB25&lt;=0,0,AX25-AZ25-BB25),0)</f>
        <v/>
      </c>
      <c r="BB25" s="163">
        <f>AZ25</f>
        <v/>
      </c>
      <c r="BC25" s="163">
        <f>IFERROR(IF(AX25&lt;((1/2*AW25*AY25^2)*2),SQRT((AX25/2)*2/AW25),AY25),0)</f>
        <v/>
      </c>
      <c r="BD25" s="163">
        <f>IFERROR(BA25/AV25,0)</f>
        <v/>
      </c>
      <c r="BE25" s="163">
        <f>BC25</f>
        <v/>
      </c>
      <c r="BF25" s="163">
        <f>IF(AU25&gt;0,AU25,SUM(BC25:BE25))</f>
        <v/>
      </c>
      <c r="BG25" s="163" t="n"/>
      <c r="BH25" s="163">
        <f>BF25*BG25</f>
        <v/>
      </c>
      <c r="BJ25" s="160">
        <f>BJ24+1</f>
        <v/>
      </c>
      <c r="BK25" s="165" t="n"/>
      <c r="BL25" s="162" t="n"/>
      <c r="BM25" s="163">
        <f>IFERROR(VLOOKUP(BK25,'Master List'!$A:$D,2,0),0)</f>
        <v/>
      </c>
      <c r="BN25" s="163">
        <f>IFERROR(VLOOKUP(BK25,'Master List'!$A:$D,3,0),0)</f>
        <v/>
      </c>
      <c r="BO25" s="163">
        <f>IFERROR(VLOOKUP(BK25,'Master List'!$A:$D,4,0),0)</f>
        <v/>
      </c>
      <c r="BP25" s="163" t="n"/>
      <c r="BQ25" s="163">
        <f>IFERROR(BN25/BO25,0)</f>
        <v/>
      </c>
      <c r="BR25" s="163">
        <f>IFERROR(IF(BP25&lt;((1/2*BO25*BQ25^2)*2),1/2*BO25*SQRT((BP25/2)*2/BO25)^2,1/2*BO25*BQ25^2),0)</f>
        <v/>
      </c>
      <c r="BS25" s="163">
        <f>IFERROR(IF(BP25-BR25-BT25&lt;=0,0,BP25-BR25-BT25),0)</f>
        <v/>
      </c>
      <c r="BT25" s="163">
        <f>BR25</f>
        <v/>
      </c>
      <c r="BU25" s="163">
        <f>IFERROR(IF(BP25&lt;((1/2*BO25*BQ25^2)*2),SQRT((BP25/2)*2/BO25),BQ25),0)</f>
        <v/>
      </c>
      <c r="BV25" s="163">
        <f>IFERROR(BS25/BN25,0)</f>
        <v/>
      </c>
      <c r="BW25" s="163">
        <f>BU25</f>
        <v/>
      </c>
      <c r="BX25" s="163">
        <f>IF(BM25&gt;0,BM25,SUM(BU25:BW25))</f>
        <v/>
      </c>
      <c r="BY25" s="163" t="n">
        <v>1</v>
      </c>
      <c r="BZ25" s="163">
        <f>BX25*BY25</f>
        <v/>
      </c>
      <c r="CB25" s="160">
        <f>CB24+1</f>
        <v/>
      </c>
      <c r="CC25" s="165" t="n"/>
      <c r="CD25" s="162" t="n"/>
      <c r="CE25" s="163">
        <f>IFERROR(VLOOKUP(CC25,'Master List'!$A:$D,2,0),0)</f>
        <v/>
      </c>
      <c r="CF25" s="163">
        <f>IFERROR(VLOOKUP(CC25,'Master List'!$A:$D,3,0),0)</f>
        <v/>
      </c>
      <c r="CG25" s="163">
        <f>IFERROR(VLOOKUP(CC25,'Master List'!$A:$D,4,0),0)</f>
        <v/>
      </c>
      <c r="CH25" s="163" t="n"/>
      <c r="CI25" s="163">
        <f>IFERROR(CF25/CG25,0)</f>
        <v/>
      </c>
      <c r="CJ25" s="163">
        <f>IFERROR(IF(CH25&lt;((1/2*CG25*CI25^2)*2),1/2*CG25*SQRT((CH25/2)*2/CG25)^2,1/2*CG25*CI25^2),0)</f>
        <v/>
      </c>
      <c r="CK25" s="163">
        <f>IFERROR(IF(CH25-CJ25-CL25&lt;=0,0,CH25-CJ25-CL25),0)</f>
        <v/>
      </c>
      <c r="CL25" s="163">
        <f>CJ25</f>
        <v/>
      </c>
      <c r="CM25" s="163">
        <f>IFERROR(IF(CH25&lt;((1/2*CG25*CI25^2)*2),SQRT((CH25/2)*2/CG25),CI25),0)</f>
        <v/>
      </c>
      <c r="CN25" s="163">
        <f>IFERROR(CK25/CF25,0)</f>
        <v/>
      </c>
      <c r="CO25" s="163">
        <f>CM25</f>
        <v/>
      </c>
      <c r="CP25" s="163">
        <f>IF(CE25&gt;0,CE25,SUM(CM25:CO25))</f>
        <v/>
      </c>
      <c r="CQ25" s="163" t="n"/>
      <c r="CR25" s="163">
        <f>CP25*CQ25</f>
        <v/>
      </c>
      <c r="EE25" s="148" t="n">
        <v>0</v>
      </c>
    </row>
    <row r="26">
      <c r="A26" s="31" t="n"/>
      <c r="B26" s="31" t="n"/>
      <c r="H26" s="160">
        <f>H25+1</f>
        <v/>
      </c>
      <c r="I26" s="165" t="n"/>
      <c r="J26" s="162" t="n"/>
      <c r="K26" s="163">
        <f>IFERROR(VLOOKUP(I26,'Master List'!$A:$D,2,0),0)</f>
        <v/>
      </c>
      <c r="L26" s="163">
        <f>IFERROR(VLOOKUP(I26,'Master List'!$A:$D,3,0),0)</f>
        <v/>
      </c>
      <c r="M26" s="163">
        <f>IFERROR(VLOOKUP(I26,'Master List'!$A:$D,4,0),0)</f>
        <v/>
      </c>
      <c r="N26" s="163" t="n"/>
      <c r="O26" s="163">
        <f>IFERROR(L26/M26,0)</f>
        <v/>
      </c>
      <c r="P26" s="163">
        <f>IFERROR(IF(N26&lt;((1/2*M26*O26^2)*2),1/2*M26*SQRT((N26/2)*2/M26)^2,1/2*M26*O26^2),0)</f>
        <v/>
      </c>
      <c r="Q26" s="163">
        <f>IFERROR(IF(N26-P26-R26&lt;=0,0,N26-P26-R26),0)</f>
        <v/>
      </c>
      <c r="R26" s="163">
        <f>P26</f>
        <v/>
      </c>
      <c r="S26" s="163">
        <f>IFERROR(IF(N26&lt;((1/2*M26*O26^2)*2),SQRT((N26/2)*2/M26),O26),0)</f>
        <v/>
      </c>
      <c r="T26" s="163">
        <f>IFERROR(Q26/L26,0)</f>
        <v/>
      </c>
      <c r="U26" s="163">
        <f>S26</f>
        <v/>
      </c>
      <c r="V26" s="163">
        <f>IF(K26&gt;0,K26,SUM(S26:U26))</f>
        <v/>
      </c>
      <c r="W26" s="163" t="n"/>
      <c r="X26" s="163">
        <f>V26*W26</f>
        <v/>
      </c>
      <c r="Z26" s="160">
        <f>Z25+1</f>
        <v/>
      </c>
      <c r="AA26" s="165" t="n"/>
      <c r="AB26" s="162" t="n"/>
      <c r="AC26" s="163">
        <f>IFERROR(VLOOKUP(AA26,'Master List'!$A:$D,2,0),0)</f>
        <v/>
      </c>
      <c r="AD26" s="163">
        <f>IFERROR(VLOOKUP(AA26,'Master List'!$A:$D,3,0),0)</f>
        <v/>
      </c>
      <c r="AE26" s="163">
        <f>IFERROR(VLOOKUP(AA26,'Master List'!$A:$D,4,0),0)</f>
        <v/>
      </c>
      <c r="AF26" s="163" t="n"/>
      <c r="AG26" s="163">
        <f>IFERROR(AD26/AE26,0)</f>
        <v/>
      </c>
      <c r="AH26" s="163">
        <f>IFERROR(IF(AF26&lt;((1/2*AE26*AG26^2)*2),1/2*AE26*SQRT((AF26/2)*2/AE26)^2,1/2*AE26*AG26^2),0)</f>
        <v/>
      </c>
      <c r="AI26" s="163">
        <f>IFERROR(IF(AF26-AH26-AJ26&lt;=0,0,AF26-AH26-AJ26),0)</f>
        <v/>
      </c>
      <c r="AJ26" s="163">
        <f>AH26</f>
        <v/>
      </c>
      <c r="AK26" s="163">
        <f>IFERROR(IF(AF26&lt;((1/2*AE26*AG26^2)*2),SQRT((AF26/2)*2/AE26),AG26),0)</f>
        <v/>
      </c>
      <c r="AL26" s="163">
        <f>IFERROR(AI26/AD26,0)</f>
        <v/>
      </c>
      <c r="AM26" s="163">
        <f>AK26</f>
        <v/>
      </c>
      <c r="AN26" s="163">
        <f>IF(AC26&gt;0,AC26,SUM(AK26:AM26))</f>
        <v/>
      </c>
      <c r="AO26" s="163" t="n"/>
      <c r="AP26" s="163">
        <f>AN26*AO26</f>
        <v/>
      </c>
      <c r="AR26" s="160">
        <f>AR25+1</f>
        <v/>
      </c>
      <c r="AS26" s="165" t="n"/>
      <c r="AT26" s="162" t="n"/>
      <c r="AU26" s="163">
        <f>IFERROR(VLOOKUP(AS26,'Master List'!$A:$D,2,0),0)</f>
        <v/>
      </c>
      <c r="AV26" s="163">
        <f>IFERROR(VLOOKUP(AS26,'Master List'!$A:$D,3,0),0)</f>
        <v/>
      </c>
      <c r="AW26" s="163">
        <f>IFERROR(VLOOKUP(AS26,'Master List'!$A:$D,4,0),0)</f>
        <v/>
      </c>
      <c r="AX26" s="163" t="n"/>
      <c r="AY26" s="163">
        <f>IFERROR(AV26/AW26,0)</f>
        <v/>
      </c>
      <c r="AZ26" s="163">
        <f>IFERROR(IF(AX26&lt;((1/2*AW26*AY26^2)*2),1/2*AW26*SQRT((AX26/2)*2/AW26)^2,1/2*AW26*AY26^2),0)</f>
        <v/>
      </c>
      <c r="BA26" s="163">
        <f>IFERROR(IF(AX26-AZ26-BB26&lt;=0,0,AX26-AZ26-BB26),0)</f>
        <v/>
      </c>
      <c r="BB26" s="163">
        <f>AZ26</f>
        <v/>
      </c>
      <c r="BC26" s="163">
        <f>IFERROR(IF(AX26&lt;((1/2*AW26*AY26^2)*2),SQRT((AX26/2)*2/AW26),AY26),0)</f>
        <v/>
      </c>
      <c r="BD26" s="163">
        <f>IFERROR(BA26/AV26,0)</f>
        <v/>
      </c>
      <c r="BE26" s="163">
        <f>BC26</f>
        <v/>
      </c>
      <c r="BF26" s="163">
        <f>IF(AU26&gt;0,AU26,SUM(BC26:BE26))</f>
        <v/>
      </c>
      <c r="BG26" s="163" t="n"/>
      <c r="BH26" s="163">
        <f>BF26*BG26</f>
        <v/>
      </c>
      <c r="BJ26" s="160">
        <f>BJ25+1</f>
        <v/>
      </c>
      <c r="BK26" s="165" t="n"/>
      <c r="BL26" s="162" t="n"/>
      <c r="BM26" s="163">
        <f>IFERROR(VLOOKUP(BK26,'Master List'!$A:$D,2,0),0)</f>
        <v/>
      </c>
      <c r="BN26" s="163">
        <f>IFERROR(VLOOKUP(BK26,'Master List'!$A:$D,3,0),0)</f>
        <v/>
      </c>
      <c r="BO26" s="163">
        <f>IFERROR(VLOOKUP(BK26,'Master List'!$A:$D,4,0),0)</f>
        <v/>
      </c>
      <c r="BP26" s="163" t="n"/>
      <c r="BQ26" s="163">
        <f>IFERROR(BN26/BO26,0)</f>
        <v/>
      </c>
      <c r="BR26" s="163">
        <f>IFERROR(IF(BP26&lt;((1/2*BO26*BQ26^2)*2),1/2*BO26*SQRT((BP26/2)*2/BO26)^2,1/2*BO26*BQ26^2),0)</f>
        <v/>
      </c>
      <c r="BS26" s="163">
        <f>IFERROR(IF(BP26-BR26-BT26&lt;=0,0,BP26-BR26-BT26),0)</f>
        <v/>
      </c>
      <c r="BT26" s="163">
        <f>BR26</f>
        <v/>
      </c>
      <c r="BU26" s="163">
        <f>IFERROR(IF(BP26&lt;((1/2*BO26*BQ26^2)*2),SQRT((BP26/2)*2/BO26),BQ26),0)</f>
        <v/>
      </c>
      <c r="BV26" s="163">
        <f>IFERROR(BS26/BN26,0)</f>
        <v/>
      </c>
      <c r="BW26" s="163">
        <f>BU26</f>
        <v/>
      </c>
      <c r="BX26" s="163">
        <f>IF(BM26&gt;0,BM26,SUM(BU26:BW26))</f>
        <v/>
      </c>
      <c r="BY26" s="163" t="n">
        <v>1</v>
      </c>
      <c r="BZ26" s="163">
        <f>BX26*BY26</f>
        <v/>
      </c>
      <c r="CB26" s="160">
        <f>CB25+1</f>
        <v/>
      </c>
      <c r="CC26" s="165" t="n"/>
      <c r="CD26" s="162" t="n"/>
      <c r="CE26" s="163">
        <f>IFERROR(VLOOKUP(CC26,'Master List'!$A:$D,2,0),0)</f>
        <v/>
      </c>
      <c r="CF26" s="163">
        <f>IFERROR(VLOOKUP(CC26,'Master List'!$A:$D,3,0),0)</f>
        <v/>
      </c>
      <c r="CG26" s="163">
        <f>IFERROR(VLOOKUP(CC26,'Master List'!$A:$D,4,0),0)</f>
        <v/>
      </c>
      <c r="CH26" s="163" t="n"/>
      <c r="CI26" s="163">
        <f>IFERROR(CF26/CG26,0)</f>
        <v/>
      </c>
      <c r="CJ26" s="163">
        <f>IFERROR(IF(CH26&lt;((1/2*CG26*CI26^2)*2),1/2*CG26*SQRT((CH26/2)*2/CG26)^2,1/2*CG26*CI26^2),0)</f>
        <v/>
      </c>
      <c r="CK26" s="163">
        <f>IFERROR(IF(CH26-CJ26-CL26&lt;=0,0,CH26-CJ26-CL26),0)</f>
        <v/>
      </c>
      <c r="CL26" s="163">
        <f>CJ26</f>
        <v/>
      </c>
      <c r="CM26" s="163">
        <f>IFERROR(IF(CH26&lt;((1/2*CG26*CI26^2)*2),SQRT((CH26/2)*2/CG26),CI26),0)</f>
        <v/>
      </c>
      <c r="CN26" s="163">
        <f>IFERROR(CK26/CF26,0)</f>
        <v/>
      </c>
      <c r="CO26" s="163">
        <f>CM26</f>
        <v/>
      </c>
      <c r="CP26" s="163">
        <f>IF(CE26&gt;0,CE26,SUM(CM26:CO26))</f>
        <v/>
      </c>
      <c r="CQ26" s="163" t="n"/>
      <c r="CR26" s="163">
        <f>CP26*CQ26</f>
        <v/>
      </c>
      <c r="EE26" s="148" t="n">
        <v>8</v>
      </c>
    </row>
    <row r="27">
      <c r="A27" s="249" t="inlineStr">
        <is>
          <t>Hoist movement for level</t>
        </is>
      </c>
      <c r="B27" s="249" t="inlineStr">
        <is>
          <t>Weightage</t>
        </is>
      </c>
      <c r="C27" s="34" t="inlineStr">
        <is>
          <t>m travelled vertically</t>
        </is>
      </c>
      <c r="H27" s="160">
        <f>H26+1</f>
        <v/>
      </c>
      <c r="I27" s="165" t="n"/>
      <c r="J27" s="162" t="n"/>
      <c r="K27" s="163">
        <f>IFERROR(VLOOKUP(I27,'Master List'!$A:$D,2,0),0)</f>
        <v/>
      </c>
      <c r="L27" s="163">
        <f>IFERROR(VLOOKUP(I27,'Master List'!$A:$D,3,0),0)</f>
        <v/>
      </c>
      <c r="M27" s="163">
        <f>IFERROR(VLOOKUP(I27,'Master List'!$A:$D,4,0),0)</f>
        <v/>
      </c>
      <c r="N27" s="163" t="n"/>
      <c r="O27" s="163">
        <f>IFERROR(L27/M27,0)</f>
        <v/>
      </c>
      <c r="P27" s="163">
        <f>IFERROR(IF(N27&lt;((1/2*M27*O27^2)*2),1/2*M27*SQRT((N27/2)*2/M27)^2,1/2*M27*O27^2),0)</f>
        <v/>
      </c>
      <c r="Q27" s="163">
        <f>IFERROR(IF(N27-P27-R27&lt;=0,0,N27-P27-R27),0)</f>
        <v/>
      </c>
      <c r="R27" s="163">
        <f>P27</f>
        <v/>
      </c>
      <c r="S27" s="163">
        <f>IFERROR(IF(N27&lt;((1/2*M27*O27^2)*2),SQRT((N27/2)*2/M27),O27),0)</f>
        <v/>
      </c>
      <c r="T27" s="163">
        <f>IFERROR(Q27/L27,0)</f>
        <v/>
      </c>
      <c r="U27" s="163">
        <f>S27</f>
        <v/>
      </c>
      <c r="V27" s="163">
        <f>IF(K27&gt;0,K27,SUM(S27:U27))</f>
        <v/>
      </c>
      <c r="W27" s="163" t="n"/>
      <c r="X27" s="163">
        <f>V27*W27</f>
        <v/>
      </c>
      <c r="Z27" s="160">
        <f>Z26+1</f>
        <v/>
      </c>
      <c r="AA27" s="165" t="n"/>
      <c r="AB27" s="162" t="n"/>
      <c r="AC27" s="163">
        <f>IFERROR(VLOOKUP(AA27,'Master List'!$A:$D,2,0),0)</f>
        <v/>
      </c>
      <c r="AD27" s="163">
        <f>IFERROR(VLOOKUP(AA27,'Master List'!$A:$D,3,0),0)</f>
        <v/>
      </c>
      <c r="AE27" s="163">
        <f>IFERROR(VLOOKUP(AA27,'Master List'!$A:$D,4,0),0)</f>
        <v/>
      </c>
      <c r="AF27" s="163" t="n"/>
      <c r="AG27" s="163">
        <f>IFERROR(AD27/AE27,0)</f>
        <v/>
      </c>
      <c r="AH27" s="163">
        <f>IFERROR(IF(AF27&lt;((1/2*AE27*AG27^2)*2),1/2*AE27*SQRT((AF27/2)*2/AE27)^2,1/2*AE27*AG27^2),0)</f>
        <v/>
      </c>
      <c r="AI27" s="163">
        <f>IFERROR(IF(AF27-AH27-AJ27&lt;=0,0,AF27-AH27-AJ27),0)</f>
        <v/>
      </c>
      <c r="AJ27" s="163">
        <f>AH27</f>
        <v/>
      </c>
      <c r="AK27" s="163">
        <f>IFERROR(IF(AF27&lt;((1/2*AE27*AG27^2)*2),SQRT((AF27/2)*2/AE27),AG27),0)</f>
        <v/>
      </c>
      <c r="AL27" s="163">
        <f>IFERROR(AI27/AD27,0)</f>
        <v/>
      </c>
      <c r="AM27" s="163">
        <f>AK27</f>
        <v/>
      </c>
      <c r="AN27" s="163">
        <f>IF(AC27&gt;0,AC27,SUM(AK27:AM27))</f>
        <v/>
      </c>
      <c r="AO27" s="163" t="n"/>
      <c r="AP27" s="163">
        <f>AN27*AO27</f>
        <v/>
      </c>
      <c r="AR27" s="160">
        <f>AR26+1</f>
        <v/>
      </c>
      <c r="AS27" s="165" t="n"/>
      <c r="AT27" s="162" t="n"/>
      <c r="AU27" s="163">
        <f>IFERROR(VLOOKUP(AS27,'Master List'!$A:$D,2,0),0)</f>
        <v/>
      </c>
      <c r="AV27" s="163">
        <f>IFERROR(VLOOKUP(AS27,'Master List'!$A:$D,3,0),0)</f>
        <v/>
      </c>
      <c r="AW27" s="163">
        <f>IFERROR(VLOOKUP(AS27,'Master List'!$A:$D,4,0),0)</f>
        <v/>
      </c>
      <c r="AX27" s="163" t="n"/>
      <c r="AY27" s="163">
        <f>IFERROR(AV27/AW27,0)</f>
        <v/>
      </c>
      <c r="AZ27" s="163">
        <f>IFERROR(IF(AX27&lt;((1/2*AW27*AY27^2)*2),1/2*AW27*SQRT((AX27/2)*2/AW27)^2,1/2*AW27*AY27^2),0)</f>
        <v/>
      </c>
      <c r="BA27" s="163">
        <f>IFERROR(IF(AX27-AZ27-BB27&lt;=0,0,AX27-AZ27-BB27),0)</f>
        <v/>
      </c>
      <c r="BB27" s="163">
        <f>AZ27</f>
        <v/>
      </c>
      <c r="BC27" s="163">
        <f>IFERROR(IF(AX27&lt;((1/2*AW27*AY27^2)*2),SQRT((AX27/2)*2/AW27),AY27),0)</f>
        <v/>
      </c>
      <c r="BD27" s="163">
        <f>IFERROR(BA27/AV27,0)</f>
        <v/>
      </c>
      <c r="BE27" s="163">
        <f>BC27</f>
        <v/>
      </c>
      <c r="BF27" s="163">
        <f>IF(AU27&gt;0,AU27,SUM(BC27:BE27))</f>
        <v/>
      </c>
      <c r="BG27" s="163" t="n"/>
      <c r="BH27" s="163">
        <f>BF27*BG27</f>
        <v/>
      </c>
      <c r="BJ27" s="160">
        <f>BJ26+1</f>
        <v/>
      </c>
      <c r="BK27" s="165" t="n"/>
      <c r="BL27" s="162" t="n"/>
      <c r="BM27" s="163">
        <f>IFERROR(VLOOKUP(BK27,'Master List'!$A:$D,2,0),0)</f>
        <v/>
      </c>
      <c r="BN27" s="163">
        <f>IFERROR(VLOOKUP(BK27,'Master List'!$A:$D,3,0),0)</f>
        <v/>
      </c>
      <c r="BO27" s="163">
        <f>IFERROR(VLOOKUP(BK27,'Master List'!$A:$D,4,0),0)</f>
        <v/>
      </c>
      <c r="BP27" s="163" t="n"/>
      <c r="BQ27" s="163">
        <f>IFERROR(BN27/BO27,0)</f>
        <v/>
      </c>
      <c r="BR27" s="163">
        <f>IFERROR(IF(BP27&lt;((1/2*BO27*BQ27^2)*2),1/2*BO27*SQRT((BP27/2)*2/BO27)^2,1/2*BO27*BQ27^2),0)</f>
        <v/>
      </c>
      <c r="BS27" s="163">
        <f>IFERROR(IF(BP27-BR27-BT27&lt;=0,0,BP27-BR27-BT27),0)</f>
        <v/>
      </c>
      <c r="BT27" s="163">
        <f>BR27</f>
        <v/>
      </c>
      <c r="BU27" s="163">
        <f>IFERROR(IF(BP27&lt;((1/2*BO27*BQ27^2)*2),SQRT((BP27/2)*2/BO27),BQ27),0)</f>
        <v/>
      </c>
      <c r="BV27" s="163">
        <f>IFERROR(BS27/BN27,0)</f>
        <v/>
      </c>
      <c r="BW27" s="163">
        <f>BU27</f>
        <v/>
      </c>
      <c r="BX27" s="163">
        <f>IF(BM27&gt;0,BM27,SUM(BU27:BW27))</f>
        <v/>
      </c>
      <c r="BY27" s="163" t="n">
        <v>1</v>
      </c>
      <c r="BZ27" s="163">
        <f>BX27*BY27</f>
        <v/>
      </c>
      <c r="CB27" s="160">
        <f>CB26+1</f>
        <v/>
      </c>
      <c r="CC27" s="165" t="n"/>
      <c r="CD27" s="162" t="n"/>
      <c r="CE27" s="163">
        <f>IFERROR(VLOOKUP(CC27,'Master List'!$A:$D,2,0),0)</f>
        <v/>
      </c>
      <c r="CF27" s="163">
        <f>IFERROR(VLOOKUP(CC27,'Master List'!$A:$D,3,0),0)</f>
        <v/>
      </c>
      <c r="CG27" s="163">
        <f>IFERROR(VLOOKUP(CC27,'Master List'!$A:$D,4,0),0)</f>
        <v/>
      </c>
      <c r="CH27" s="163" t="n"/>
      <c r="CI27" s="163">
        <f>IFERROR(CF27/CG27,0)</f>
        <v/>
      </c>
      <c r="CJ27" s="163">
        <f>IFERROR(IF(CH27&lt;((1/2*CG27*CI27^2)*2),1/2*CG27*SQRT((CH27/2)*2/CG27)^2,1/2*CG27*CI27^2),0)</f>
        <v/>
      </c>
      <c r="CK27" s="163">
        <f>IFERROR(IF(CH27-CJ27-CL27&lt;=0,0,CH27-CJ27-CL27),0)</f>
        <v/>
      </c>
      <c r="CL27" s="163">
        <f>CJ27</f>
        <v/>
      </c>
      <c r="CM27" s="163">
        <f>IFERROR(IF(CH27&lt;((1/2*CG27*CI27^2)*2),SQRT((CH27/2)*2/CG27),CI27),0)</f>
        <v/>
      </c>
      <c r="CN27" s="163">
        <f>IFERROR(CK27/CF27,0)</f>
        <v/>
      </c>
      <c r="CO27" s="163">
        <f>CM27</f>
        <v/>
      </c>
      <c r="CP27" s="163">
        <f>IF(CE27&gt;0,CE27,SUM(CM27:CO27))</f>
        <v/>
      </c>
      <c r="CQ27" s="163" t="n"/>
      <c r="CR27" s="163">
        <f>CP27*CQ27</f>
        <v/>
      </c>
      <c r="EE27" s="148" t="n">
        <v>0</v>
      </c>
    </row>
    <row r="28" ht="14.5" customHeight="1" s="516">
      <c r="A28" s="577">
        <f>'Medius Input Output'!A14</f>
        <v/>
      </c>
      <c r="B28" s="561">
        <f>IF(A28=0,0,(100%/MAX($A$28:$A$39)))</f>
        <v/>
      </c>
      <c r="C28" s="33" t="n">
        <v>0</v>
      </c>
      <c r="H28" s="160">
        <f>H27+1</f>
        <v/>
      </c>
      <c r="I28" s="165" t="n"/>
      <c r="J28" s="162" t="n"/>
      <c r="K28" s="163">
        <f>IFERROR(VLOOKUP(I28,'Master List'!$A:$D,2,0),0)</f>
        <v/>
      </c>
      <c r="L28" s="163">
        <f>IFERROR(VLOOKUP(I28,'Master List'!$A:$D,3,0),0)</f>
        <v/>
      </c>
      <c r="M28" s="163">
        <f>IFERROR(VLOOKUP(I28,'Master List'!$A:$D,4,0),0)</f>
        <v/>
      </c>
      <c r="N28" s="163" t="n"/>
      <c r="O28" s="163">
        <f>IFERROR(L28/M28,0)</f>
        <v/>
      </c>
      <c r="P28" s="163">
        <f>IFERROR(IF(N28&lt;((1/2*M28*O28^2)*2),1/2*M28*SQRT((N28/2)*2/M28)^2,1/2*M28*O28^2),0)</f>
        <v/>
      </c>
      <c r="Q28" s="163">
        <f>IFERROR(IF(N28-P28-R28&lt;=0,0,N28-P28-R28),0)</f>
        <v/>
      </c>
      <c r="R28" s="163">
        <f>P28</f>
        <v/>
      </c>
      <c r="S28" s="163">
        <f>IFERROR(IF(N28&lt;((1/2*M28*O28^2)*2),SQRT((N28/2)*2/M28),O28),0)</f>
        <v/>
      </c>
      <c r="T28" s="163">
        <f>IFERROR(Q28/L28,0)</f>
        <v/>
      </c>
      <c r="U28" s="163">
        <f>S28</f>
        <v/>
      </c>
      <c r="V28" s="163">
        <f>IF(K28&gt;0,K28,SUM(S28:U28))</f>
        <v/>
      </c>
      <c r="W28" s="163" t="n"/>
      <c r="X28" s="163">
        <f>V28*W28</f>
        <v/>
      </c>
      <c r="Z28" s="160">
        <f>Z27+1</f>
        <v/>
      </c>
      <c r="AA28" s="165" t="n"/>
      <c r="AB28" s="162" t="n"/>
      <c r="AC28" s="163">
        <f>IFERROR(VLOOKUP(AA28,'Master List'!$A:$D,2,0),0)</f>
        <v/>
      </c>
      <c r="AD28" s="163">
        <f>IFERROR(VLOOKUP(AA28,'Master List'!$A:$D,3,0),0)</f>
        <v/>
      </c>
      <c r="AE28" s="163">
        <f>IFERROR(VLOOKUP(AA28,'Master List'!$A:$D,4,0),0)</f>
        <v/>
      </c>
      <c r="AF28" s="163" t="n"/>
      <c r="AG28" s="163">
        <f>IFERROR(AD28/AE28,0)</f>
        <v/>
      </c>
      <c r="AH28" s="163">
        <f>IFERROR(IF(AF28&lt;((1/2*AE28*AG28^2)*2),1/2*AE28*SQRT((AF28/2)*2/AE28)^2,1/2*AE28*AG28^2),0)</f>
        <v/>
      </c>
      <c r="AI28" s="163">
        <f>IFERROR(IF(AF28-AH28-AJ28&lt;=0,0,AF28-AH28-AJ28),0)</f>
        <v/>
      </c>
      <c r="AJ28" s="163">
        <f>AH28</f>
        <v/>
      </c>
      <c r="AK28" s="163">
        <f>IFERROR(IF(AF28&lt;((1/2*AE28*AG28^2)*2),SQRT((AF28/2)*2/AE28),AG28),0)</f>
        <v/>
      </c>
      <c r="AL28" s="163">
        <f>IFERROR(AI28/AD28,0)</f>
        <v/>
      </c>
      <c r="AM28" s="163">
        <f>AK28</f>
        <v/>
      </c>
      <c r="AN28" s="163">
        <f>IF(AC28&gt;0,AC28,SUM(AK28:AM28))</f>
        <v/>
      </c>
      <c r="AO28" s="163" t="n"/>
      <c r="AP28" s="163">
        <f>AN28*AO28</f>
        <v/>
      </c>
      <c r="AR28" s="160">
        <f>AR27+1</f>
        <v/>
      </c>
      <c r="AS28" s="165" t="n"/>
      <c r="AT28" s="162" t="n"/>
      <c r="AU28" s="163">
        <f>IFERROR(VLOOKUP(AS28,'Master List'!$A:$D,2,0),0)</f>
        <v/>
      </c>
      <c r="AV28" s="163">
        <f>IFERROR(VLOOKUP(AS28,'Master List'!$A:$D,3,0),0)</f>
        <v/>
      </c>
      <c r="AW28" s="163">
        <f>IFERROR(VLOOKUP(AS28,'Master List'!$A:$D,4,0),0)</f>
        <v/>
      </c>
      <c r="AX28" s="163" t="n"/>
      <c r="AY28" s="163">
        <f>IFERROR(AV28/AW28,0)</f>
        <v/>
      </c>
      <c r="AZ28" s="163">
        <f>IFERROR(IF(AX28&lt;((1/2*AW28*AY28^2)*2),1/2*AW28*SQRT((AX28/2)*2/AW28)^2,1/2*AW28*AY28^2),0)</f>
        <v/>
      </c>
      <c r="BA28" s="163">
        <f>IFERROR(IF(AX28-AZ28-BB28&lt;=0,0,AX28-AZ28-BB28),0)</f>
        <v/>
      </c>
      <c r="BB28" s="163">
        <f>AZ28</f>
        <v/>
      </c>
      <c r="BC28" s="163">
        <f>IFERROR(IF(AX28&lt;((1/2*AW28*AY28^2)*2),SQRT((AX28/2)*2/AW28),AY28),0)</f>
        <v/>
      </c>
      <c r="BD28" s="163">
        <f>IFERROR(BA28/AV28,0)</f>
        <v/>
      </c>
      <c r="BE28" s="163">
        <f>BC28</f>
        <v/>
      </c>
      <c r="BF28" s="163">
        <f>IF(AU28&gt;0,AU28,SUM(BC28:BE28))</f>
        <v/>
      </c>
      <c r="BG28" s="163" t="n"/>
      <c r="BH28" s="163">
        <f>BF28*BG28</f>
        <v/>
      </c>
      <c r="BJ28" s="160">
        <f>BJ27+1</f>
        <v/>
      </c>
      <c r="BK28" s="165" t="n"/>
      <c r="BL28" s="162" t="n"/>
      <c r="BM28" s="163">
        <f>IFERROR(VLOOKUP(BK28,'Master List'!$A:$D,2,0),0)</f>
        <v/>
      </c>
      <c r="BN28" s="163">
        <f>IFERROR(VLOOKUP(BK28,'Master List'!$A:$D,3,0),0)</f>
        <v/>
      </c>
      <c r="BO28" s="163">
        <f>IFERROR(VLOOKUP(BK28,'Master List'!$A:$D,4,0),0)</f>
        <v/>
      </c>
      <c r="BP28" s="163" t="n"/>
      <c r="BQ28" s="163">
        <f>IFERROR(BN28/BO28,0)</f>
        <v/>
      </c>
      <c r="BR28" s="163">
        <f>IFERROR(IF(BP28&lt;((1/2*BO28*BQ28^2)*2),1/2*BO28*SQRT((BP28/2)*2/BO28)^2,1/2*BO28*BQ28^2),0)</f>
        <v/>
      </c>
      <c r="BS28" s="163">
        <f>IFERROR(IF(BP28-BR28-BT28&lt;=0,0,BP28-BR28-BT28),0)</f>
        <v/>
      </c>
      <c r="BT28" s="163">
        <f>BR28</f>
        <v/>
      </c>
      <c r="BU28" s="163">
        <f>IFERROR(IF(BP28&lt;((1/2*BO28*BQ28^2)*2),SQRT((BP28/2)*2/BO28),BQ28),0)</f>
        <v/>
      </c>
      <c r="BV28" s="163">
        <f>IFERROR(BS28/BN28,0)</f>
        <v/>
      </c>
      <c r="BW28" s="163">
        <f>BU28</f>
        <v/>
      </c>
      <c r="BX28" s="163">
        <f>IF(BM28&gt;0,BM28,SUM(BU28:BW28))</f>
        <v/>
      </c>
      <c r="BY28" s="163" t="n">
        <v>1</v>
      </c>
      <c r="BZ28" s="163">
        <f>BX28*BY28</f>
        <v/>
      </c>
      <c r="CB28" s="160">
        <f>CB27+1</f>
        <v/>
      </c>
      <c r="CC28" s="165" t="n"/>
      <c r="CD28" s="162" t="n"/>
      <c r="CE28" s="163">
        <f>IFERROR(VLOOKUP(CC28,'Master List'!$A:$D,2,0),0)</f>
        <v/>
      </c>
      <c r="CF28" s="163">
        <f>IFERROR(VLOOKUP(CC28,'Master List'!$A:$D,3,0),0)</f>
        <v/>
      </c>
      <c r="CG28" s="163">
        <f>IFERROR(VLOOKUP(CC28,'Master List'!$A:$D,4,0),0)</f>
        <v/>
      </c>
      <c r="CH28" s="163" t="n"/>
      <c r="CI28" s="163">
        <f>IFERROR(CF28/CG28,0)</f>
        <v/>
      </c>
      <c r="CJ28" s="163">
        <f>IFERROR(IF(CH28&lt;((1/2*CG28*CI28^2)*2),1/2*CG28*SQRT((CH28/2)*2/CG28)^2,1/2*CG28*CI28^2),0)</f>
        <v/>
      </c>
      <c r="CK28" s="163">
        <f>IFERROR(IF(CH28-CJ28-CL28&lt;=0,0,CH28-CJ28-CL28),0)</f>
        <v/>
      </c>
      <c r="CL28" s="163">
        <f>CJ28</f>
        <v/>
      </c>
      <c r="CM28" s="163">
        <f>IFERROR(IF(CH28&lt;((1/2*CG28*CI28^2)*2),SQRT((CH28/2)*2/CG28),CI28),0)</f>
        <v/>
      </c>
      <c r="CN28" s="163">
        <f>IFERROR(CK28/CF28,0)</f>
        <v/>
      </c>
      <c r="CO28" s="163">
        <f>CM28</f>
        <v/>
      </c>
      <c r="CP28" s="163">
        <f>IF(CE28&gt;0,CE28,SUM(CM28:CO28))</f>
        <v/>
      </c>
      <c r="CQ28" s="163" t="n"/>
      <c r="CR28" s="163">
        <f>CP28*CQ28</f>
        <v/>
      </c>
      <c r="EE28" s="148" t="n">
        <v>9</v>
      </c>
    </row>
    <row r="29">
      <c r="A29" s="577">
        <f>'Medius Input Output'!A15</f>
        <v/>
      </c>
      <c r="B29" s="561">
        <f>IF(A29=0,0,(100%/MAX($A$28:$A$39)))</f>
        <v/>
      </c>
      <c r="C29" s="33">
        <f>C28+$B$24</f>
        <v/>
      </c>
      <c r="H29" s="160">
        <f>H28+1</f>
        <v/>
      </c>
      <c r="I29" s="165" t="n"/>
      <c r="J29" s="162" t="n"/>
      <c r="K29" s="163">
        <f>IFERROR(VLOOKUP(I29,'Master List'!$A:$D,2,0),0)</f>
        <v/>
      </c>
      <c r="L29" s="163">
        <f>IFERROR(VLOOKUP(I29,'Master List'!$A:$D,3,0),0)</f>
        <v/>
      </c>
      <c r="M29" s="163">
        <f>IFERROR(VLOOKUP(I29,'Master List'!$A:$D,4,0),0)</f>
        <v/>
      </c>
      <c r="N29" s="163" t="n"/>
      <c r="O29" s="163">
        <f>IFERROR(L29/M29,0)</f>
        <v/>
      </c>
      <c r="P29" s="163">
        <f>IFERROR(IF(N29&lt;((1/2*M29*O29^2)*2),1/2*M29*SQRT((N29/2)*2/M29)^2,1/2*M29*O29^2),0)</f>
        <v/>
      </c>
      <c r="Q29" s="163">
        <f>IFERROR(IF(N29-P29-R29&lt;=0,0,N29-P29-R29),0)</f>
        <v/>
      </c>
      <c r="R29" s="163">
        <f>P29</f>
        <v/>
      </c>
      <c r="S29" s="163">
        <f>IFERROR(IF(N29&lt;((1/2*M29*O29^2)*2),SQRT((N29/2)*2/M29),O29),0)</f>
        <v/>
      </c>
      <c r="T29" s="163">
        <f>IFERROR(Q29/L29,0)</f>
        <v/>
      </c>
      <c r="U29" s="163">
        <f>S29</f>
        <v/>
      </c>
      <c r="V29" s="163">
        <f>IF(K29&gt;0,K29,SUM(S29:U29))</f>
        <v/>
      </c>
      <c r="W29" s="163" t="n"/>
      <c r="X29" s="163">
        <f>V29*W29</f>
        <v/>
      </c>
      <c r="Z29" s="160">
        <f>Z28+1</f>
        <v/>
      </c>
      <c r="AA29" s="165" t="n"/>
      <c r="AB29" s="162" t="n"/>
      <c r="AC29" s="163">
        <f>IFERROR(VLOOKUP(AA29,'Master List'!$A:$D,2,0),0)</f>
        <v/>
      </c>
      <c r="AD29" s="163">
        <f>IFERROR(VLOOKUP(AA29,'Master List'!$A:$D,3,0),0)</f>
        <v/>
      </c>
      <c r="AE29" s="163">
        <f>IFERROR(VLOOKUP(AA29,'Master List'!$A:$D,4,0),0)</f>
        <v/>
      </c>
      <c r="AF29" s="163" t="n"/>
      <c r="AG29" s="163">
        <f>IFERROR(AD29/AE29,0)</f>
        <v/>
      </c>
      <c r="AH29" s="163">
        <f>IFERROR(IF(AF29&lt;((1/2*AE29*AG29^2)*2),1/2*AE29*SQRT((AF29/2)*2/AE29)^2,1/2*AE29*AG29^2),0)</f>
        <v/>
      </c>
      <c r="AI29" s="163">
        <f>IFERROR(IF(AF29-AH29-AJ29&lt;=0,0,AF29-AH29-AJ29),0)</f>
        <v/>
      </c>
      <c r="AJ29" s="163">
        <f>AH29</f>
        <v/>
      </c>
      <c r="AK29" s="163">
        <f>IFERROR(IF(AF29&lt;((1/2*AE29*AG29^2)*2),SQRT((AF29/2)*2/AE29),AG29),0)</f>
        <v/>
      </c>
      <c r="AL29" s="163">
        <f>IFERROR(AI29/AD29,0)</f>
        <v/>
      </c>
      <c r="AM29" s="163">
        <f>AK29</f>
        <v/>
      </c>
      <c r="AN29" s="163">
        <f>IF(AC29&gt;0,AC29,SUM(AK29:AM29))</f>
        <v/>
      </c>
      <c r="AO29" s="163" t="n"/>
      <c r="AP29" s="163">
        <f>AN29*AO29</f>
        <v/>
      </c>
      <c r="AR29" s="160">
        <f>AR28+1</f>
        <v/>
      </c>
      <c r="AS29" s="165" t="n"/>
      <c r="AT29" s="162" t="n"/>
      <c r="AU29" s="163">
        <f>IFERROR(VLOOKUP(AS29,'Master List'!$A:$D,2,0),0)</f>
        <v/>
      </c>
      <c r="AV29" s="163">
        <f>IFERROR(VLOOKUP(AS29,'Master List'!$A:$D,3,0),0)</f>
        <v/>
      </c>
      <c r="AW29" s="163">
        <f>IFERROR(VLOOKUP(AS29,'Master List'!$A:$D,4,0),0)</f>
        <v/>
      </c>
      <c r="AX29" s="163" t="n"/>
      <c r="AY29" s="163">
        <f>IFERROR(AV29/AW29,0)</f>
        <v/>
      </c>
      <c r="AZ29" s="163">
        <f>IFERROR(IF(AX29&lt;((1/2*AW29*AY29^2)*2),1/2*AW29*SQRT((AX29/2)*2/AW29)^2,1/2*AW29*AY29^2),0)</f>
        <v/>
      </c>
      <c r="BA29" s="163">
        <f>IFERROR(IF(AX29-AZ29-BB29&lt;=0,0,AX29-AZ29-BB29),0)</f>
        <v/>
      </c>
      <c r="BB29" s="163">
        <f>AZ29</f>
        <v/>
      </c>
      <c r="BC29" s="163">
        <f>IFERROR(IF(AX29&lt;((1/2*AW29*AY29^2)*2),SQRT((AX29/2)*2/AW29),AY29),0)</f>
        <v/>
      </c>
      <c r="BD29" s="163">
        <f>IFERROR(BA29/AV29,0)</f>
        <v/>
      </c>
      <c r="BE29" s="163">
        <f>BC29</f>
        <v/>
      </c>
      <c r="BF29" s="163">
        <f>IF(AU29&gt;0,AU29,SUM(BC29:BE29))</f>
        <v/>
      </c>
      <c r="BG29" s="163" t="n"/>
      <c r="BH29" s="163">
        <f>BF29*BG29</f>
        <v/>
      </c>
      <c r="BJ29" s="160">
        <f>BJ28+1</f>
        <v/>
      </c>
      <c r="BK29" s="165" t="n"/>
      <c r="BL29" s="162" t="n"/>
      <c r="BM29" s="163">
        <f>IFERROR(VLOOKUP(BK29,'Master List'!$A:$D,2,0),0)</f>
        <v/>
      </c>
      <c r="BN29" s="163">
        <f>IFERROR(VLOOKUP(BK29,'Master List'!$A:$D,3,0),0)</f>
        <v/>
      </c>
      <c r="BO29" s="163">
        <f>IFERROR(VLOOKUP(BK29,'Master List'!$A:$D,4,0),0)</f>
        <v/>
      </c>
      <c r="BP29" s="163" t="n"/>
      <c r="BQ29" s="163">
        <f>IFERROR(BN29/BO29,0)</f>
        <v/>
      </c>
      <c r="BR29" s="163">
        <f>IFERROR(IF(BP29&lt;((1/2*BO29*BQ29^2)*2),1/2*BO29*SQRT((BP29/2)*2/BO29)^2,1/2*BO29*BQ29^2),0)</f>
        <v/>
      </c>
      <c r="BS29" s="163">
        <f>IFERROR(IF(BP29-BR29-BT29&lt;=0,0,BP29-BR29-BT29),0)</f>
        <v/>
      </c>
      <c r="BT29" s="163">
        <f>BR29</f>
        <v/>
      </c>
      <c r="BU29" s="163">
        <f>IFERROR(IF(BP29&lt;((1/2*BO29*BQ29^2)*2),SQRT((BP29/2)*2/BO29),BQ29),0)</f>
        <v/>
      </c>
      <c r="BV29" s="163">
        <f>IFERROR(BS29/BN29,0)</f>
        <v/>
      </c>
      <c r="BW29" s="163">
        <f>BU29</f>
        <v/>
      </c>
      <c r="BX29" s="163">
        <f>IF(BM29&gt;0,BM29,SUM(BU29:BW29))</f>
        <v/>
      </c>
      <c r="BY29" s="163" t="n">
        <v>1</v>
      </c>
      <c r="BZ29" s="163">
        <f>BX29*BY29</f>
        <v/>
      </c>
      <c r="CB29" s="160">
        <f>CB28+1</f>
        <v/>
      </c>
      <c r="CC29" s="165" t="n"/>
      <c r="CD29" s="162" t="n"/>
      <c r="CE29" s="163">
        <f>IFERROR(VLOOKUP(CC29,'Master List'!$A:$D,2,0),0)</f>
        <v/>
      </c>
      <c r="CF29" s="163">
        <f>IFERROR(VLOOKUP(CC29,'Master List'!$A:$D,3,0),0)</f>
        <v/>
      </c>
      <c r="CG29" s="163">
        <f>IFERROR(VLOOKUP(CC29,'Master List'!$A:$D,4,0),0)</f>
        <v/>
      </c>
      <c r="CH29" s="163" t="n"/>
      <c r="CI29" s="163">
        <f>IFERROR(CF29/CG29,0)</f>
        <v/>
      </c>
      <c r="CJ29" s="163">
        <f>IFERROR(IF(CH29&lt;((1/2*CG29*CI29^2)*2),1/2*CG29*SQRT((CH29/2)*2/CG29)^2,1/2*CG29*CI29^2),0)</f>
        <v/>
      </c>
      <c r="CK29" s="163">
        <f>IFERROR(IF(CH29-CJ29-CL29&lt;=0,0,CH29-CJ29-CL29),0)</f>
        <v/>
      </c>
      <c r="CL29" s="163">
        <f>CJ29</f>
        <v/>
      </c>
      <c r="CM29" s="163">
        <f>IFERROR(IF(CH29&lt;((1/2*CG29*CI29^2)*2),SQRT((CH29/2)*2/CG29),CI29),0)</f>
        <v/>
      </c>
      <c r="CN29" s="163">
        <f>IFERROR(CK29/CF29,0)</f>
        <v/>
      </c>
      <c r="CO29" s="163">
        <f>CM29</f>
        <v/>
      </c>
      <c r="CP29" s="163">
        <f>IF(CE29&gt;0,CE29,SUM(CM29:CO29))</f>
        <v/>
      </c>
      <c r="CQ29" s="163" t="n"/>
      <c r="CR29" s="163">
        <f>CP29*CQ29</f>
        <v/>
      </c>
      <c r="EE29" s="148" t="n">
        <v>0</v>
      </c>
    </row>
    <row r="30">
      <c r="A30" s="577">
        <f>'Medius Input Output'!A16</f>
        <v/>
      </c>
      <c r="B30" s="561">
        <f>IF(A30=0,0,(100%/MAX($A$28:$A$39)))</f>
        <v/>
      </c>
      <c r="C30" s="33">
        <f>C29+$B$24</f>
        <v/>
      </c>
      <c r="H30" s="160">
        <f>H29+1</f>
        <v/>
      </c>
      <c r="I30" s="165" t="n"/>
      <c r="J30" s="162" t="n"/>
      <c r="K30" s="163">
        <f>IFERROR(VLOOKUP(I30,'Master List'!$A:$D,2,0),0)</f>
        <v/>
      </c>
      <c r="L30" s="163">
        <f>IFERROR(VLOOKUP(I30,'Master List'!$A:$D,3,0),0)</f>
        <v/>
      </c>
      <c r="M30" s="163">
        <f>IFERROR(VLOOKUP(I30,'Master List'!$A:$D,4,0),0)</f>
        <v/>
      </c>
      <c r="N30" s="163" t="n"/>
      <c r="O30" s="163">
        <f>IFERROR(L30/M30,0)</f>
        <v/>
      </c>
      <c r="P30" s="163">
        <f>IFERROR(IF(N30&lt;((1/2*M30*O30^2)*2),1/2*M30*SQRT((N30/2)*2/M30)^2,1/2*M30*O30^2),0)</f>
        <v/>
      </c>
      <c r="Q30" s="163">
        <f>IFERROR(IF(N30-P30-R30&lt;=0,0,N30-P30-R30),0)</f>
        <v/>
      </c>
      <c r="R30" s="163">
        <f>P30</f>
        <v/>
      </c>
      <c r="S30" s="163">
        <f>IFERROR(IF(N30&lt;((1/2*M30*O30^2)*2),SQRT((N30/2)*2/M30),O30),0)</f>
        <v/>
      </c>
      <c r="T30" s="163">
        <f>IFERROR(Q30/L30,0)</f>
        <v/>
      </c>
      <c r="U30" s="163">
        <f>S30</f>
        <v/>
      </c>
      <c r="V30" s="163">
        <f>IF(K30&gt;0,K30,SUM(S30:U30))</f>
        <v/>
      </c>
      <c r="W30" s="163" t="n"/>
      <c r="X30" s="163">
        <f>V30*W30</f>
        <v/>
      </c>
      <c r="Z30" s="160">
        <f>Z29+1</f>
        <v/>
      </c>
      <c r="AA30" s="165" t="n"/>
      <c r="AB30" s="162" t="n"/>
      <c r="AC30" s="163">
        <f>IFERROR(VLOOKUP(AA30,'Master List'!$A:$D,2,0),0)</f>
        <v/>
      </c>
      <c r="AD30" s="163">
        <f>IFERROR(VLOOKUP(AA30,'Master List'!$A:$D,3,0),0)</f>
        <v/>
      </c>
      <c r="AE30" s="163">
        <f>IFERROR(VLOOKUP(AA30,'Master List'!$A:$D,4,0),0)</f>
        <v/>
      </c>
      <c r="AF30" s="163" t="n"/>
      <c r="AG30" s="163">
        <f>IFERROR(AD30/AE30,0)</f>
        <v/>
      </c>
      <c r="AH30" s="163">
        <f>IFERROR(IF(AF30&lt;((1/2*AE30*AG30^2)*2),1/2*AE30*SQRT((AF30/2)*2/AE30)^2,1/2*AE30*AG30^2),0)</f>
        <v/>
      </c>
      <c r="AI30" s="163">
        <f>IFERROR(IF(AF30-AH30-AJ30&lt;=0,0,AF30-AH30-AJ30),0)</f>
        <v/>
      </c>
      <c r="AJ30" s="163">
        <f>AH30</f>
        <v/>
      </c>
      <c r="AK30" s="163">
        <f>IFERROR(IF(AF30&lt;((1/2*AE30*AG30^2)*2),SQRT((AF30/2)*2/AE30),AG30),0)</f>
        <v/>
      </c>
      <c r="AL30" s="163">
        <f>IFERROR(AI30/AD30,0)</f>
        <v/>
      </c>
      <c r="AM30" s="163">
        <f>AK30</f>
        <v/>
      </c>
      <c r="AN30" s="163">
        <f>IF(AC30&gt;0,AC30,SUM(AK30:AM30))</f>
        <v/>
      </c>
      <c r="AO30" s="163" t="n"/>
      <c r="AP30" s="163">
        <f>AN30*AO30</f>
        <v/>
      </c>
      <c r="AR30" s="160">
        <f>AR29+1</f>
        <v/>
      </c>
      <c r="AS30" s="165" t="n"/>
      <c r="AT30" s="162" t="n"/>
      <c r="AU30" s="163">
        <f>IFERROR(VLOOKUP(AS30,'Master List'!$A:$D,2,0),0)</f>
        <v/>
      </c>
      <c r="AV30" s="163">
        <f>IFERROR(VLOOKUP(AS30,'Master List'!$A:$D,3,0),0)</f>
        <v/>
      </c>
      <c r="AW30" s="163">
        <f>IFERROR(VLOOKUP(AS30,'Master List'!$A:$D,4,0),0)</f>
        <v/>
      </c>
      <c r="AX30" s="163" t="n"/>
      <c r="AY30" s="163">
        <f>IFERROR(AV30/AW30,0)</f>
        <v/>
      </c>
      <c r="AZ30" s="163">
        <f>IFERROR(IF(AX30&lt;((1/2*AW30*AY30^2)*2),1/2*AW30*SQRT((AX30/2)*2/AW30)^2,1/2*AW30*AY30^2),0)</f>
        <v/>
      </c>
      <c r="BA30" s="163">
        <f>IFERROR(IF(AX30-AZ30-BB30&lt;=0,0,AX30-AZ30-BB30),0)</f>
        <v/>
      </c>
      <c r="BB30" s="163">
        <f>AZ30</f>
        <v/>
      </c>
      <c r="BC30" s="163">
        <f>IFERROR(IF(AX30&lt;((1/2*AW30*AY30^2)*2),SQRT((AX30/2)*2/AW30),AY30),0)</f>
        <v/>
      </c>
      <c r="BD30" s="163">
        <f>IFERROR(BA30/AV30,0)</f>
        <v/>
      </c>
      <c r="BE30" s="163">
        <f>BC30</f>
        <v/>
      </c>
      <c r="BF30" s="163">
        <f>IF(AU30&gt;0,AU30,SUM(BC30:BE30))</f>
        <v/>
      </c>
      <c r="BG30" s="163" t="n"/>
      <c r="BH30" s="163">
        <f>BF30*BG30</f>
        <v/>
      </c>
      <c r="BJ30" s="160">
        <f>BJ29+1</f>
        <v/>
      </c>
      <c r="BK30" s="165" t="n"/>
      <c r="BL30" s="162" t="n"/>
      <c r="BM30" s="163">
        <f>IFERROR(VLOOKUP(BK30,'Master List'!$A:$D,2,0),0)</f>
        <v/>
      </c>
      <c r="BN30" s="163">
        <f>IFERROR(VLOOKUP(BK30,'Master List'!$A:$D,3,0),0)</f>
        <v/>
      </c>
      <c r="BO30" s="163">
        <f>IFERROR(VLOOKUP(BK30,'Master List'!$A:$D,4,0),0)</f>
        <v/>
      </c>
      <c r="BP30" s="163" t="n"/>
      <c r="BQ30" s="163">
        <f>IFERROR(BN30/BO30,0)</f>
        <v/>
      </c>
      <c r="BR30" s="163">
        <f>IFERROR(IF(BP30&lt;((1/2*BO30*BQ30^2)*2),1/2*BO30*SQRT((BP30/2)*2/BO30)^2,1/2*BO30*BQ30^2),0)</f>
        <v/>
      </c>
      <c r="BS30" s="163">
        <f>IFERROR(IF(BP30-BR30-BT30&lt;=0,0,BP30-BR30-BT30),0)</f>
        <v/>
      </c>
      <c r="BT30" s="163">
        <f>BR30</f>
        <v/>
      </c>
      <c r="BU30" s="163">
        <f>IFERROR(IF(BP30&lt;((1/2*BO30*BQ30^2)*2),SQRT((BP30/2)*2/BO30),BQ30),0)</f>
        <v/>
      </c>
      <c r="BV30" s="163">
        <f>IFERROR(BS30/BN30,0)</f>
        <v/>
      </c>
      <c r="BW30" s="163">
        <f>BU30</f>
        <v/>
      </c>
      <c r="BX30" s="163">
        <f>IF(BM30&gt;0,BM30,SUM(BU30:BW30))</f>
        <v/>
      </c>
      <c r="BY30" s="163" t="n">
        <v>1</v>
      </c>
      <c r="BZ30" s="163">
        <f>BX30*BY30</f>
        <v/>
      </c>
      <c r="CB30" s="160">
        <f>CB29+1</f>
        <v/>
      </c>
      <c r="CC30" s="165" t="n"/>
      <c r="CD30" s="162" t="n"/>
      <c r="CE30" s="163">
        <f>IFERROR(VLOOKUP(CC30,'Master List'!$A:$D,2,0),0)</f>
        <v/>
      </c>
      <c r="CF30" s="163">
        <f>IFERROR(VLOOKUP(CC30,'Master List'!$A:$D,3,0),0)</f>
        <v/>
      </c>
      <c r="CG30" s="163">
        <f>IFERROR(VLOOKUP(CC30,'Master List'!$A:$D,4,0),0)</f>
        <v/>
      </c>
      <c r="CH30" s="163" t="n"/>
      <c r="CI30" s="163">
        <f>IFERROR(CF30/CG30,0)</f>
        <v/>
      </c>
      <c r="CJ30" s="163">
        <f>IFERROR(IF(CH30&lt;((1/2*CG30*CI30^2)*2),1/2*CG30*SQRT((CH30/2)*2/CG30)^2,1/2*CG30*CI30^2),0)</f>
        <v/>
      </c>
      <c r="CK30" s="163">
        <f>IFERROR(IF(CH30-CJ30-CL30&lt;=0,0,CH30-CJ30-CL30),0)</f>
        <v/>
      </c>
      <c r="CL30" s="163">
        <f>CJ30</f>
        <v/>
      </c>
      <c r="CM30" s="163">
        <f>IFERROR(IF(CH30&lt;((1/2*CG30*CI30^2)*2),SQRT((CH30/2)*2/CG30),CI30),0)</f>
        <v/>
      </c>
      <c r="CN30" s="163">
        <f>IFERROR(CK30/CF30,0)</f>
        <v/>
      </c>
      <c r="CO30" s="163">
        <f>CM30</f>
        <v/>
      </c>
      <c r="CP30" s="163">
        <f>IF(CE30&gt;0,CE30,SUM(CM30:CO30))</f>
        <v/>
      </c>
      <c r="CQ30" s="163" t="n"/>
      <c r="CR30" s="163">
        <f>CP30*CQ30</f>
        <v/>
      </c>
      <c r="EE30" s="148" t="n">
        <v>10</v>
      </c>
    </row>
    <row r="31" ht="15" customHeight="1" s="516">
      <c r="A31" s="577">
        <f>'Medius Input Output'!A17</f>
        <v/>
      </c>
      <c r="B31" s="561">
        <f>IF(A31=0,0,(100%/MAX($A$28:$A$39)))</f>
        <v/>
      </c>
      <c r="C31" s="33">
        <f>C30+$B$24</f>
        <v/>
      </c>
      <c r="Z31" s="222" t="n"/>
      <c r="AA31" s="222" t="n"/>
      <c r="AB31" s="222" t="n"/>
      <c r="AC31" s="222" t="n"/>
      <c r="AD31" s="222" t="n"/>
      <c r="AE31" s="222" t="n"/>
      <c r="AF31" s="222" t="n"/>
      <c r="AG31" s="222" t="n"/>
      <c r="AH31" s="222" t="n"/>
      <c r="AI31" s="222" t="n"/>
      <c r="AJ31" s="222" t="n"/>
      <c r="AK31" s="222" t="n"/>
      <c r="AL31" s="222" t="n"/>
      <c r="AM31" s="222" t="n"/>
      <c r="AN31" s="222" t="n"/>
      <c r="AO31" s="222" t="n"/>
      <c r="AP31" s="222" t="n"/>
      <c r="BP31" s="219" t="n"/>
      <c r="EE31" s="148" t="n">
        <v>0</v>
      </c>
    </row>
    <row r="32">
      <c r="A32" s="577">
        <f>'Medius Input Output'!A18</f>
        <v/>
      </c>
      <c r="B32" s="561">
        <f>IF(A32=0,0,(100%/MAX($A$28:$A$39)))</f>
        <v/>
      </c>
      <c r="C32" s="33">
        <f>C31+$B$24</f>
        <v/>
      </c>
      <c r="EE32" s="148" t="n">
        <v>11</v>
      </c>
    </row>
    <row r="33">
      <c r="A33" s="577">
        <f>'Medius Input Output'!A19</f>
        <v/>
      </c>
      <c r="B33" s="561">
        <f>IF(A33=0,0,(100%/MAX($A$28:$A$39)))</f>
        <v/>
      </c>
      <c r="C33" s="33">
        <f>C32+$B$24</f>
        <v/>
      </c>
      <c r="EE33" s="148" t="n">
        <v>0</v>
      </c>
    </row>
    <row r="34" ht="15" customHeight="1" s="516">
      <c r="A34" s="577">
        <f>'Medius Input Output'!A20</f>
        <v/>
      </c>
      <c r="B34" s="561">
        <f>IF(A34=0,0,(100%/MAX($A$28:$A$39)))</f>
        <v/>
      </c>
      <c r="C34" s="33">
        <f>C33+$B$24</f>
        <v/>
      </c>
      <c r="I34" s="216" t="n"/>
      <c r="EE34" s="148" t="n">
        <v>12</v>
      </c>
    </row>
    <row r="35" ht="15" customHeight="1" s="516">
      <c r="A35" s="577">
        <f>'Medius Input Output'!A21</f>
        <v/>
      </c>
      <c r="B35" s="561">
        <f>IF(A35=0,0,(100%/MAX($A$28:$A$39)))</f>
        <v/>
      </c>
      <c r="C35" s="33">
        <f>C34+$B$24</f>
        <v/>
      </c>
      <c r="I35" s="216" t="n"/>
      <c r="J35" s="216" t="n"/>
    </row>
    <row r="36" ht="15" customHeight="1" s="516">
      <c r="A36" s="577">
        <f>'Medius Input Output'!A22</f>
        <v/>
      </c>
      <c r="B36" s="561">
        <f>IF(A36=0,0,(100%/MAX($A$28:$A$39)))</f>
        <v/>
      </c>
      <c r="C36" s="33">
        <f>C35+$B$24</f>
        <v/>
      </c>
      <c r="I36" s="216" t="n"/>
      <c r="J36" s="216" t="n"/>
    </row>
    <row r="37" ht="15" customHeight="1" s="516">
      <c r="A37" s="577">
        <f>'Medius Input Output'!A23</f>
        <v/>
      </c>
      <c r="B37" s="561">
        <f>IF(A37=0,0,(100%/MAX($A$28:$A$39)))</f>
        <v/>
      </c>
      <c r="C37" s="33">
        <f>C36+$B$24</f>
        <v/>
      </c>
      <c r="I37" s="216" t="n"/>
      <c r="J37" s="216" t="n"/>
    </row>
    <row r="38" ht="15" customHeight="1" s="516">
      <c r="A38" s="577">
        <f>'Medius Input Output'!A24</f>
        <v/>
      </c>
      <c r="B38" s="561">
        <f>IF(A38=0,0,(100%/MAX($A$28:$A$39)))</f>
        <v/>
      </c>
      <c r="C38" s="33">
        <f>C37+$B$24</f>
        <v/>
      </c>
      <c r="I38" s="216" t="n"/>
      <c r="J38" s="216" t="n"/>
    </row>
    <row r="39" ht="15" customHeight="1" s="516">
      <c r="A39" s="577">
        <f>'Medius Input Output'!A25</f>
        <v/>
      </c>
      <c r="B39" s="561">
        <f>IF(A39=0,0,(100%/MAX($A$28:$A$39)))</f>
        <v/>
      </c>
      <c r="C39" s="33">
        <f>C38+$B$24</f>
        <v/>
      </c>
      <c r="I39" s="216" t="n"/>
    </row>
    <row r="40" ht="15" customHeight="1" s="516">
      <c r="A40" s="577" t="inlineStr">
        <is>
          <t>Effective hoist movement per cycle m</t>
        </is>
      </c>
      <c r="B40" s="553" t="n"/>
      <c r="C40" s="34">
        <f>SUMPRODUCT(B28:B39,C28:C39)</f>
        <v/>
      </c>
      <c r="I40" s="216" t="n"/>
      <c r="J40" s="153" t="n"/>
    </row>
    <row r="41" ht="15" customHeight="1" s="516">
      <c r="I41" s="216" t="n"/>
      <c r="J41" s="153" t="n"/>
    </row>
    <row r="42" ht="15" customHeight="1" s="516">
      <c r="I42" s="216" t="n"/>
      <c r="J42" s="153" t="n"/>
    </row>
    <row r="43" ht="15" customHeight="1" s="516">
      <c r="I43" s="216" t="n"/>
      <c r="J43" s="153" t="n"/>
    </row>
    <row r="44">
      <c r="I44" s="153" t="n"/>
      <c r="J44" s="153" t="n"/>
    </row>
    <row r="45">
      <c r="I45" s="153" t="n"/>
      <c r="J45" s="153" t="n"/>
    </row>
    <row r="46">
      <c r="I46" s="153" t="n"/>
      <c r="J46" s="153" t="n"/>
    </row>
    <row r="47">
      <c r="I47" s="153" t="n"/>
      <c r="J47" s="153" t="n"/>
    </row>
    <row r="48">
      <c r="I48" s="153" t="n"/>
      <c r="J48" s="153" t="n"/>
    </row>
    <row r="49">
      <c r="I49" s="153" t="n"/>
      <c r="J49" s="153" t="n"/>
    </row>
    <row r="50">
      <c r="I50" s="153" t="n"/>
      <c r="J50" s="153" t="n"/>
    </row>
    <row r="51">
      <c r="I51" s="153" t="n"/>
      <c r="J51" s="153" t="n"/>
    </row>
    <row r="52">
      <c r="I52" s="153" t="n"/>
      <c r="J52" s="153" t="n"/>
    </row>
    <row r="53">
      <c r="I53" s="153" t="n"/>
      <c r="J53" s="153" t="n"/>
    </row>
    <row r="54">
      <c r="I54" s="153" t="n"/>
      <c r="J54" s="153" t="n"/>
    </row>
    <row r="55">
      <c r="I55" s="153" t="n"/>
      <c r="J55" s="153" t="n"/>
    </row>
    <row r="56">
      <c r="I56" s="153" t="n"/>
      <c r="J56" s="153" t="n"/>
    </row>
    <row r="57">
      <c r="I57" s="153" t="n"/>
      <c r="J57" s="153" t="n"/>
    </row>
    <row r="58">
      <c r="I58" s="153" t="n"/>
      <c r="J58" s="153" t="n"/>
    </row>
  </sheetData>
  <sheetProtection selectLockedCells="0" selectUnlockedCells="0" algorithmName="SHA-512" sheet="1" objects="1" insertRows="1" insertHyperlinks="1" autoFilter="1" scenarios="1" formatColumns="1" deleteColumns="1" insertColumns="1" pivotTables="1" deleteRows="1" formatCells="1" saltValue="CDIFQ8BjC6tEqU0BP6M/mw==" formatRows="1" sort="1" spinCount="100000" hashValue="SC/ph+6fT57JRmPoCaGD4/I72So7Xv50gCsOE4xl2nioGp2g2G/6XZBye+5hnwoCRkE/Nlqv9Kwy7GieA1rr1Q=="/>
  <mergeCells count="31">
    <mergeCell ref="AR3:BH3"/>
    <mergeCell ref="AA6:AO6"/>
    <mergeCell ref="AR4:AR8"/>
    <mergeCell ref="I7:W7"/>
    <mergeCell ref="CC6:CQ6"/>
    <mergeCell ref="AA5:AO5"/>
    <mergeCell ref="AS6:BG6"/>
    <mergeCell ref="Z4:Z8"/>
    <mergeCell ref="AA4:AO4"/>
    <mergeCell ref="BK4:BY4"/>
    <mergeCell ref="CC4:CQ4"/>
    <mergeCell ref="AA7:AO7"/>
    <mergeCell ref="AS7:BG7"/>
    <mergeCell ref="CB4:CB8"/>
    <mergeCell ref="CC7:CQ7"/>
    <mergeCell ref="I5:W5"/>
    <mergeCell ref="CB3:CR3"/>
    <mergeCell ref="BK5:BY5"/>
    <mergeCell ref="I4:W4"/>
    <mergeCell ref="H4:H8"/>
    <mergeCell ref="Z3:AP3"/>
    <mergeCell ref="BJ4:BJ8"/>
    <mergeCell ref="BK7:BY7"/>
    <mergeCell ref="AS5:BG5"/>
    <mergeCell ref="CC5:CQ5"/>
    <mergeCell ref="I6:W6"/>
    <mergeCell ref="H3:X3"/>
    <mergeCell ref="BK6:BY6"/>
    <mergeCell ref="BJ3:BZ3"/>
    <mergeCell ref="A40:B40"/>
    <mergeCell ref="AS4:BG4"/>
  </mergeCells>
  <conditionalFormatting sqref="B7:C11">
    <cfRule type="cellIs" priority="1" operator="lessThan" dxfId="1">
      <formula>$B$41</formula>
    </cfRule>
  </conditionalFormatting>
  <conditionalFormatting sqref="C12:C13">
    <cfRule type="cellIs" priority="3" operator="lessThan" dxfId="1">
      <formula>$B$41</formula>
    </cfRule>
  </conditionalFormatting>
  <conditionalFormatting sqref="E22">
    <cfRule type="cellIs" priority="2" operator="notEqual" dxfId="0">
      <formula>1</formula>
    </cfRule>
  </conditionalFormatting>
  <dataValidations count="12">
    <dataValidation sqref="A39" showDropDown="0" showInputMessage="1" showErrorMessage="1" allowBlank="1" type="list">
      <formula1>$EE$33:$EE$34</formula1>
    </dataValidation>
    <dataValidation sqref="A38" showDropDown="0" showInputMessage="1" showErrorMessage="1" allowBlank="1" type="list">
      <formula1>$EE$31:$EE$32</formula1>
    </dataValidation>
    <dataValidation sqref="A37" showDropDown="0" showInputMessage="1" showErrorMessage="1" allowBlank="1" type="list">
      <formula1>$EE$29:$EE$30</formula1>
    </dataValidation>
    <dataValidation sqref="A36" showDropDown="0" showInputMessage="1" showErrorMessage="1" allowBlank="1" type="list">
      <formula1>$EE$27:$EE$28</formula1>
    </dataValidation>
    <dataValidation sqref="A35" showDropDown="0" showInputMessage="1" showErrorMessage="1" allowBlank="1" type="list">
      <formula1>$EE$25:$EE$26</formula1>
    </dataValidation>
    <dataValidation sqref="A34" showDropDown="0" showInputMessage="1" showErrorMessage="1" allowBlank="1" type="list">
      <formula1>$EE$23:$EE$24</formula1>
    </dataValidation>
    <dataValidation sqref="A33" showDropDown="0" showInputMessage="1" showErrorMessage="1" allowBlank="1" type="list">
      <formula1>$EE$21:$EE$22</formula1>
    </dataValidation>
    <dataValidation sqref="A32" showDropDown="0" showInputMessage="1" showErrorMessage="1" allowBlank="1" type="list">
      <formula1>$EE$19:$EE$20</formula1>
    </dataValidation>
    <dataValidation sqref="A31" showDropDown="0" showInputMessage="1" showErrorMessage="1" allowBlank="1" type="list">
      <formula1>$EE$17:$EE$18</formula1>
    </dataValidation>
    <dataValidation sqref="A30" showDropDown="0" showInputMessage="1" showErrorMessage="1" allowBlank="1" type="list">
      <formula1>$EE$15:$EE$16</formula1>
    </dataValidation>
    <dataValidation sqref="A29" showDropDown="0" showInputMessage="1" showErrorMessage="1" allowBlank="1" type="list">
      <formula1>$EE$13:$EE$14</formula1>
    </dataValidation>
    <dataValidation sqref="A28" showDropDown="0" showInputMessage="1" showErrorMessage="1" allowBlank="1" type="list">
      <formula1>$EE$11:$EE$12</formula1>
    </dataValidation>
  </dataValidations>
  <pageMargins left="0.7" right="0.7" top="0.75" bottom="0.75" header="0.3" footer="0.3"/>
  <pageSetup orientation="portrait"/>
  <drawing r:id="rId1"/>
</worksheet>
</file>

<file path=xl/worksheets/sheet25.xml><?xml version="1.0" encoding="utf-8"?>
<worksheet xmlns:r="http://schemas.openxmlformats.org/officeDocument/2006/relationships" xmlns="http://schemas.openxmlformats.org/spreadsheetml/2006/main">
  <sheetPr codeName="Sheet26">
    <tabColor rgb="FF00B0F0"/>
    <outlinePr summaryBelow="1" summaryRight="1"/>
    <pageSetUpPr/>
  </sheetPr>
  <dimension ref="A1:Q87"/>
  <sheetViews>
    <sheetView showGridLines="0" zoomScale="85" zoomScaleNormal="85" workbookViewId="0">
      <selection activeCell="G14" sqref="G14"/>
    </sheetView>
  </sheetViews>
  <sheetFormatPr baseColWidth="10" defaultColWidth="8.83203125" defaultRowHeight="15"/>
  <cols>
    <col width="67.1640625" bestFit="1" customWidth="1" style="258" min="1" max="1"/>
    <col width="17.33203125" bestFit="1" customWidth="1" style="258" min="2" max="2"/>
    <col width="13.33203125" customWidth="1" style="258" min="3" max="3"/>
    <col width="38.33203125" customWidth="1" style="258" min="4" max="4"/>
    <col width="13.33203125" customWidth="1" style="258" min="5" max="5"/>
    <col width="14.1640625" bestFit="1" customWidth="1" style="258" min="6" max="6"/>
    <col width="13.33203125" customWidth="1" style="258" min="7" max="7"/>
    <col width="6.6640625" bestFit="1" customWidth="1" style="258" min="8" max="8"/>
    <col width="7.5" bestFit="1" customWidth="1" style="258" min="9" max="9"/>
    <col width="28.1640625" customWidth="1" style="258" min="10" max="10"/>
    <col width="8.6640625" customWidth="1" style="258" min="11" max="12"/>
    <col width="7.1640625" bestFit="1" customWidth="1" style="258" min="13" max="13"/>
    <col width="10.83203125" customWidth="1" style="258" min="14" max="14"/>
    <col width="10.33203125" customWidth="1" style="258" min="15" max="15"/>
    <col width="26.6640625" customWidth="1" style="258" min="16" max="16"/>
    <col width="16.6640625" bestFit="1" customWidth="1" style="258" min="17" max="17"/>
    <col width="8.83203125" customWidth="1" style="258" min="18" max="18"/>
    <col width="16.6640625" bestFit="1" customWidth="1" style="258" min="19" max="19"/>
    <col width="8.83203125" customWidth="1" style="258" min="20" max="20"/>
    <col width="8.83203125" customWidth="1" style="258" min="21" max="16384"/>
  </cols>
  <sheetData>
    <row r="1" ht="37.5" customHeight="1" s="516">
      <c r="B1" s="1">
        <f>'Master List'!$F$2</f>
        <v/>
      </c>
    </row>
    <row r="3" ht="25" customHeight="1" s="516" thickBot="1">
      <c r="A3" s="259" t="inlineStr">
        <is>
          <t>Max totes that can be stored</t>
        </is>
      </c>
      <c r="B3" s="260">
        <f>((B64*B49*B37*E15) + (B64*B50*B37*E16))*B26</f>
        <v/>
      </c>
    </row>
    <row r="4" ht="20" customHeight="1" s="516" thickBot="1">
      <c r="A4" s="267" t="inlineStr">
        <is>
          <t>Remaining area m^2</t>
        </is>
      </c>
      <c r="B4" s="268">
        <f>B5*B6</f>
        <v/>
      </c>
      <c r="D4" s="261" t="inlineStr">
        <is>
          <t>Tote inputs</t>
        </is>
      </c>
      <c r="E4" s="262" t="inlineStr">
        <is>
          <t>Value</t>
        </is>
      </c>
      <c r="F4" s="263" t="inlineStr">
        <is>
          <t>UOM</t>
        </is>
      </c>
      <c r="G4" s="264" t="inlineStr">
        <is>
          <t>Value</t>
        </is>
      </c>
      <c r="H4" s="265" t="inlineStr">
        <is>
          <t>UOM</t>
        </is>
      </c>
      <c r="M4" s="266" t="inlineStr">
        <is>
          <t>Value</t>
        </is>
      </c>
      <c r="N4" s="266" t="inlineStr">
        <is>
          <t>UOM</t>
        </is>
      </c>
      <c r="O4" s="266" t="inlineStr">
        <is>
          <t>Value</t>
        </is>
      </c>
      <c r="P4" s="266" t="inlineStr">
        <is>
          <t>UOM</t>
        </is>
      </c>
    </row>
    <row r="5">
      <c r="A5" s="271" t="inlineStr">
        <is>
          <t>Length of remaining area M</t>
        </is>
      </c>
      <c r="B5" s="275">
        <f>M11</f>
        <v/>
      </c>
      <c r="D5" s="269" t="inlineStr">
        <is>
          <t>Tote depth (in the forking direction)</t>
        </is>
      </c>
      <c r="E5" s="410">
        <f>'Medius Input Output'!B38</f>
        <v/>
      </c>
      <c r="F5" s="271" t="inlineStr">
        <is>
          <t>mm</t>
        </is>
      </c>
      <c r="G5" s="410">
        <f>'Medius Input Output'!D38</f>
        <v/>
      </c>
      <c r="H5" s="273" t="inlineStr">
        <is>
          <t>Ft</t>
        </is>
      </c>
      <c r="I5" s="258">
        <f>CONVERT(G5,"ft","mm")</f>
        <v/>
      </c>
      <c r="J5" s="565" t="inlineStr">
        <is>
          <t>Input values in either Milimeters mm (Column E) or in Feet Ft in (Column G)</t>
        </is>
      </c>
      <c r="M5" s="271">
        <f>MAX(E5,I5)</f>
        <v/>
      </c>
      <c r="N5" s="271" t="inlineStr">
        <is>
          <t>mm</t>
        </is>
      </c>
      <c r="O5" s="274">
        <f>M5/1000</f>
        <v/>
      </c>
      <c r="P5" s="271" t="inlineStr">
        <is>
          <t>M</t>
        </is>
      </c>
    </row>
    <row r="6">
      <c r="A6" s="271" t="inlineStr">
        <is>
          <t>Width of remaining area M</t>
        </is>
      </c>
      <c r="B6" s="275">
        <f>M12-(B26*(B25/1000))</f>
        <v/>
      </c>
      <c r="D6" s="269" t="inlineStr">
        <is>
          <t>Tote width (in the crane travel direction)</t>
        </is>
      </c>
      <c r="E6" s="410">
        <f>'Medius Input Output'!B39</f>
        <v/>
      </c>
      <c r="F6" s="271" t="inlineStr">
        <is>
          <t>mm</t>
        </is>
      </c>
      <c r="G6" s="410">
        <f>'Medius Input Output'!D39</f>
        <v/>
      </c>
      <c r="H6" s="273" t="inlineStr">
        <is>
          <t>Ft</t>
        </is>
      </c>
      <c r="I6" s="258">
        <f>CONVERT(G6,"ft","mm")</f>
        <v/>
      </c>
      <c r="J6" s="566" t="n"/>
      <c r="M6" s="271">
        <f>MAX(E6,I6)</f>
        <v/>
      </c>
      <c r="N6" s="271" t="inlineStr">
        <is>
          <t>mm</t>
        </is>
      </c>
      <c r="O6" s="274">
        <f>M6/1000</f>
        <v/>
      </c>
      <c r="P6" s="271" t="inlineStr">
        <is>
          <t>M</t>
        </is>
      </c>
    </row>
    <row r="7" ht="16" customHeight="1" s="516" thickBot="1">
      <c r="D7" s="278" t="inlineStr">
        <is>
          <t>Tote height</t>
        </is>
      </c>
      <c r="E7" s="410">
        <f>'Medius Input Output'!B40</f>
        <v/>
      </c>
      <c r="F7" s="279" t="inlineStr">
        <is>
          <t>mm</t>
        </is>
      </c>
      <c r="G7" s="410">
        <f>'Medius Input Output'!D40</f>
        <v/>
      </c>
      <c r="H7" s="281" t="inlineStr">
        <is>
          <t>Ft</t>
        </is>
      </c>
      <c r="I7" s="258">
        <f>CONVERT(G7,"ft","mm")</f>
        <v/>
      </c>
      <c r="J7" s="567" t="n"/>
      <c r="M7" s="271">
        <f>MAX(E7,I7)</f>
        <v/>
      </c>
      <c r="N7" s="271" t="inlineStr">
        <is>
          <t>mm</t>
        </is>
      </c>
      <c r="O7" s="274">
        <f>M7/1000</f>
        <v/>
      </c>
      <c r="P7" s="271" t="inlineStr">
        <is>
          <t>M</t>
        </is>
      </c>
    </row>
    <row r="8" ht="16" customHeight="1" s="516" thickBot="1">
      <c r="A8" s="271" t="inlineStr">
        <is>
          <t>Effective Width of storage</t>
        </is>
      </c>
      <c r="B8" s="275">
        <f>(M12*1000)</f>
        <v/>
      </c>
    </row>
    <row r="9" ht="16" customHeight="1" s="516" thickBot="1">
      <c r="D9" s="261" t="inlineStr">
        <is>
          <t>Field Inputs</t>
        </is>
      </c>
      <c r="E9" s="262" t="inlineStr">
        <is>
          <t>Value</t>
        </is>
      </c>
      <c r="F9" s="263" t="inlineStr">
        <is>
          <t>UOM</t>
        </is>
      </c>
      <c r="G9" s="264" t="inlineStr">
        <is>
          <t>Value</t>
        </is>
      </c>
      <c r="H9" s="265" t="inlineStr">
        <is>
          <t>UOM</t>
        </is>
      </c>
      <c r="M9" s="266" t="inlineStr">
        <is>
          <t>Value</t>
        </is>
      </c>
      <c r="N9" s="266" t="inlineStr">
        <is>
          <t>UOM</t>
        </is>
      </c>
    </row>
    <row r="10">
      <c r="A10" s="266" t="inlineStr">
        <is>
          <t>Throughput required</t>
        </is>
      </c>
      <c r="B10" s="266" t="inlineStr">
        <is>
          <t>Totes/ Hr</t>
        </is>
      </c>
      <c r="D10" s="269" t="inlineStr">
        <is>
          <t>Clear height (After Lightings, sprinklers etc.)</t>
        </is>
      </c>
      <c r="E10" s="410">
        <f>'Medius Input Output'!B43</f>
        <v/>
      </c>
      <c r="F10" s="271" t="inlineStr">
        <is>
          <t>M</t>
        </is>
      </c>
      <c r="G10" s="410">
        <f>'Medius Input Output'!D43</f>
        <v/>
      </c>
      <c r="H10" s="273" t="inlineStr">
        <is>
          <t>Ft</t>
        </is>
      </c>
      <c r="I10" s="258">
        <f>CONVERT(G10,"ft","m")</f>
        <v/>
      </c>
      <c r="J10" s="565" t="inlineStr">
        <is>
          <t>Input values in either Meters M (Column E) or in Feet Ft in (Column G)</t>
        </is>
      </c>
      <c r="M10" s="271">
        <f>MAX(E10,I10)</f>
        <v/>
      </c>
      <c r="N10" s="271" t="inlineStr">
        <is>
          <t>M</t>
        </is>
      </c>
    </row>
    <row r="11">
      <c r="A11" s="271" t="inlineStr">
        <is>
          <t>Throughput/ Hr</t>
        </is>
      </c>
      <c r="B11" s="275">
        <f>MAX(E20:E21)*2</f>
        <v/>
      </c>
      <c r="D11" s="269" t="inlineStr">
        <is>
          <t>Length mm</t>
        </is>
      </c>
      <c r="E11" s="410">
        <f>'Medius Input Output'!B44</f>
        <v/>
      </c>
      <c r="F11" s="271" t="inlineStr">
        <is>
          <t>M</t>
        </is>
      </c>
      <c r="G11" s="410">
        <f>'Medius Input Output'!D44</f>
        <v/>
      </c>
      <c r="H11" s="273" t="inlineStr">
        <is>
          <t>Ft</t>
        </is>
      </c>
      <c r="I11" s="258">
        <f>CONVERT(G11,"ft","m")</f>
        <v/>
      </c>
      <c r="J11" s="566" t="n"/>
      <c r="M11" s="271">
        <f>MAX(E11,I11)</f>
        <v/>
      </c>
      <c r="N11" s="271" t="inlineStr">
        <is>
          <t>M</t>
        </is>
      </c>
    </row>
    <row r="12" ht="16" customHeight="1" s="516" thickBot="1">
      <c r="D12" s="278" t="inlineStr">
        <is>
          <t>Width mm</t>
        </is>
      </c>
      <c r="E12" s="410">
        <f>'Medius Input Output'!B45</f>
        <v/>
      </c>
      <c r="F12" s="279" t="inlineStr">
        <is>
          <t>M</t>
        </is>
      </c>
      <c r="G12" s="410">
        <f>'Medius Input Output'!D45</f>
        <v/>
      </c>
      <c r="H12" s="281" t="inlineStr">
        <is>
          <t>Ft</t>
        </is>
      </c>
      <c r="I12" s="258">
        <f>CONVERT(G12,"ft","m")</f>
        <v/>
      </c>
      <c r="J12" s="567" t="n"/>
      <c r="M12" s="271">
        <f>MAX(E12,I12)</f>
        <v/>
      </c>
      <c r="N12" s="271" t="inlineStr">
        <is>
          <t>M</t>
        </is>
      </c>
    </row>
    <row r="13" ht="16" customHeight="1" s="516" thickBot="1">
      <c r="A13" s="266" t="inlineStr">
        <is>
          <t>Max lift throughput capacity (Totes/ Hr)</t>
        </is>
      </c>
      <c r="B13" s="310">
        <f>E22</f>
        <v/>
      </c>
    </row>
    <row r="14">
      <c r="A14" s="271" t="inlineStr">
        <is>
          <t xml:space="preserve"># lifts required </t>
        </is>
      </c>
      <c r="B14" s="271">
        <f>B11/B13</f>
        <v/>
      </c>
      <c r="D14" s="261" t="inlineStr">
        <is>
          <t>Configuration Inputs</t>
        </is>
      </c>
      <c r="E14" s="263" t="inlineStr">
        <is>
          <t>Value</t>
        </is>
      </c>
      <c r="F14" s="265" t="inlineStr">
        <is>
          <t>UOM</t>
        </is>
      </c>
    </row>
    <row r="15">
      <c r="A15" s="271" t="inlineStr">
        <is>
          <t>No of tracks as per throughput requirement</t>
        </is>
      </c>
      <c r="B15" s="274">
        <f>ROUNDUP(B14/2,0)</f>
        <v/>
      </c>
      <c r="D15" s="269" t="inlineStr">
        <is>
          <t>Deep on the left side of track</t>
        </is>
      </c>
      <c r="E15" s="271">
        <f>'Medius Input Output'!B48</f>
        <v/>
      </c>
      <c r="F15" s="273" t="inlineStr">
        <is>
          <t>Nos</t>
        </is>
      </c>
    </row>
    <row r="16">
      <c r="D16" s="269" t="inlineStr">
        <is>
          <t>Deep on the right side of track</t>
        </is>
      </c>
      <c r="E16" s="271" t="n">
        <v>1</v>
      </c>
      <c r="F16" s="273" t="inlineStr">
        <is>
          <t>Nos</t>
        </is>
      </c>
    </row>
    <row r="17" ht="16" customHeight="1" s="516" thickBot="1">
      <c r="A17" s="271" t="inlineStr">
        <is>
          <t>Effective length of  tote - forking direction</t>
        </is>
      </c>
      <c r="B17" s="271">
        <f>(O5*1000)+(B39/2)</f>
        <v/>
      </c>
      <c r="D17" s="278" t="inlineStr">
        <is>
          <t>Number of totes in one bay one level</t>
        </is>
      </c>
      <c r="E17" s="279">
        <f>'Medius Input Output'!B50</f>
        <v/>
      </c>
      <c r="F17" s="281" t="inlineStr">
        <is>
          <t>Nos</t>
        </is>
      </c>
    </row>
    <row r="18" ht="16" customHeight="1" s="516" thickBot="1"/>
    <row r="19">
      <c r="A19" s="288" t="inlineStr">
        <is>
          <t>No of tracks calculation</t>
        </is>
      </c>
      <c r="B19" s="288" t="inlineStr">
        <is>
          <t>Nos.</t>
        </is>
      </c>
      <c r="D19" s="261" t="inlineStr">
        <is>
          <t xml:space="preserve">Throughput </t>
        </is>
      </c>
      <c r="E19" s="263" t="inlineStr">
        <is>
          <t>Value</t>
        </is>
      </c>
      <c r="F19" s="265" t="inlineStr">
        <is>
          <t>UOM</t>
        </is>
      </c>
    </row>
    <row r="20">
      <c r="A20" s="271" t="inlineStr">
        <is>
          <t>Left side of the track</t>
        </is>
      </c>
      <c r="B20" s="271">
        <f>(B17*E15)+(B29/2)+(B34/2)+B30</f>
        <v/>
      </c>
      <c r="D20" s="269" t="inlineStr">
        <is>
          <t>Inbound throughput</t>
        </is>
      </c>
      <c r="E20" s="271">
        <f>'Quadron Input Output'!B7</f>
        <v/>
      </c>
      <c r="F20" s="273" t="inlineStr">
        <is>
          <t>Totes per hour</t>
        </is>
      </c>
    </row>
    <row r="21" ht="16" customHeight="1" s="516" thickBot="1">
      <c r="A21" s="271" t="inlineStr">
        <is>
          <t>Right side of the track</t>
        </is>
      </c>
      <c r="B21" s="271">
        <f>(B17*E16)+(B29/2)+(B34/2)+B30</f>
        <v/>
      </c>
      <c r="D21" s="269" t="inlineStr">
        <is>
          <t>Outbound throughput</t>
        </is>
      </c>
      <c r="E21" s="271">
        <f>'Quadron Input Output'!B8</f>
        <v/>
      </c>
      <c r="F21" s="329" t="inlineStr">
        <is>
          <t>Totes per hour</t>
        </is>
      </c>
      <c r="N21" s="330" t="n"/>
    </row>
    <row r="22" ht="37.25" customHeight="1" s="516" thickBot="1">
      <c r="A22" s="271" t="inlineStr">
        <is>
          <t>Total width</t>
        </is>
      </c>
      <c r="B22" s="271">
        <f>SUM(B20:B21)</f>
        <v/>
      </c>
      <c r="D22" s="325" t="inlineStr">
        <is>
          <t>Max Lift productivity (Totes per Hr) After all utilizations</t>
        </is>
      </c>
      <c r="E22" s="413" t="n">
        <v>350</v>
      </c>
      <c r="F22" s="574">
        <f>IF(B15&gt;B26,(INT((B15-B26)*B25)/1000)&amp;"m "&amp;"more width required to deliver required throughput","Lift underutilized")</f>
        <v/>
      </c>
      <c r="G22" s="575" t="n"/>
      <c r="H22" s="576" t="n"/>
    </row>
    <row r="23" ht="16" customHeight="1" s="516" thickBot="1">
      <c r="A23" s="271" t="inlineStr">
        <is>
          <t>Effective left side depth with theoretical fencing</t>
        </is>
      </c>
      <c r="B23" s="271">
        <f>(B17*E15)+(B29/2)+(B36/2)+B30</f>
        <v/>
      </c>
    </row>
    <row r="24">
      <c r="A24" s="271" t="inlineStr">
        <is>
          <t>Effective right side depth with theoretical fencing</t>
        </is>
      </c>
      <c r="B24" s="271">
        <f>(B17*E16)+(B29/2)+(B36/2)+B30</f>
        <v/>
      </c>
      <c r="D24" s="563" t="inlineStr">
        <is>
          <t>Other Key Outputs</t>
        </is>
      </c>
      <c r="E24" s="564" t="n"/>
      <c r="Q24" s="300" t="n"/>
    </row>
    <row r="25">
      <c r="A25" s="271" t="inlineStr">
        <is>
          <t>Effective total width</t>
        </is>
      </c>
      <c r="B25" s="271">
        <f>SUM(B23:B24)</f>
        <v/>
      </c>
      <c r="D25" s="289" t="inlineStr">
        <is>
          <t>Inbound Lift utilization</t>
        </is>
      </c>
      <c r="E25" s="332">
        <f>(E20/E22)/ROUNDUP(E20/E22,0)</f>
        <v/>
      </c>
    </row>
    <row r="26">
      <c r="A26" s="296" t="inlineStr">
        <is>
          <t># of tracks</t>
        </is>
      </c>
      <c r="B26" s="296">
        <f>ROUNDDOWN(B8/B25,0)</f>
        <v/>
      </c>
      <c r="D26" s="289" t="inlineStr">
        <is>
          <t>Outbound Lift utilization</t>
        </is>
      </c>
      <c r="E26" s="332">
        <f>(E21/E22)/ROUNDUP(E21/E22,0)</f>
        <v/>
      </c>
    </row>
    <row r="27" ht="14.5" customHeight="1" s="516">
      <c r="D27" s="289" t="inlineStr">
        <is>
          <t>No. of carton shuttle tracks</t>
        </is>
      </c>
      <c r="E27" s="290">
        <f>B26</f>
        <v/>
      </c>
    </row>
    <row r="28">
      <c r="A28" s="266" t="inlineStr">
        <is>
          <t>Track dimensions</t>
        </is>
      </c>
      <c r="B28" s="266" t="inlineStr">
        <is>
          <t>Dimension in mm</t>
        </is>
      </c>
      <c r="D28" s="289" t="inlineStr">
        <is>
          <t>No. of bays per track on one side</t>
        </is>
      </c>
      <c r="E28" s="290">
        <f>B49</f>
        <v/>
      </c>
    </row>
    <row r="29">
      <c r="A29" s="271" t="inlineStr">
        <is>
          <t>Track width</t>
        </is>
      </c>
      <c r="B29" s="271" t="n">
        <v>840</v>
      </c>
      <c r="D29" s="333" t="inlineStr">
        <is>
          <t>No. of tracks required by throughput</t>
        </is>
      </c>
      <c r="E29" s="334">
        <f>ROUNDUP(MAX(E20:E21)/E22,0)</f>
        <v/>
      </c>
    </row>
    <row r="30" ht="16" customHeight="1" s="516" thickBot="1">
      <c r="A30" s="271" t="inlineStr">
        <is>
          <t>First tote from edge of the track</t>
        </is>
      </c>
      <c r="B30" s="271" t="n">
        <v>55</v>
      </c>
      <c r="D30" s="292" t="inlineStr">
        <is>
          <t>Levels in storage</t>
        </is>
      </c>
      <c r="E30" s="293">
        <f>B64</f>
        <v/>
      </c>
    </row>
    <row r="32">
      <c r="A32" s="288" t="inlineStr">
        <is>
          <t>No of Bays calculation</t>
        </is>
      </c>
      <c r="B32" s="288" t="inlineStr">
        <is>
          <t>Dimension in mm</t>
        </is>
      </c>
    </row>
    <row r="33">
      <c r="A33" s="271" t="inlineStr">
        <is>
          <t>Upright</t>
        </is>
      </c>
      <c r="B33" s="271" t="n">
        <v>90</v>
      </c>
    </row>
    <row r="34">
      <c r="A34" s="271" t="inlineStr">
        <is>
          <t>Fencing outside storage</t>
        </is>
      </c>
      <c r="B34" s="271" t="n">
        <v>450</v>
      </c>
    </row>
    <row r="35">
      <c r="A35" s="271" t="inlineStr">
        <is>
          <t xml:space="preserve">fencing at the end </t>
        </is>
      </c>
      <c r="B35" s="271" t="n">
        <v>290</v>
      </c>
    </row>
    <row r="36">
      <c r="A36" s="271" t="inlineStr">
        <is>
          <t xml:space="preserve">Effective fencing dimension </t>
        </is>
      </c>
      <c r="B36" s="271">
        <f>(((ROUNDDOWN(B8/B22,0)*B34)-B34)+B35)/(ROUNDDOWN(B8/B22,0))</f>
        <v/>
      </c>
    </row>
    <row r="37">
      <c r="A37" s="271" t="inlineStr">
        <is>
          <t>Number of totes in one bay pick face</t>
        </is>
      </c>
      <c r="B37" s="275">
        <f>E17</f>
        <v/>
      </c>
      <c r="M37" s="300" t="n"/>
    </row>
    <row r="38">
      <c r="A38" s="271" t="inlineStr">
        <is>
          <t>Tote to tote distance - in direction of Shuttle travel</t>
        </is>
      </c>
      <c r="B38" s="271" t="n">
        <v>120</v>
      </c>
    </row>
    <row r="39">
      <c r="A39" s="271" t="inlineStr">
        <is>
          <t>Tote to tote distance - in direction of forking</t>
        </is>
      </c>
      <c r="B39" s="271" t="n">
        <v>150</v>
      </c>
    </row>
    <row r="40">
      <c r="A40" s="266" t="inlineStr">
        <is>
          <t>Dimension of a bay in Left side of the track</t>
        </is>
      </c>
      <c r="B40" s="271" t="n"/>
    </row>
    <row r="41">
      <c r="A41" s="271" t="inlineStr">
        <is>
          <t>Width of a bay - In direction of Shuttle travel</t>
        </is>
      </c>
      <c r="B41" s="271">
        <f>B33+(B37*(O6*1000))+((B37+1)*B38)</f>
        <v/>
      </c>
    </row>
    <row r="42">
      <c r="A42" s="271" t="inlineStr">
        <is>
          <t>Length of a bay - In direction of Forking</t>
        </is>
      </c>
      <c r="B42" s="271">
        <f>(B29/2)+B30+(B17*E15)+(B34/2)</f>
        <v/>
      </c>
    </row>
    <row r="43">
      <c r="A43" s="296" t="inlineStr">
        <is>
          <t>Bay dimension in m^2</t>
        </is>
      </c>
      <c r="B43" s="296">
        <f>CONVERT((B41*B42),"mm^2","m^2")</f>
        <v/>
      </c>
    </row>
    <row r="44">
      <c r="A44" s="266" t="inlineStr">
        <is>
          <t>Dimension of a bay in Right side of the track</t>
        </is>
      </c>
      <c r="B44" s="271" t="n"/>
    </row>
    <row r="45">
      <c r="A45" s="271" t="inlineStr">
        <is>
          <t>Width of a bay - In direction of Shuttle travel</t>
        </is>
      </c>
      <c r="B45" s="271">
        <f>B33+(B37*(O6*1000))+((B37+1)*B38)</f>
        <v/>
      </c>
    </row>
    <row r="46">
      <c r="A46" s="271" t="inlineStr">
        <is>
          <t>Length of a bay - In direction of Forking</t>
        </is>
      </c>
      <c r="B46" s="271">
        <f>(B29/2)+B30+(B17*E16)+(B34/2)</f>
        <v/>
      </c>
    </row>
    <row r="47">
      <c r="A47" s="296" t="inlineStr">
        <is>
          <t>Bay dimension in m^2</t>
        </is>
      </c>
      <c r="B47" s="296">
        <f>CONVERT((B45*B46),"mm^2","m^2")</f>
        <v/>
      </c>
    </row>
    <row r="48">
      <c r="A48" s="271" t="inlineStr">
        <is>
          <t>Max aisle length from first to last pallet</t>
        </is>
      </c>
      <c r="B48" s="275">
        <f>(M11*1000)-B67-B68-B69</f>
        <v/>
      </c>
    </row>
    <row r="49">
      <c r="A49" s="296" t="inlineStr">
        <is>
          <t># bays in storage Left side of the track</t>
        </is>
      </c>
      <c r="B49" s="296">
        <f>ROUNDDOWN(B48/B41,0)</f>
        <v/>
      </c>
    </row>
    <row r="50">
      <c r="A50" s="296" t="inlineStr">
        <is>
          <t># bays in storage Right side of the track</t>
        </is>
      </c>
      <c r="B50" s="296">
        <f>ROUNDDOWN(B48/B45,0)</f>
        <v/>
      </c>
    </row>
    <row r="52">
      <c r="A52" s="288" t="inlineStr">
        <is>
          <t>Level calculation bay dimensions</t>
        </is>
      </c>
      <c r="B52" s="288" t="inlineStr">
        <is>
          <t>Dimension in mm</t>
        </is>
      </c>
    </row>
    <row r="53">
      <c r="A53" s="299" t="inlineStr">
        <is>
          <t>Plinth level to bottom of first pallet</t>
        </is>
      </c>
      <c r="B53" s="271" t="n">
        <v>610</v>
      </c>
    </row>
    <row r="54" ht="15" customHeight="1" s="516">
      <c r="A54" s="271" t="inlineStr">
        <is>
          <t>Tote lift top (Top tote)</t>
        </is>
      </c>
      <c r="B54" s="271" t="n">
        <v>580</v>
      </c>
    </row>
    <row r="55">
      <c r="A55" s="271" t="inlineStr">
        <is>
          <t>Distance between top of pallet to bottom of above pallet</t>
        </is>
      </c>
      <c r="B55" s="271" t="n">
        <v>150</v>
      </c>
    </row>
    <row r="56">
      <c r="A56" s="296" t="inlineStr">
        <is>
          <t>Effective height available</t>
        </is>
      </c>
      <c r="B56" s="296">
        <f>(M10*1000)-B53-B60</f>
        <v/>
      </c>
    </row>
    <row r="57">
      <c r="A57" s="271" t="inlineStr">
        <is>
          <t>Extra height for ESFR and cross beam</t>
        </is>
      </c>
      <c r="B57" s="271" t="n">
        <v>200</v>
      </c>
    </row>
    <row r="58">
      <c r="A58" s="271" t="inlineStr">
        <is>
          <t>Cross beam after every</t>
        </is>
      </c>
      <c r="B58" s="271" t="n">
        <v>2800</v>
      </c>
    </row>
    <row r="59">
      <c r="A59" s="271" t="inlineStr">
        <is>
          <t># of ESFR levels</t>
        </is>
      </c>
      <c r="B59" s="271">
        <f>ROUNDDOWN((M10*1000)/B58,0)-1</f>
        <v/>
      </c>
    </row>
    <row r="60">
      <c r="A60" s="271" t="inlineStr">
        <is>
          <t>Height occupied by Cross beam</t>
        </is>
      </c>
      <c r="B60" s="271">
        <f>B57*B59</f>
        <v/>
      </c>
      <c r="M60" s="323" t="n"/>
    </row>
    <row r="61">
      <c r="A61" s="296" t="inlineStr">
        <is>
          <t>Pallet height plus clear height</t>
        </is>
      </c>
      <c r="B61" s="296">
        <f>B55+(O7*1000)</f>
        <v/>
      </c>
    </row>
    <row r="62">
      <c r="A62" s="271" t="inlineStr">
        <is>
          <t>Effective clear height between pallet (Theortical)</t>
        </is>
      </c>
      <c r="B62" s="271">
        <f>(((ROUNDDOWN(B56/B61,0)*B55)-B55)+B54)/ROUNDDOWN(B56/B61,0)</f>
        <v/>
      </c>
    </row>
    <row r="63">
      <c r="A63" s="271" t="inlineStr">
        <is>
          <t>Effective height of a level</t>
        </is>
      </c>
      <c r="B63" s="271">
        <f>(O7*1000)+B62</f>
        <v/>
      </c>
    </row>
    <row r="64">
      <c r="A64" s="296" t="inlineStr">
        <is>
          <t>Levels</t>
        </is>
      </c>
      <c r="B64" s="296">
        <f>ROUNDDOWN(B56/B63,0)</f>
        <v/>
      </c>
    </row>
    <row r="65">
      <c r="F65" s="323" t="n"/>
      <c r="G65" s="323" t="n"/>
    </row>
    <row r="66">
      <c r="A66" s="288" t="inlineStr">
        <is>
          <t xml:space="preserve">Other dimensions outside storage area </t>
        </is>
      </c>
      <c r="B66" s="288" t="inlineStr">
        <is>
          <t>Dimension in mm</t>
        </is>
      </c>
    </row>
    <row r="67">
      <c r="A67" s="271" t="inlineStr">
        <is>
          <t>Buffer conveyor and lift length</t>
        </is>
      </c>
      <c r="B67" s="271" t="n">
        <v>2500</v>
      </c>
    </row>
    <row r="68">
      <c r="A68" s="271" t="inlineStr">
        <is>
          <t>Maintenance mezzanine front including conveyors</t>
        </is>
      </c>
      <c r="B68" s="271" t="n">
        <v>2700</v>
      </c>
      <c r="E68" s="323" t="n"/>
    </row>
    <row r="69">
      <c r="A69" s="271" t="inlineStr">
        <is>
          <t>Maintenance Mezzanine Back</t>
        </is>
      </c>
      <c r="B69" s="271" t="n">
        <v>4000</v>
      </c>
    </row>
    <row r="73">
      <c r="N73" s="305" t="n"/>
    </row>
    <row r="74">
      <c r="N74" s="305" t="n"/>
    </row>
    <row r="75">
      <c r="M75" s="323" t="n"/>
      <c r="N75" s="97" t="n"/>
      <c r="O75" s="97" t="n"/>
    </row>
    <row r="76">
      <c r="C76" s="300" t="n"/>
      <c r="F76" s="300" t="n"/>
      <c r="G76" s="300" t="n"/>
      <c r="H76" s="300" t="n"/>
      <c r="I76" s="300" t="n"/>
      <c r="J76" s="300" t="n"/>
      <c r="K76" s="300" t="n"/>
      <c r="L76" s="300" t="n"/>
      <c r="M76" s="97" t="n"/>
    </row>
    <row r="79">
      <c r="D79" s="300" t="n"/>
      <c r="E79" s="300" t="n"/>
    </row>
    <row r="85" hidden="1" s="516"/>
    <row r="87">
      <c r="A87" s="258" t="inlineStr">
        <is>
          <t>Front - Clear length after mother child system for feeding conveyors</t>
        </is>
      </c>
      <c r="B87" s="258" t="n">
        <v>0</v>
      </c>
    </row>
  </sheetData>
  <sheetProtection selectLockedCells="0" selectUnlockedCells="0" algorithmName="SHA-512" sheet="1" objects="1" insertRows="1" insertHyperlinks="1" autoFilter="1" scenarios="1" formatColumns="1" deleteColumns="1" insertColumns="1" pivotTables="1" deleteRows="1" formatCells="1" saltValue="ME3vOvjX09le5thcD0HCuQ==" formatRows="1" sort="1" spinCount="100000" hashValue="f17hFAYKu9ZbMTAhsdOcG0BvLwD94/fOt1LcLNOhcuXhybmbqZpecNCEw9SXAb4Ysml1XNdoF9hFTaNyGD9gBQ=="/>
  <mergeCells count="4">
    <mergeCell ref="F22:H22"/>
    <mergeCell ref="J5:J7"/>
    <mergeCell ref="J10:J12"/>
    <mergeCell ref="D24:E24"/>
  </mergeCells>
  <conditionalFormatting sqref="B26">
    <cfRule type="cellIs" priority="1" operator="lessThan" dxfId="0">
      <formula>1</formula>
    </cfRule>
  </conditionalFormatting>
  <conditionalFormatting sqref="B43">
    <cfRule type="cellIs" priority="8" operator="lessThan" dxfId="0">
      <formula>1</formula>
    </cfRule>
  </conditionalFormatting>
  <conditionalFormatting sqref="B47">
    <cfRule type="cellIs" priority="7" operator="lessThan" dxfId="0">
      <formula>1</formula>
    </cfRule>
  </conditionalFormatting>
  <conditionalFormatting sqref="B49:B50">
    <cfRule type="cellIs" priority="3" operator="lessThan" dxfId="0">
      <formula>1</formula>
    </cfRule>
  </conditionalFormatting>
  <conditionalFormatting sqref="B56">
    <cfRule type="cellIs" priority="2" operator="lessThan" dxfId="0">
      <formula>1</formula>
    </cfRule>
  </conditionalFormatting>
  <conditionalFormatting sqref="B57:B58">
    <cfRule type="cellIs" priority="9" operator="greaterThan" dxfId="0">
      <formula>22000</formula>
    </cfRule>
  </conditionalFormatting>
  <conditionalFormatting sqref="B61">
    <cfRule type="cellIs" priority="6" operator="lessThan" dxfId="0">
      <formula>1</formula>
    </cfRule>
  </conditionalFormatting>
  <conditionalFormatting sqref="B64">
    <cfRule type="cellIs" priority="5" operator="lessThan" dxfId="0">
      <formula>1</formula>
    </cfRule>
  </conditionalFormatting>
  <dataValidations count="2">
    <dataValidation sqref="N8" showDropDown="1" showInputMessage="1" showErrorMessage="1" allowBlank="1" errorTitle="Not feasible" error="Height can't be less than 175" type="decimal">
      <formula1>175</formula1>
      <formula2>1000</formula2>
    </dataValidation>
    <dataValidation sqref="E15:F16" showDropDown="0" showInputMessage="1" showErrorMessage="1" allowBlank="1" type="list">
      <formula1>"1,2"</formula1>
    </dataValidation>
  </dataValidations>
  <pageMargins left="0.7" right="0.7" top="0.75" bottom="0.75" header="0.3" footer="0.3"/>
  <pageSetup orientation="portrait"/>
  <drawing r:id="rId1"/>
</worksheet>
</file>

<file path=xl/worksheets/sheet26.xml><?xml version="1.0" encoding="utf-8"?>
<worksheet xmlns:r="http://schemas.openxmlformats.org/officeDocument/2006/relationships" xmlns="http://schemas.openxmlformats.org/spreadsheetml/2006/main">
  <sheetPr codeName="Sheet27">
    <tabColor rgb="FF00B0F0"/>
    <outlinePr summaryBelow="1" summaryRight="1"/>
    <pageSetUpPr fitToPage="1"/>
  </sheetPr>
  <dimension ref="A1:O69"/>
  <sheetViews>
    <sheetView showGridLines="0" zoomScale="85" zoomScaleNormal="85" workbookViewId="0">
      <selection activeCell="C22" sqref="C22"/>
    </sheetView>
  </sheetViews>
  <sheetFormatPr baseColWidth="10" defaultColWidth="8.6640625" defaultRowHeight="15"/>
  <cols>
    <col width="56" customWidth="1" style="99" min="1" max="1"/>
    <col width="27" customWidth="1" style="99" min="2" max="2"/>
    <col width="22.33203125" customWidth="1" style="99" min="3" max="3"/>
    <col width="12.1640625" bestFit="1" customWidth="1" style="99" min="4" max="4"/>
    <col width="8.6640625" customWidth="1" style="99" min="5" max="6"/>
    <col width="40.6640625" bestFit="1" customWidth="1" style="99" min="7" max="7"/>
    <col width="17" customWidth="1" style="99" min="8" max="9"/>
    <col width="8.6640625" customWidth="1" style="99" min="10" max="10"/>
    <col width="22" customWidth="1" style="99" min="11" max="11"/>
    <col width="56.83203125" customWidth="1" style="99" min="12" max="12"/>
    <col width="14.1640625" bestFit="1" customWidth="1" style="99" min="13" max="13"/>
    <col width="14" bestFit="1" customWidth="1" style="99" min="14" max="14"/>
    <col width="13.33203125" customWidth="1" style="99" min="15" max="15"/>
    <col width="8.6640625" customWidth="1" style="99" min="16" max="16"/>
    <col width="8.6640625" customWidth="1" style="99" min="17" max="16384"/>
  </cols>
  <sheetData>
    <row r="1" ht="47" customHeight="1" s="516">
      <c r="A1" s="406" t="inlineStr">
        <is>
          <t>Medius</t>
        </is>
      </c>
      <c r="B1" s="1">
        <f>'Master List'!$F$2</f>
        <v/>
      </c>
      <c r="C1" s="77" t="inlineStr">
        <is>
          <t>Utilization</t>
        </is>
      </c>
      <c r="D1" s="77">
        <f>'Medius TP'!X6</f>
        <v/>
      </c>
    </row>
    <row r="2">
      <c r="A2" s="180" t="inlineStr">
        <is>
          <t>Project name</t>
        </is>
      </c>
      <c r="B2" s="181" t="n"/>
    </row>
    <row r="3" ht="16" customHeight="1" s="516">
      <c r="A3" s="180" t="inlineStr">
        <is>
          <t>Revision</t>
        </is>
      </c>
      <c r="B3" s="181" t="n"/>
      <c r="G3" s="356" t="inlineStr">
        <is>
          <t>Output</t>
        </is>
      </c>
      <c r="H3" s="343" t="n"/>
      <c r="I3" s="343" t="n"/>
      <c r="J3" s="343" t="n"/>
      <c r="K3" s="343" t="n"/>
      <c r="L3" s="343" t="n"/>
      <c r="M3" s="343" t="n"/>
      <c r="N3" s="343" t="n"/>
      <c r="O3" s="343" t="n"/>
    </row>
    <row r="4" ht="16" customHeight="1" s="516">
      <c r="A4" s="356" t="inlineStr">
        <is>
          <t>Input</t>
        </is>
      </c>
    </row>
    <row r="5" ht="17" customHeight="1" s="516" thickBot="1">
      <c r="A5" s="342" t="inlineStr">
        <is>
          <t>Throughput requirement</t>
        </is>
      </c>
      <c r="G5" s="342" t="inlineStr">
        <is>
          <t>Output  based on throughput requirement</t>
        </is>
      </c>
      <c r="H5" s="341" t="inlineStr">
        <is>
          <t>Std Cycle</t>
        </is>
      </c>
      <c r="I5" s="341" t="inlineStr">
        <is>
          <t>Reshuffling cycle</t>
        </is>
      </c>
      <c r="K5" s="342" t="inlineStr">
        <is>
          <t>Tentative BOM (Excluding controls)</t>
        </is>
      </c>
      <c r="L5" s="342" t="n"/>
      <c r="M5" s="342" t="n"/>
      <c r="N5" s="342" t="n"/>
      <c r="O5" s="342" t="n"/>
    </row>
    <row r="6">
      <c r="A6" s="346" t="inlineStr">
        <is>
          <t>Input</t>
        </is>
      </c>
      <c r="B6" s="347" t="inlineStr">
        <is>
          <t>Qty</t>
        </is>
      </c>
      <c r="C6" s="346" t="inlineStr">
        <is>
          <t>Cycles</t>
        </is>
      </c>
      <c r="D6" s="352" t="inlineStr">
        <is>
          <t>Totes per Hr</t>
        </is>
      </c>
      <c r="E6" s="347" t="inlineStr">
        <is>
          <t>%</t>
        </is>
      </c>
      <c r="G6" s="361" t="inlineStr">
        <is>
          <t>Cycles/ Hr</t>
        </is>
      </c>
      <c r="H6" s="362">
        <f>'Medius TP'!B7</f>
        <v/>
      </c>
      <c r="I6" s="362">
        <f>'Medius TP'!C7</f>
        <v/>
      </c>
      <c r="K6" s="372" t="inlineStr">
        <is>
          <t>Main Product</t>
        </is>
      </c>
      <c r="L6" s="372" t="inlineStr">
        <is>
          <t>Sub Product</t>
        </is>
      </c>
      <c r="M6" s="372" t="inlineStr">
        <is>
          <t>Mfg/ Boughtout</t>
        </is>
      </c>
      <c r="N6" s="372" t="inlineStr">
        <is>
          <t>UOM</t>
        </is>
      </c>
      <c r="O6" s="372" t="inlineStr">
        <is>
          <t>QTY</t>
        </is>
      </c>
    </row>
    <row r="7">
      <c r="A7" s="348" t="inlineStr">
        <is>
          <t>Inbound totes per hr</t>
        </is>
      </c>
      <c r="B7" s="349" t="n">
        <v>350</v>
      </c>
      <c r="C7" s="348" t="inlineStr">
        <is>
          <t>Totes in combined cycle</t>
        </is>
      </c>
      <c r="D7" s="39">
        <f>MIN(B7:B8)*2</f>
        <v/>
      </c>
      <c r="E7" s="353">
        <f>D7/SUM($D$7:$D$8)</f>
        <v/>
      </c>
      <c r="G7" s="348" t="inlineStr">
        <is>
          <t>Totes/ Hr</t>
        </is>
      </c>
      <c r="H7" s="357">
        <f>'Medius TP'!B8</f>
        <v/>
      </c>
      <c r="I7" s="357">
        <f>'Medius TP'!C8</f>
        <v/>
      </c>
      <c r="K7" s="568" t="inlineStr">
        <is>
          <t>Carton_Shuttle</t>
        </is>
      </c>
      <c r="L7" s="378" t="inlineStr">
        <is>
          <t>Shuttle - Medius 2 Way</t>
        </is>
      </c>
      <c r="M7" s="378" t="inlineStr">
        <is>
          <t>India Mfg</t>
        </is>
      </c>
      <c r="N7" s="378" t="inlineStr">
        <is>
          <t>Number</t>
        </is>
      </c>
      <c r="O7" s="568">
        <f>MAX(H9,(ROUNDUP(H22/MAX(A14:A25),0)*H21))</f>
        <v/>
      </c>
    </row>
    <row r="8" ht="16" customHeight="1" s="516" thickBot="1">
      <c r="A8" s="348" t="inlineStr">
        <is>
          <t>Outbound totes per hr</t>
        </is>
      </c>
      <c r="B8" s="349" t="n">
        <v>300</v>
      </c>
      <c r="C8" s="350" t="inlineStr">
        <is>
          <t>Totes in single cycle</t>
        </is>
      </c>
      <c r="D8" s="354">
        <f>MAX(B7:B8)-MIN(B7:B8)</f>
        <v/>
      </c>
      <c r="E8" s="355">
        <f>D8/SUM($D$7:$D$8)</f>
        <v/>
      </c>
      <c r="G8" s="473" t="inlineStr">
        <is>
          <t>Medius required</t>
        </is>
      </c>
      <c r="H8" s="472">
        <f>'Medius TP'!B9</f>
        <v/>
      </c>
      <c r="I8" s="472">
        <f>'Medius TP'!C9</f>
        <v/>
      </c>
      <c r="K8" s="568" t="inlineStr">
        <is>
          <t>Carton_Shuttle</t>
        </is>
      </c>
      <c r="L8" s="378" t="inlineStr">
        <is>
          <t>Aisle Equipment - Quardon 2 Way</t>
        </is>
      </c>
      <c r="M8" s="378" t="inlineStr">
        <is>
          <t>Bought Out</t>
        </is>
      </c>
      <c r="N8" s="378" t="inlineStr">
        <is>
          <t>Mtr</t>
        </is>
      </c>
      <c r="O8" s="568">
        <f>O7*(B9+H32)</f>
        <v/>
      </c>
    </row>
    <row r="9" ht="16" customHeight="1" s="516" thickBot="1">
      <c r="A9" s="350" t="inlineStr">
        <is>
          <t>Aisle length max M</t>
        </is>
      </c>
      <c r="B9" s="366" t="n">
        <v>100</v>
      </c>
      <c r="C9" s="99" t="inlineStr">
        <is>
          <t>Max length travelled by medius in a level in meters</t>
        </is>
      </c>
      <c r="G9" s="361" t="inlineStr">
        <is>
          <t>Total Quadrons required (Roundup)</t>
        </is>
      </c>
      <c r="H9" s="573">
        <f>ROUNDUP(SUM(H8:I8),0)</f>
        <v/>
      </c>
      <c r="I9" s="572" t="n"/>
      <c r="K9" s="568" t="inlineStr">
        <is>
          <t>Carton_Shuttle</t>
        </is>
      </c>
      <c r="L9" s="378" t="inlineStr">
        <is>
          <t>Lift 12 High - two Crates - Quardon 2 Way</t>
        </is>
      </c>
      <c r="M9" s="378" t="inlineStr">
        <is>
          <t>Bought Out</t>
        </is>
      </c>
      <c r="N9" s="378" t="inlineStr">
        <is>
          <t>Number</t>
        </is>
      </c>
      <c r="O9" s="364">
        <f>IF(B24&lt;=16,SUM(H23:H24),0)</f>
        <v/>
      </c>
    </row>
    <row r="10" ht="16" customHeight="1" s="516" thickBot="1">
      <c r="G10" s="350" t="inlineStr">
        <is>
          <t>Effective totes or cartons per Hr per Quadron</t>
        </is>
      </c>
      <c r="H10" s="569">
        <f>SUM(B7:B8)/H9</f>
        <v/>
      </c>
      <c r="I10" s="570" t="n"/>
      <c r="K10" s="568" t="inlineStr">
        <is>
          <t>Carton_Shuttle</t>
        </is>
      </c>
      <c r="L10" s="378" t="inlineStr">
        <is>
          <t>Lift 16 High - two Crates - Quardon 2 Way</t>
        </is>
      </c>
      <c r="M10" s="378" t="inlineStr">
        <is>
          <t>Bought Out</t>
        </is>
      </c>
      <c r="N10" s="378" t="inlineStr">
        <is>
          <t>Number</t>
        </is>
      </c>
      <c r="O10" s="364">
        <f>IF(B24&gt;12,SUM(H23:H24),0)</f>
        <v/>
      </c>
    </row>
    <row r="11" ht="16" customHeight="1" s="516" thickBot="1">
      <c r="A11" s="373" t="inlineStr">
        <is>
          <t>Location height M</t>
        </is>
      </c>
      <c r="B11" s="374" t="n">
        <v>0.6</v>
      </c>
      <c r="K11" s="568" t="inlineStr">
        <is>
          <t>Carton_Shuttle</t>
        </is>
      </c>
      <c r="L11" s="378" t="inlineStr">
        <is>
          <t>Buffer Conveyer (per aisle Per level)- 2 Way</t>
        </is>
      </c>
      <c r="M11" s="378" t="inlineStr">
        <is>
          <t>India Mfg</t>
        </is>
      </c>
      <c r="N11" s="378" t="inlineStr">
        <is>
          <t>No of aisle</t>
        </is>
      </c>
      <c r="O11" s="364">
        <f>O7*H31</f>
        <v/>
      </c>
    </row>
    <row r="12" ht="17" customHeight="1" s="516" thickBot="1">
      <c r="G12" s="342" t="inlineStr">
        <is>
          <t>Output  based on Storage requirement</t>
        </is>
      </c>
      <c r="K12" s="568" t="inlineStr">
        <is>
          <t>Carton_Shuttle</t>
        </is>
      </c>
      <c r="L12" s="378" t="inlineStr">
        <is>
          <t>Racks - Quardon 2 Way</t>
        </is>
      </c>
      <c r="M12" s="378" t="inlineStr">
        <is>
          <t>Bought Out</t>
        </is>
      </c>
      <c r="N12" s="378" t="inlineStr">
        <is>
          <t>No of bin position</t>
        </is>
      </c>
      <c r="O12" s="568">
        <f>H13</f>
        <v/>
      </c>
    </row>
    <row r="13">
      <c r="A13" s="375">
        <f>'Medius TP'!A27</f>
        <v/>
      </c>
      <c r="G13" s="361" t="inlineStr">
        <is>
          <t>Max totes that can be stored</t>
        </is>
      </c>
      <c r="H13" s="363">
        <f>'Medius Area'!B3</f>
        <v/>
      </c>
      <c r="K13" s="568" t="inlineStr">
        <is>
          <t>Fence</t>
        </is>
      </c>
      <c r="L13" s="378" t="inlineStr">
        <is>
          <t>Fence for medius system</t>
        </is>
      </c>
      <c r="M13" s="568" t="inlineStr">
        <is>
          <t>Bought Out</t>
        </is>
      </c>
      <c r="N13" s="568" t="inlineStr">
        <is>
          <t>Mtr</t>
        </is>
      </c>
      <c r="O13" s="364">
        <f>((B19+B19+(B45-H16)+(B44-H16)))*1.2</f>
        <v/>
      </c>
    </row>
    <row r="14">
      <c r="A14" s="376" t="n">
        <v>1</v>
      </c>
      <c r="G14" s="348" t="inlineStr">
        <is>
          <t>Remaining area m^2</t>
        </is>
      </c>
      <c r="H14" s="359">
        <f>'Medius Area'!B4</f>
        <v/>
      </c>
      <c r="K14" s="568" t="inlineStr">
        <is>
          <t>Safety doors</t>
        </is>
      </c>
      <c r="L14" s="378" t="inlineStr">
        <is>
          <t>Safety doors for medius</t>
        </is>
      </c>
      <c r="M14" s="568" t="inlineStr">
        <is>
          <t>Bought Out</t>
        </is>
      </c>
      <c r="N14" s="568" t="inlineStr">
        <is>
          <t>Number</t>
        </is>
      </c>
      <c r="O14" s="364">
        <f>O7</f>
        <v/>
      </c>
    </row>
    <row r="15">
      <c r="A15" s="376" t="n">
        <v>2</v>
      </c>
      <c r="G15" s="348" t="inlineStr">
        <is>
          <t>Length of remaining area M</t>
        </is>
      </c>
      <c r="H15" s="360">
        <f>'Medius Area'!B5</f>
        <v/>
      </c>
      <c r="I15" s="470" t="n"/>
      <c r="K15" s="340" t="inlineStr">
        <is>
          <t>ROLLER_CONVEYOR</t>
        </is>
      </c>
      <c r="L15" s="378" t="inlineStr">
        <is>
          <t>ACCUMULATION - BF-660mm Zone Length 900 MM</t>
        </is>
      </c>
      <c r="M15" s="338" t="inlineStr">
        <is>
          <t>India Mfg</t>
        </is>
      </c>
      <c r="N15" s="340" t="inlineStr">
        <is>
          <t>Mtr</t>
        </is>
      </c>
      <c r="O15" s="364">
        <f>H28*H29*O9</f>
        <v/>
      </c>
    </row>
    <row r="16">
      <c r="A16" s="376" t="n">
        <v>3</v>
      </c>
      <c r="G16" s="348" t="inlineStr">
        <is>
          <t>Width of remaining area M</t>
        </is>
      </c>
      <c r="H16" s="483">
        <f>'Medius Area'!B6</f>
        <v/>
      </c>
      <c r="I16" s="470" t="n"/>
      <c r="K16" s="340" t="inlineStr">
        <is>
          <t>POP_UP_Divertor</t>
        </is>
      </c>
      <c r="L16" s="378" t="inlineStr">
        <is>
          <t>Itoh Denki Case pop-up: Type B (460MM) - F-RAT</t>
        </is>
      </c>
      <c r="M16" s="340" t="inlineStr">
        <is>
          <t>Bought Out</t>
        </is>
      </c>
      <c r="N16" s="338" t="inlineStr">
        <is>
          <t>Number</t>
        </is>
      </c>
      <c r="O16" s="364">
        <f>O9</f>
        <v/>
      </c>
    </row>
    <row r="17">
      <c r="A17" s="376" t="n">
        <v>4</v>
      </c>
      <c r="G17" s="348" t="inlineStr">
        <is>
          <t>Inbound Lift utilization</t>
        </is>
      </c>
      <c r="H17" s="368">
        <f>'Medius Area'!E25</f>
        <v/>
      </c>
      <c r="I17" s="478" t="n"/>
    </row>
    <row r="18">
      <c r="A18" s="376" t="n">
        <v>0</v>
      </c>
      <c r="G18" s="348" t="inlineStr">
        <is>
          <t>Outbound Lift utilization</t>
        </is>
      </c>
      <c r="H18" s="368">
        <f>'Medius Area'!E26</f>
        <v/>
      </c>
      <c r="I18" s="478" t="n"/>
      <c r="K18" s="82" t="inlineStr">
        <is>
          <t>Calculations and outcomes of this sheet are valid for following conditions</t>
        </is>
      </c>
    </row>
    <row r="19">
      <c r="A19" s="376" t="n">
        <v>0</v>
      </c>
      <c r="G19" s="348" t="inlineStr">
        <is>
          <t>No. of carton shuttle tracks</t>
        </is>
      </c>
      <c r="H19" s="369">
        <f>'Medius Area'!E27</f>
        <v/>
      </c>
      <c r="I19" s="479" t="n"/>
      <c r="K19" s="568" t="n">
        <v>1</v>
      </c>
      <c r="L19" s="568" t="inlineStr">
        <is>
          <t>Tote weight dosent exceeds 30 KG</t>
        </is>
      </c>
      <c r="M19" s="552" t="n"/>
      <c r="N19" s="552" t="n"/>
      <c r="O19" s="553" t="n"/>
    </row>
    <row r="20">
      <c r="A20" s="376" t="n">
        <v>0</v>
      </c>
      <c r="G20" s="348" t="inlineStr">
        <is>
          <t>No. of bays per track on one side</t>
        </is>
      </c>
      <c r="H20" s="369">
        <f>'Medius Area'!E28</f>
        <v/>
      </c>
      <c r="I20" s="479" t="n"/>
      <c r="K20" s="568" t="n">
        <v>2</v>
      </c>
      <c r="L20" s="568" t="inlineStr">
        <is>
          <t>Storage system dimensions are for symmetrical rectangular layouts without pick tunnel</t>
        </is>
      </c>
      <c r="M20" s="552" t="n"/>
      <c r="N20" s="552" t="n"/>
      <c r="O20" s="553" t="n"/>
    </row>
    <row r="21">
      <c r="A21" s="376" t="n">
        <v>0</v>
      </c>
      <c r="G21" s="348" t="inlineStr">
        <is>
          <t>No. of tracks required by throughput</t>
        </is>
      </c>
      <c r="H21" s="370">
        <f>'Medius Area'!E29</f>
        <v/>
      </c>
      <c r="I21" s="479" t="n"/>
      <c r="K21" s="568" t="n">
        <v>3</v>
      </c>
      <c r="L21" s="568" t="inlineStr">
        <is>
          <t>Picking through GTP stations are not required</t>
        </is>
      </c>
      <c r="M21" s="552" t="n"/>
      <c r="N21" s="552" t="n"/>
      <c r="O21" s="553" t="n"/>
    </row>
    <row r="22">
      <c r="A22" s="376" t="n">
        <v>0</v>
      </c>
      <c r="G22" s="348" t="inlineStr">
        <is>
          <t>Levels in storage</t>
        </is>
      </c>
      <c r="H22" s="370">
        <f>'Medius Area'!E30</f>
        <v/>
      </c>
      <c r="I22" s="479" t="n"/>
      <c r="K22" s="568" t="n">
        <v>4</v>
      </c>
      <c r="L22" s="568" t="inlineStr">
        <is>
          <t>Only storage and retrival of full totes considered in system</t>
        </is>
      </c>
      <c r="M22" s="552" t="n"/>
      <c r="N22" s="552" t="n"/>
      <c r="O22" s="553" t="n"/>
    </row>
    <row r="23">
      <c r="A23" s="376" t="n">
        <v>0</v>
      </c>
      <c r="G23" s="348" t="inlineStr">
        <is>
          <t># lifts required for In (per track)</t>
        </is>
      </c>
      <c r="H23" s="370">
        <f>ROUNDUP(B7/B53,0)</f>
        <v/>
      </c>
      <c r="I23" s="479" t="n"/>
      <c r="K23" s="568" t="n">
        <v>5</v>
      </c>
      <c r="L23" s="568" t="inlineStr">
        <is>
          <t>Only one size of tote is handled</t>
        </is>
      </c>
      <c r="M23" s="552" t="n"/>
      <c r="N23" s="552" t="n"/>
      <c r="O23" s="553" t="n"/>
    </row>
    <row r="24" ht="16" customHeight="1" s="516" thickBot="1">
      <c r="A24" s="376" t="n">
        <v>0</v>
      </c>
      <c r="G24" s="350" t="inlineStr">
        <is>
          <t># lifts required for Out (per track)</t>
        </is>
      </c>
      <c r="H24" s="371">
        <f>ROUNDUP(B8/B53,0)</f>
        <v/>
      </c>
      <c r="I24" s="479" t="n"/>
      <c r="K24" s="482" t="n">
        <v>6</v>
      </c>
      <c r="L24" s="568" t="inlineStr">
        <is>
          <t>Number of aisles in Quadron storage are defined by storage, but number of Quadrons and aisle equipment are defined by throughput</t>
        </is>
      </c>
      <c r="M24" s="552" t="n"/>
      <c r="N24" s="552" t="n"/>
      <c r="O24" s="553" t="n"/>
    </row>
    <row r="25" ht="16" customHeight="1" s="516" thickBot="1">
      <c r="A25" s="377" t="n">
        <v>0</v>
      </c>
    </row>
    <row r="26" ht="16" customHeight="1" s="516" thickBot="1"/>
    <row r="27" ht="19" customHeight="1" s="516">
      <c r="A27" s="571" t="inlineStr">
        <is>
          <t>Reshuffling parameters</t>
        </is>
      </c>
      <c r="B27" s="572" t="n"/>
      <c r="G27" s="341" t="inlineStr">
        <is>
          <t>Additional considerations in BOM</t>
        </is>
      </c>
    </row>
    <row r="28">
      <c r="A28" s="475" t="inlineStr">
        <is>
          <t>Reshuffling required?</t>
        </is>
      </c>
      <c r="B28" s="476" t="inlineStr">
        <is>
          <t>Yes</t>
        </is>
      </c>
      <c r="G28" s="568" t="inlineStr">
        <is>
          <t>Infeed and Outfeed conveyor per aisle to carton lift in M</t>
        </is>
      </c>
      <c r="H28" s="364" t="n">
        <v>2.4</v>
      </c>
      <c r="I28" s="471" t="n"/>
    </row>
    <row r="29">
      <c r="A29" s="269" t="inlineStr">
        <is>
          <t>Tote or carton posns in depth</t>
        </is>
      </c>
      <c r="B29" s="286" t="n">
        <v>4</v>
      </c>
      <c r="C29" t="inlineStr">
        <is>
          <t>To be less than 10</t>
        </is>
      </c>
      <c r="G29" s="568" t="inlineStr">
        <is>
          <t>Infeed and Outfeed conveyor per aisle to carton lift in count</t>
        </is>
      </c>
      <c r="H29" s="568" t="n">
        <v>2</v>
      </c>
      <c r="I29" s="480" t="n"/>
    </row>
    <row r="30">
      <c r="A30" s="460" t="inlineStr">
        <is>
          <t>SKUs per lane</t>
        </is>
      </c>
      <c r="B30" s="461" t="n">
        <v>3</v>
      </c>
      <c r="C30" s="99">
        <f>IF(B30&gt;B29,"SKUs per lane should be less than pallet posns in deep",)</f>
        <v/>
      </c>
      <c r="G30" s="568" t="inlineStr">
        <is>
          <t>Popups per aisle</t>
        </is>
      </c>
      <c r="H30" s="568" t="n">
        <v>2</v>
      </c>
      <c r="I30" s="480" t="n"/>
    </row>
    <row r="31">
      <c r="A31" s="348" t="inlineStr">
        <is>
          <t>% Outbound throughput that requires reshuffling</t>
        </is>
      </c>
      <c r="B31" s="474">
        <f>100%</f>
        <v/>
      </c>
      <c r="G31" s="568" t="inlineStr">
        <is>
          <t>Buffer conveyors per level in count</t>
        </is>
      </c>
      <c r="H31" s="568" t="n">
        <v>2</v>
      </c>
      <c r="I31" s="480" t="n"/>
    </row>
    <row r="32">
      <c r="A32" s="348" t="inlineStr">
        <is>
          <t>Totes or cartons per SKU per lane</t>
        </is>
      </c>
      <c r="B32" s="357">
        <f>ROUNDUP(B29/B30,0)</f>
        <v/>
      </c>
      <c r="G32" s="568" t="inlineStr">
        <is>
          <t>Additional busbar per track</t>
        </is>
      </c>
      <c r="H32" s="364" t="n">
        <v>1.4</v>
      </c>
      <c r="I32" s="471" t="n"/>
    </row>
    <row r="33">
      <c r="A33" s="348" t="inlineStr">
        <is>
          <t>Throughput % per SKU</t>
        </is>
      </c>
      <c r="B33" s="353">
        <f>B32/B29</f>
        <v/>
      </c>
    </row>
    <row r="34" ht="16" customHeight="1" s="516" thickBot="1">
      <c r="A34" s="462" t="inlineStr">
        <is>
          <t>Total totes or cartons to reshuffle</t>
        </is>
      </c>
      <c r="B34" s="463">
        <f>F61</f>
        <v/>
      </c>
    </row>
    <row r="36" ht="17" customHeight="1" s="516" thickBot="1">
      <c r="A36" s="342" t="inlineStr">
        <is>
          <t>Storage requirement</t>
        </is>
      </c>
      <c r="C36" s="99" t="inlineStr">
        <is>
          <t>Input values either in metrics or imperial only</t>
        </is>
      </c>
    </row>
    <row r="37">
      <c r="A37" s="261" t="inlineStr">
        <is>
          <t>Tote inputs</t>
        </is>
      </c>
      <c r="B37" s="262" t="inlineStr">
        <is>
          <t>Value</t>
        </is>
      </c>
      <c r="C37" s="263" t="inlineStr">
        <is>
          <t>UOM</t>
        </is>
      </c>
      <c r="D37" s="264" t="inlineStr">
        <is>
          <t>Value</t>
        </is>
      </c>
      <c r="E37" s="265" t="inlineStr">
        <is>
          <t>UOM</t>
        </is>
      </c>
    </row>
    <row r="38">
      <c r="A38" s="269" t="inlineStr">
        <is>
          <t>Tote depth (in the forking direction)</t>
        </is>
      </c>
      <c r="B38" s="277" t="n">
        <v>600</v>
      </c>
      <c r="C38" s="271" t="inlineStr">
        <is>
          <t>mm</t>
        </is>
      </c>
      <c r="D38" s="272" t="n">
        <v>0</v>
      </c>
      <c r="E38" s="273" t="inlineStr">
        <is>
          <t>Ft</t>
        </is>
      </c>
    </row>
    <row r="39">
      <c r="A39" s="269" t="inlineStr">
        <is>
          <t>Tote width (in the crane travel direction)</t>
        </is>
      </c>
      <c r="B39" s="277" t="n">
        <v>400</v>
      </c>
      <c r="C39" s="271" t="inlineStr">
        <is>
          <t>mm</t>
        </is>
      </c>
      <c r="D39" s="272" t="n">
        <v>0</v>
      </c>
      <c r="E39" s="273" t="inlineStr">
        <is>
          <t>Ft</t>
        </is>
      </c>
      <c r="F39" s="258" t="n"/>
    </row>
    <row r="40" ht="16" customHeight="1" s="516" thickBot="1">
      <c r="A40" s="278" t="inlineStr">
        <is>
          <t>Tote height</t>
        </is>
      </c>
      <c r="B40" s="344" t="n">
        <v>400</v>
      </c>
      <c r="C40" s="279" t="inlineStr">
        <is>
          <t>mm</t>
        </is>
      </c>
      <c r="D40" s="280" t="n">
        <v>0</v>
      </c>
      <c r="E40" s="281" t="inlineStr">
        <is>
          <t>Ft</t>
        </is>
      </c>
      <c r="F40" s="258" t="n"/>
    </row>
    <row r="41" ht="16" customHeight="1" s="516" thickBot="1"/>
    <row r="42">
      <c r="A42" s="261" t="inlineStr">
        <is>
          <t>Field Inputs</t>
        </is>
      </c>
      <c r="B42" s="262" t="inlineStr">
        <is>
          <t>Value</t>
        </is>
      </c>
      <c r="C42" s="263" t="inlineStr">
        <is>
          <t>UOM</t>
        </is>
      </c>
      <c r="D42" s="264" t="inlineStr">
        <is>
          <t>Value</t>
        </is>
      </c>
      <c r="E42" s="265" t="inlineStr">
        <is>
          <t>UOM</t>
        </is>
      </c>
      <c r="F42" s="396" t="n"/>
    </row>
    <row r="43">
      <c r="A43" s="269" t="inlineStr">
        <is>
          <t>Clear height (After Lightings, sprinklers etc.)</t>
        </is>
      </c>
      <c r="B43" s="277" t="n">
        <v>15</v>
      </c>
      <c r="C43" s="271" t="inlineStr">
        <is>
          <t>M</t>
        </is>
      </c>
      <c r="D43" s="272" t="n">
        <v>0</v>
      </c>
      <c r="E43" s="273" t="inlineStr">
        <is>
          <t>Ft</t>
        </is>
      </c>
      <c r="F43" s="258" t="n"/>
    </row>
    <row r="44">
      <c r="A44" s="269" t="inlineStr">
        <is>
          <t>Length mm</t>
        </is>
      </c>
      <c r="B44" s="277" t="n">
        <v>50</v>
      </c>
      <c r="C44" s="271" t="inlineStr">
        <is>
          <t>M</t>
        </is>
      </c>
      <c r="D44" s="272" t="n">
        <v>0</v>
      </c>
      <c r="E44" s="273" t="inlineStr">
        <is>
          <t>Ft</t>
        </is>
      </c>
      <c r="F44" s="258" t="n"/>
    </row>
    <row r="45" ht="16" customHeight="1" s="516" thickBot="1">
      <c r="A45" s="278" t="inlineStr">
        <is>
          <t>Width mm</t>
        </is>
      </c>
      <c r="B45" s="344" t="n">
        <v>41</v>
      </c>
      <c r="C45" s="279" t="inlineStr">
        <is>
          <t>M</t>
        </is>
      </c>
      <c r="D45" s="280" t="n">
        <v>0</v>
      </c>
      <c r="E45" s="281" t="inlineStr">
        <is>
          <t>Ft</t>
        </is>
      </c>
      <c r="F45" s="258" t="n"/>
    </row>
    <row r="46" ht="16" customHeight="1" s="516" thickBot="1"/>
    <row r="47">
      <c r="A47" s="261" t="inlineStr">
        <is>
          <t>Configuration Inputs</t>
        </is>
      </c>
      <c r="B47" s="263" t="inlineStr">
        <is>
          <t>Value</t>
        </is>
      </c>
      <c r="C47" s="265" t="inlineStr">
        <is>
          <t>UOM</t>
        </is>
      </c>
      <c r="E47" s="258" t="n"/>
      <c r="F47" s="258" t="n"/>
    </row>
    <row r="48">
      <c r="A48" s="269" t="inlineStr">
        <is>
          <t>Deep on the left side of track</t>
        </is>
      </c>
      <c r="B48" s="324" t="n">
        <v>2</v>
      </c>
      <c r="C48" s="273" t="inlineStr">
        <is>
          <t>Nos</t>
        </is>
      </c>
      <c r="E48" s="258" t="n"/>
      <c r="F48" s="258" t="n"/>
    </row>
    <row r="49">
      <c r="A49" s="269" t="inlineStr">
        <is>
          <t>Deep on the right side of track</t>
        </is>
      </c>
      <c r="B49" s="324" t="n">
        <v>2</v>
      </c>
      <c r="C49" s="273" t="inlineStr">
        <is>
          <t>Nos</t>
        </is>
      </c>
      <c r="E49" s="258" t="n"/>
      <c r="F49" s="258" t="n"/>
    </row>
    <row r="50" ht="16" customHeight="1" s="516" thickBot="1">
      <c r="A50" s="278" t="inlineStr">
        <is>
          <t>Number of totes in one bay one level</t>
        </is>
      </c>
      <c r="B50" s="326" t="n">
        <v>5</v>
      </c>
      <c r="C50" s="281" t="inlineStr">
        <is>
          <t>Nos</t>
        </is>
      </c>
      <c r="E50" s="258" t="n"/>
      <c r="F50" s="258" t="n"/>
    </row>
    <row r="51" ht="16" customHeight="1" s="516" thickBot="1">
      <c r="D51" s="258" t="n"/>
      <c r="E51" s="258" t="n"/>
      <c r="F51" s="258" t="n"/>
    </row>
    <row r="52" ht="16" customHeight="1" s="516" thickBot="1">
      <c r="A52" s="261" t="inlineStr">
        <is>
          <t xml:space="preserve">Throughput </t>
        </is>
      </c>
      <c r="B52" s="263" t="inlineStr">
        <is>
          <t>Value</t>
        </is>
      </c>
      <c r="C52" s="265" t="inlineStr">
        <is>
          <t>UOM</t>
        </is>
      </c>
    </row>
    <row r="53" ht="17" customHeight="1" s="516" thickBot="1">
      <c r="A53" s="325" t="inlineStr">
        <is>
          <t>Max Lift productivity (Totes per Hr) After all utilizations</t>
        </is>
      </c>
      <c r="B53" s="331" t="n">
        <v>350</v>
      </c>
      <c r="C53" s="574">
        <f>'Quadron Area'!F22</f>
        <v/>
      </c>
      <c r="D53" s="575" t="n"/>
      <c r="E53" s="576" t="n"/>
    </row>
    <row r="58">
      <c r="A58" s="477" t="inlineStr">
        <is>
          <t>Calculations for reshuffling throughput</t>
        </is>
      </c>
      <c r="F58" s="341" t="n"/>
    </row>
    <row r="59" ht="96" customHeight="1" s="516">
      <c r="A59" s="464" t="inlineStr">
        <is>
          <t>Depth</t>
        </is>
      </c>
      <c r="B59" s="464" t="inlineStr">
        <is>
          <t>Factor</t>
        </is>
      </c>
      <c r="C59" s="464" t="inlineStr">
        <is>
          <t>% Picks</t>
        </is>
      </c>
      <c r="D59" s="464" t="inlineStr">
        <is>
          <t>Throughput split</t>
        </is>
      </c>
      <c r="E59" s="464" t="inlineStr">
        <is>
          <t>Totes or cartons reshuffled to pick req Tote or carton</t>
        </is>
      </c>
      <c r="F59" s="464" t="inlineStr">
        <is>
          <t>Total totes or cartons to reshuffle</t>
        </is>
      </c>
    </row>
    <row r="60">
      <c r="A60" s="39" t="n">
        <v>1</v>
      </c>
      <c r="B60" s="39">
        <f>IF(IF(A60&lt;=$B$30,A60,0)-1&lt;0,0,IF(A60&lt;=$B$30,A60,0)-1)</f>
        <v/>
      </c>
      <c r="C60" s="77">
        <f>1/(COUNTIF($B$60:$B$69,"&gt;="&amp;1)+1)</f>
        <v/>
      </c>
      <c r="D60" s="39">
        <f>C60*$B$31*$B$8</f>
        <v/>
      </c>
      <c r="E60" s="39">
        <f>B60*$B$32</f>
        <v/>
      </c>
      <c r="F60" s="39">
        <f>E60*D60</f>
        <v/>
      </c>
    </row>
    <row r="61">
      <c r="A61" s="39" t="n">
        <v>2</v>
      </c>
      <c r="B61" s="39">
        <f>IF(IF(A61&lt;=$B$30,A61,0)-1&lt;0,0,IF(A61&lt;=$B$30,A61,0)-1)</f>
        <v/>
      </c>
      <c r="C61" s="77">
        <f>1/(COUNTIF($B$60:$B$69,"&gt;="&amp;1)+1)</f>
        <v/>
      </c>
      <c r="D61" s="39">
        <f>IF(B61=0,0,C61*$B$31*$B$8)</f>
        <v/>
      </c>
      <c r="E61" s="39">
        <f>B61*$B$32</f>
        <v/>
      </c>
      <c r="F61" s="39">
        <f>E61*D61</f>
        <v/>
      </c>
    </row>
    <row r="62">
      <c r="A62" s="39" t="n">
        <v>3</v>
      </c>
      <c r="B62" s="39">
        <f>IF(IF(A62&lt;=$B$30,A62,0)-1&lt;0,0,IF(A62&lt;=$B$30,A62,0)-1)</f>
        <v/>
      </c>
      <c r="C62" s="77">
        <f>1/(COUNTIF($B$60:$B$69,"&gt;="&amp;1)+1)</f>
        <v/>
      </c>
      <c r="D62" s="39">
        <f>IF(B62=0,0,C62*$B$31*$B$8)</f>
        <v/>
      </c>
      <c r="E62" s="39">
        <f>B62*$B$32</f>
        <v/>
      </c>
      <c r="F62" s="39">
        <f>E62*D62</f>
        <v/>
      </c>
    </row>
    <row r="63">
      <c r="A63" s="39" t="n">
        <v>4</v>
      </c>
      <c r="B63" s="39">
        <f>IF(IF(A63&lt;=$B$30,A63,0)-1&lt;0,0,IF(A63&lt;=$B$30,A63,0)-1)</f>
        <v/>
      </c>
      <c r="C63" s="77">
        <f>1/(COUNTIF($B$60:$B$69,"&gt;="&amp;1)+1)</f>
        <v/>
      </c>
      <c r="D63" s="39">
        <f>IF(B63=0,0,C63*$B$31*$B$8)</f>
        <v/>
      </c>
      <c r="E63" s="39">
        <f>B63*$B$32</f>
        <v/>
      </c>
      <c r="F63" s="39">
        <f>E63*D63</f>
        <v/>
      </c>
    </row>
    <row r="64">
      <c r="A64" s="39" t="n">
        <v>5</v>
      </c>
      <c r="B64" s="39">
        <f>IF(IF(A64&lt;=$B$30,A64,0)-1&lt;0,0,IF(A64&lt;=$B$30,A64,0)-1)</f>
        <v/>
      </c>
      <c r="C64" s="77">
        <f>1/(COUNTIF($B$60:$B$69,"&gt;="&amp;1)+1)</f>
        <v/>
      </c>
      <c r="D64" s="39">
        <f>IF(B64=0,0,C64*$B$31*$B$8)</f>
        <v/>
      </c>
      <c r="E64" s="39">
        <f>B64*$B$32</f>
        <v/>
      </c>
      <c r="F64" s="39">
        <f>E64*D64</f>
        <v/>
      </c>
    </row>
    <row r="65">
      <c r="A65" s="39" t="n">
        <v>6</v>
      </c>
      <c r="B65" s="39">
        <f>IF(IF(A65&lt;=$B$30,A65,0)-1&lt;0,0,IF(A65&lt;=$B$30,A65,0)-1)</f>
        <v/>
      </c>
      <c r="C65" s="77">
        <f>1/(COUNTIF($B$60:$B$69,"&gt;="&amp;1)+1)</f>
        <v/>
      </c>
      <c r="D65" s="39">
        <f>IF(B65=0,0,C65*$B$31*$B$8)</f>
        <v/>
      </c>
      <c r="E65" s="39">
        <f>B65*$B$32</f>
        <v/>
      </c>
      <c r="F65" s="39">
        <f>E65*D65</f>
        <v/>
      </c>
    </row>
    <row r="66">
      <c r="A66" s="39" t="n">
        <v>7</v>
      </c>
      <c r="B66" s="39">
        <f>IF(IF(A66&lt;=$B$30,A66,0)-1&lt;0,0,IF(A66&lt;=$B$30,A66,0)-1)</f>
        <v/>
      </c>
      <c r="C66" s="77">
        <f>1/(COUNTIF($B$60:$B$69,"&gt;="&amp;1)+1)</f>
        <v/>
      </c>
      <c r="D66" s="39">
        <f>IF(B66=0,0,C66*$B$31*$B$8)</f>
        <v/>
      </c>
      <c r="E66" s="39">
        <f>B66*$B$32</f>
        <v/>
      </c>
      <c r="F66" s="39">
        <f>E66*D66</f>
        <v/>
      </c>
    </row>
    <row r="67">
      <c r="A67" s="39" t="n">
        <v>8</v>
      </c>
      <c r="B67" s="39">
        <f>IF(IF(A67&lt;=$B$30,A67,0)-1&lt;0,0,IF(A67&lt;=$B$30,A67,0)-1)</f>
        <v/>
      </c>
      <c r="C67" s="77">
        <f>1/(COUNTIF($B$60:$B$69,"&gt;="&amp;1)+1)</f>
        <v/>
      </c>
      <c r="D67" s="39">
        <f>IF(B67=0,0,C67*$B$31*$B$8)</f>
        <v/>
      </c>
      <c r="E67" s="39">
        <f>B67*$B$32</f>
        <v/>
      </c>
      <c r="F67" s="39">
        <f>E67*D67</f>
        <v/>
      </c>
    </row>
    <row r="68">
      <c r="A68" s="39" t="n">
        <v>9</v>
      </c>
      <c r="B68" s="39">
        <f>IF(IF(A68&lt;=$B$30,A68,0)-1&lt;0,0,IF(A68&lt;=$B$30,A68,0)-1)</f>
        <v/>
      </c>
      <c r="C68" s="77">
        <f>1/(COUNTIF($B$60:$B$69,"&gt;="&amp;1)+1)</f>
        <v/>
      </c>
      <c r="D68" s="39">
        <f>IF(B68=0,0,C68*$B$31*$B$8)</f>
        <v/>
      </c>
      <c r="E68" s="39">
        <f>B68*$B$32</f>
        <v/>
      </c>
      <c r="F68" s="39">
        <f>E68*D68</f>
        <v/>
      </c>
    </row>
    <row r="69">
      <c r="A69" s="39" t="n">
        <v>10</v>
      </c>
      <c r="B69" s="39">
        <f>IF(IF(A69&lt;=$B$30,A69,0)-1&lt;0,0,IF(A69&lt;=$B$30,A69,0)-1)</f>
        <v/>
      </c>
      <c r="C69" s="77">
        <f>1/(COUNTIF($B$60:$B$69,"&gt;="&amp;1)+1)</f>
        <v/>
      </c>
      <c r="D69" s="39">
        <f>IF(B69=0,0,C69*$B$31*$B$8)</f>
        <v/>
      </c>
      <c r="E69" s="39">
        <f>B69*$B$32</f>
        <v/>
      </c>
      <c r="F69" s="39">
        <f>E69*D69</f>
        <v/>
      </c>
    </row>
  </sheetData>
  <sheetProtection selectLockedCells="0" selectUnlockedCells="0" algorithmName="SHA-512" sheet="1" objects="1" insertRows="1" insertHyperlinks="1" autoFilter="1" scenarios="1" formatColumns="1" deleteColumns="1" insertColumns="1" pivotTables="1" deleteRows="1" formatCells="1" saltValue="mYSjCIH5tBTl4ge95vdBwQ==" formatRows="1" sort="1" spinCount="100000" hashValue="f2YWTHwHDBdPCytL3J05hCb7T4fWwTtXx6aa4aPQ6sxznMdDZytViCTq3IkbpP3vrD5wPuzxqarJ0CsPELb6Wg=="/>
  <mergeCells count="10">
    <mergeCell ref="L19:O19"/>
    <mergeCell ref="L23:O23"/>
    <mergeCell ref="L22:O22"/>
    <mergeCell ref="C53:E53"/>
    <mergeCell ref="H10:I10"/>
    <mergeCell ref="L21:O21"/>
    <mergeCell ref="L20:O20"/>
    <mergeCell ref="L24:O24"/>
    <mergeCell ref="A27:B27"/>
    <mergeCell ref="H9:I9"/>
  </mergeCells>
  <conditionalFormatting sqref="B30">
    <cfRule type="cellIs" priority="1" operator="greaterThan" dxfId="0">
      <formula>$B$29</formula>
    </cfRule>
  </conditionalFormatting>
  <pageMargins left="0.7" right="0.7" top="0.75" bottom="0.75" header="0.3" footer="0.3"/>
  <pageSetup orientation="landscape" paperSize="9" scale="58"/>
  <drawing r:id="rId1"/>
</worksheet>
</file>

<file path=xl/worksheets/sheet27.xml><?xml version="1.0" encoding="utf-8"?>
<worksheet xmlns="http://schemas.openxmlformats.org/spreadsheetml/2006/main">
  <sheetPr codeName="Sheet28" filterMode="1">
    <outlinePr summaryBelow="1" summaryRight="1"/>
    <pageSetUpPr/>
  </sheetPr>
  <dimension ref="A1:E119"/>
  <sheetViews>
    <sheetView workbookViewId="0">
      <selection activeCell="C61" sqref="C61"/>
    </sheetView>
  </sheetViews>
  <sheetFormatPr baseColWidth="10" defaultColWidth="8.83203125" defaultRowHeight="15"/>
  <cols>
    <col width="6" bestFit="1" customWidth="1" style="516" min="1" max="1"/>
    <col width="20.83203125" bestFit="1" customWidth="1" style="516" min="2" max="2"/>
    <col width="40" bestFit="1" customWidth="1" style="516" min="3" max="3"/>
    <col width="13.6640625" bestFit="1" customWidth="1" style="516" min="4" max="4"/>
    <col width="14.1640625" bestFit="1" customWidth="1" style="516" min="5" max="5"/>
  </cols>
  <sheetData>
    <row r="1">
      <c r="A1" s="578" t="inlineStr">
        <is>
          <t>MASTER SHEET (USE THE NAMES OF THE RELEVANT ITEMS FROM THESE 4 COLUMNS AS IT IS IN THE BOQ)</t>
        </is>
      </c>
      <c r="B1" s="546" t="n"/>
      <c r="C1" s="546" t="n"/>
      <c r="D1" s="546" t="n"/>
      <c r="E1" s="534" t="n"/>
    </row>
    <row r="2" customFormat="1" s="336">
      <c r="A2" s="335" t="inlineStr">
        <is>
          <t>Sl.No.</t>
        </is>
      </c>
      <c r="B2" s="335" t="inlineStr">
        <is>
          <t>Main Product</t>
        </is>
      </c>
      <c r="C2" s="335" t="inlineStr">
        <is>
          <t>Sub Product</t>
        </is>
      </c>
      <c r="D2" s="335" t="inlineStr">
        <is>
          <t>Mfg/ Boughtout</t>
        </is>
      </c>
      <c r="E2" s="335" t="inlineStr">
        <is>
          <t>UOM</t>
        </is>
      </c>
    </row>
    <row r="3" hidden="1" s="516">
      <c r="A3" s="337" t="n">
        <v>1</v>
      </c>
      <c r="B3" s="338" t="inlineStr">
        <is>
          <t>Carton_Shuttle</t>
        </is>
      </c>
      <c r="C3" s="338" t="inlineStr">
        <is>
          <t>1. Shuttle - Quardon 2 Way</t>
        </is>
      </c>
      <c r="D3" s="338" t="inlineStr">
        <is>
          <t>India Mfg</t>
        </is>
      </c>
      <c r="E3" s="338" t="inlineStr">
        <is>
          <t>Number</t>
        </is>
      </c>
    </row>
    <row r="4" hidden="1" s="516">
      <c r="A4" s="337" t="n">
        <v>2</v>
      </c>
      <c r="B4" s="338" t="inlineStr">
        <is>
          <t>Carton_Shuttle</t>
        </is>
      </c>
      <c r="C4" s="338" t="inlineStr">
        <is>
          <t>2. Aisle Equipment - Quardon 2 Way</t>
        </is>
      </c>
      <c r="D4" s="338" t="inlineStr">
        <is>
          <t>Bought Out</t>
        </is>
      </c>
      <c r="E4" s="338" t="inlineStr">
        <is>
          <t>Mtr</t>
        </is>
      </c>
    </row>
    <row r="5" hidden="1" s="516">
      <c r="A5" s="337" t="n">
        <v>3</v>
      </c>
      <c r="B5" s="338" t="inlineStr">
        <is>
          <t>Carton_Shuttle</t>
        </is>
      </c>
      <c r="C5" s="338" t="inlineStr">
        <is>
          <t>3. Lift 12 High - two Crates - Quardon 2 Way</t>
        </is>
      </c>
      <c r="D5" s="338" t="inlineStr">
        <is>
          <t>Bought Out</t>
        </is>
      </c>
      <c r="E5" s="338" t="inlineStr">
        <is>
          <t>Number</t>
        </is>
      </c>
    </row>
    <row r="6" hidden="1" s="516">
      <c r="A6" s="337" t="n">
        <v>4</v>
      </c>
      <c r="B6" s="338" t="inlineStr">
        <is>
          <t>Carton_Shuttle</t>
        </is>
      </c>
      <c r="C6" s="338" t="inlineStr">
        <is>
          <t>3. Lift 16 High - two Crates - Quardon 2 Way</t>
        </is>
      </c>
      <c r="D6" s="338" t="inlineStr">
        <is>
          <t>Bought Out</t>
        </is>
      </c>
      <c r="E6" s="338" t="inlineStr">
        <is>
          <t>Number</t>
        </is>
      </c>
    </row>
    <row r="7" hidden="1" s="516">
      <c r="A7" s="337" t="n">
        <v>5</v>
      </c>
      <c r="B7" s="338" t="inlineStr">
        <is>
          <t>Carton_Shuttle</t>
        </is>
      </c>
      <c r="C7" s="338" t="inlineStr">
        <is>
          <t>4. Buffer Conveyer (per aisle Per level)- 2 Way</t>
        </is>
      </c>
      <c r="D7" s="338" t="inlineStr">
        <is>
          <t>India Mfg</t>
        </is>
      </c>
      <c r="E7" s="338" t="inlineStr">
        <is>
          <t>No of aisle</t>
        </is>
      </c>
    </row>
    <row r="8" hidden="1" s="516">
      <c r="A8" s="337" t="n">
        <v>6</v>
      </c>
      <c r="B8" s="338" t="inlineStr">
        <is>
          <t>Carton_Shuttle</t>
        </is>
      </c>
      <c r="C8" s="338" t="inlineStr">
        <is>
          <t>5. Racks - Quardon 2 Way</t>
        </is>
      </c>
      <c r="D8" s="338" t="inlineStr">
        <is>
          <t>Bought Out</t>
        </is>
      </c>
      <c r="E8" s="338" t="inlineStr">
        <is>
          <t>No of bin position</t>
        </is>
      </c>
    </row>
    <row r="9" hidden="1" s="516">
      <c r="A9" s="337" t="n">
        <v>7</v>
      </c>
      <c r="B9" s="338" t="inlineStr">
        <is>
          <t>Carton_Shuttle</t>
        </is>
      </c>
      <c r="C9" s="338" t="inlineStr">
        <is>
          <t>6. Controls - Quardon 2 Way</t>
        </is>
      </c>
      <c r="D9" s="338" t="inlineStr">
        <is>
          <t>Bought Out</t>
        </is>
      </c>
      <c r="E9" s="338" t="inlineStr">
        <is>
          <t>Lumpsum</t>
        </is>
      </c>
    </row>
    <row r="10" hidden="1" s="516">
      <c r="A10" s="337" t="n">
        <v>8</v>
      </c>
      <c r="B10" s="338" t="inlineStr">
        <is>
          <t>Carton_Shuttle</t>
        </is>
      </c>
      <c r="C10" s="338" t="inlineStr">
        <is>
          <t>1. Shuttle - Quardon 4 Way</t>
        </is>
      </c>
      <c r="D10" s="338" t="inlineStr">
        <is>
          <t>India Mfg</t>
        </is>
      </c>
      <c r="E10" s="338" t="inlineStr">
        <is>
          <t>Number</t>
        </is>
      </c>
    </row>
    <row r="11" hidden="1" s="516">
      <c r="A11" s="337" t="n">
        <v>9</v>
      </c>
      <c r="B11" s="338" t="inlineStr">
        <is>
          <t>Carton_Shuttle</t>
        </is>
      </c>
      <c r="C11" s="338" t="inlineStr">
        <is>
          <t>2. Aisle Equipment - Quardon 4 Way</t>
        </is>
      </c>
      <c r="D11" s="338" t="inlineStr">
        <is>
          <t>Bought Out</t>
        </is>
      </c>
      <c r="E11" s="338" t="inlineStr">
        <is>
          <t>Mtr</t>
        </is>
      </c>
    </row>
    <row r="12" hidden="1" s="516">
      <c r="A12" s="337" t="n">
        <v>10</v>
      </c>
      <c r="B12" s="338" t="inlineStr">
        <is>
          <t>Carton_Shuttle</t>
        </is>
      </c>
      <c r="C12" s="338" t="inlineStr">
        <is>
          <t>3. Lift 12 High - two Crates - Quardon 4 Way</t>
        </is>
      </c>
      <c r="D12" s="338" t="inlineStr">
        <is>
          <t>Bought Out</t>
        </is>
      </c>
      <c r="E12" s="338" t="inlineStr">
        <is>
          <t>Number</t>
        </is>
      </c>
    </row>
    <row r="13" hidden="1" s="516">
      <c r="A13" s="337" t="n">
        <v>11</v>
      </c>
      <c r="B13" s="338" t="inlineStr">
        <is>
          <t>Carton_Shuttle</t>
        </is>
      </c>
      <c r="C13" s="338" t="inlineStr">
        <is>
          <t>3. Lift 16 High - two Crates - Quardon 4 Way</t>
        </is>
      </c>
      <c r="D13" s="338" t="inlineStr">
        <is>
          <t>Bought Out</t>
        </is>
      </c>
      <c r="E13" s="338" t="inlineStr">
        <is>
          <t>Number</t>
        </is>
      </c>
    </row>
    <row r="14" hidden="1" s="516">
      <c r="A14" s="337" t="n">
        <v>12</v>
      </c>
      <c r="B14" s="338" t="inlineStr">
        <is>
          <t>Carton_Shuttle</t>
        </is>
      </c>
      <c r="C14" s="338" t="inlineStr">
        <is>
          <t>4. Buffer Conveyer (per aisle Per level)- 2 Way</t>
        </is>
      </c>
      <c r="D14" s="338" t="inlineStr">
        <is>
          <t>India Mfg</t>
        </is>
      </c>
      <c r="E14" s="338" t="inlineStr">
        <is>
          <t>No of aisle</t>
        </is>
      </c>
    </row>
    <row r="15" hidden="1" s="516">
      <c r="A15" s="337" t="n">
        <v>13</v>
      </c>
      <c r="B15" s="338" t="inlineStr">
        <is>
          <t>Carton_Shuttle</t>
        </is>
      </c>
      <c r="C15" s="338" t="inlineStr">
        <is>
          <t>5. Racks - Quardon 4 Way</t>
        </is>
      </c>
      <c r="D15" s="338" t="inlineStr">
        <is>
          <t>Bought Out</t>
        </is>
      </c>
      <c r="E15" s="338" t="inlineStr">
        <is>
          <t>No of bin position</t>
        </is>
      </c>
    </row>
    <row r="16" hidden="1" s="516">
      <c r="A16" s="337" t="n">
        <v>14</v>
      </c>
      <c r="B16" s="338" t="inlineStr">
        <is>
          <t>Carton_Shuttle</t>
        </is>
      </c>
      <c r="C16" s="338" t="inlineStr">
        <is>
          <t>6. Controls - Quardon 4 Way</t>
        </is>
      </c>
      <c r="D16" s="338" t="inlineStr">
        <is>
          <t>Bought Out</t>
        </is>
      </c>
      <c r="E16" s="338" t="inlineStr">
        <is>
          <t>Lumpsum</t>
        </is>
      </c>
    </row>
    <row r="17" hidden="1" s="516">
      <c r="A17" s="337" t="n">
        <v>15</v>
      </c>
      <c r="B17" s="339" t="inlineStr">
        <is>
          <t>BoxIT_Picking_Station</t>
        </is>
      </c>
      <c r="C17" s="339" t="inlineStr">
        <is>
          <t>1. BoxIT - Picking station - 1-1</t>
        </is>
      </c>
      <c r="D17" s="338" t="inlineStr">
        <is>
          <t>India Mfg</t>
        </is>
      </c>
      <c r="E17" s="338" t="inlineStr">
        <is>
          <t>Number</t>
        </is>
      </c>
    </row>
    <row r="18" hidden="1" s="516">
      <c r="A18" s="337" t="n">
        <v>16</v>
      </c>
      <c r="B18" s="339" t="inlineStr">
        <is>
          <t>BoxIT_Picking_Station</t>
        </is>
      </c>
      <c r="C18" s="339" t="inlineStr">
        <is>
          <t>1. BoxIT - Picking station - 1-8 Semi</t>
        </is>
      </c>
      <c r="D18" s="338" t="inlineStr">
        <is>
          <t>India Mfg</t>
        </is>
      </c>
      <c r="E18" s="338" t="inlineStr">
        <is>
          <t>Number</t>
        </is>
      </c>
    </row>
    <row r="19" hidden="1" s="516">
      <c r="A19" s="337" t="n">
        <v>17</v>
      </c>
      <c r="B19" s="339" t="inlineStr">
        <is>
          <t>BoxIT_Picking_Station</t>
        </is>
      </c>
      <c r="C19" s="339" t="inlineStr">
        <is>
          <t>1. BoxIT - Picking station - 1-8 Fully</t>
        </is>
      </c>
      <c r="D19" s="338" t="inlineStr">
        <is>
          <t>India Mfg</t>
        </is>
      </c>
      <c r="E19" s="338" t="inlineStr">
        <is>
          <t>Number</t>
        </is>
      </c>
    </row>
    <row r="20" hidden="1" s="516">
      <c r="A20" s="337" t="n">
        <v>18</v>
      </c>
      <c r="B20" s="339" t="inlineStr">
        <is>
          <t>BoxIT_Picking_Station</t>
        </is>
      </c>
      <c r="C20" s="339" t="inlineStr">
        <is>
          <t>1. BoxIT - Picking station - 2-4 (U - shape)</t>
        </is>
      </c>
      <c r="D20" s="338" t="inlineStr">
        <is>
          <t>India Mfg</t>
        </is>
      </c>
      <c r="E20" s="338" t="inlineStr">
        <is>
          <t>Number</t>
        </is>
      </c>
    </row>
    <row r="21" hidden="1" s="516">
      <c r="A21" s="337" t="n">
        <v>19</v>
      </c>
      <c r="B21" s="339" t="inlineStr">
        <is>
          <t>BoxIT_Picking_Station</t>
        </is>
      </c>
      <c r="C21" s="339" t="inlineStr">
        <is>
          <t>1. BoxIT - Picking station - 2-4</t>
        </is>
      </c>
      <c r="D21" s="338" t="inlineStr">
        <is>
          <t>India Mfg</t>
        </is>
      </c>
      <c r="E21" s="338" t="inlineStr">
        <is>
          <t>Number</t>
        </is>
      </c>
    </row>
    <row r="22" hidden="1" s="516">
      <c r="A22" s="337" t="n">
        <v>20</v>
      </c>
      <c r="B22" s="338" t="inlineStr">
        <is>
          <t>Dynamo</t>
        </is>
      </c>
      <c r="C22" s="338" t="inlineStr">
        <is>
          <t>1. Dynamo 100</t>
        </is>
      </c>
      <c r="D22" s="338" t="inlineStr">
        <is>
          <t>India Mfg</t>
        </is>
      </c>
      <c r="E22" s="338" t="inlineStr">
        <is>
          <t>Number</t>
        </is>
      </c>
    </row>
    <row r="23" hidden="1" s="516">
      <c r="A23" s="337" t="n">
        <v>21</v>
      </c>
      <c r="B23" s="338" t="inlineStr">
        <is>
          <t>Dynamo</t>
        </is>
      </c>
      <c r="C23" s="338" t="inlineStr">
        <is>
          <t>1. Dynamo 200</t>
        </is>
      </c>
      <c r="D23" s="338" t="inlineStr">
        <is>
          <t>India Mfg</t>
        </is>
      </c>
      <c r="E23" s="338" t="inlineStr">
        <is>
          <t>Number</t>
        </is>
      </c>
    </row>
    <row r="24" hidden="1" s="516">
      <c r="A24" s="337" t="n">
        <v>22</v>
      </c>
      <c r="B24" s="338" t="inlineStr">
        <is>
          <t>Dynamo</t>
        </is>
      </c>
      <c r="C24" s="338" t="inlineStr">
        <is>
          <t>1. Dynamo 500</t>
        </is>
      </c>
      <c r="D24" s="338" t="inlineStr">
        <is>
          <t>India Mfg</t>
        </is>
      </c>
      <c r="E24" s="338" t="inlineStr">
        <is>
          <t>Number</t>
        </is>
      </c>
    </row>
    <row r="25" hidden="1" s="516">
      <c r="A25" s="337" t="n">
        <v>23</v>
      </c>
      <c r="B25" s="338" t="inlineStr">
        <is>
          <t>Dynamo</t>
        </is>
      </c>
      <c r="C25" s="338" t="inlineStr">
        <is>
          <t>1. Dynamo 1000</t>
        </is>
      </c>
      <c r="D25" s="338" t="inlineStr">
        <is>
          <t>India Mfg</t>
        </is>
      </c>
      <c r="E25" s="338" t="inlineStr">
        <is>
          <t>Number</t>
        </is>
      </c>
    </row>
    <row r="26" hidden="1" s="516">
      <c r="A26" s="337" t="n">
        <v>24</v>
      </c>
      <c r="B26" s="338" t="inlineStr">
        <is>
          <t>Dynamo</t>
        </is>
      </c>
      <c r="C26" s="338" t="inlineStr">
        <is>
          <t>1. Dynamo 1500</t>
        </is>
      </c>
      <c r="D26" s="338" t="inlineStr">
        <is>
          <t>India Mfg</t>
        </is>
      </c>
      <c r="E26" s="338" t="inlineStr">
        <is>
          <t>Number</t>
        </is>
      </c>
    </row>
    <row r="27" hidden="1" s="516">
      <c r="A27" s="337" t="n">
        <v>25</v>
      </c>
      <c r="B27" s="338" t="inlineStr">
        <is>
          <t>Dynamo</t>
        </is>
      </c>
      <c r="C27" s="338" t="inlineStr">
        <is>
          <t>2. Dynamo Software - Smaller Fleet ( upto 5 Robots)</t>
        </is>
      </c>
      <c r="D27" s="338" t="inlineStr">
        <is>
          <t>Software</t>
        </is>
      </c>
      <c r="E27" s="338" t="inlineStr">
        <is>
          <t>Lumpsum</t>
        </is>
      </c>
    </row>
    <row r="28" hidden="1" s="516">
      <c r="A28" s="337" t="n">
        <v>26</v>
      </c>
      <c r="B28" s="338" t="inlineStr">
        <is>
          <t>Dynamo</t>
        </is>
      </c>
      <c r="C28" s="338" t="inlineStr">
        <is>
          <t>2. Dynamo Software - Fleet upto 100 Robots</t>
        </is>
      </c>
      <c r="D28" s="338" t="inlineStr">
        <is>
          <t>Software</t>
        </is>
      </c>
      <c r="E28" s="338" t="inlineStr">
        <is>
          <t>Lumpsum</t>
        </is>
      </c>
    </row>
    <row r="29" hidden="1" s="516">
      <c r="A29" s="337" t="n">
        <v>27</v>
      </c>
      <c r="B29" s="338" t="inlineStr">
        <is>
          <t>Dynamo</t>
        </is>
      </c>
      <c r="C29" s="338" t="inlineStr">
        <is>
          <t>2. Dynamo Software - Fleet &gt; 100 Robots</t>
        </is>
      </c>
      <c r="D29" s="338" t="inlineStr">
        <is>
          <t>Software</t>
        </is>
      </c>
      <c r="E29" s="338" t="inlineStr">
        <is>
          <t>Lumpsum</t>
        </is>
      </c>
    </row>
    <row r="30" hidden="1" s="516">
      <c r="A30" s="337" t="n">
        <v>28</v>
      </c>
      <c r="B30" s="338" t="inlineStr">
        <is>
          <t>Dynamo</t>
        </is>
      </c>
      <c r="C30" s="338" t="inlineStr">
        <is>
          <t>3. Dynamo Charger 100/200</t>
        </is>
      </c>
      <c r="D30" s="338" t="inlineStr">
        <is>
          <t>India Mfg</t>
        </is>
      </c>
      <c r="E30" s="338" t="inlineStr">
        <is>
          <t>Number</t>
        </is>
      </c>
    </row>
    <row r="31" hidden="1" s="516">
      <c r="A31" s="337" t="n">
        <v>29</v>
      </c>
      <c r="B31" s="338" t="inlineStr">
        <is>
          <t>Dynamo</t>
        </is>
      </c>
      <c r="C31" s="338" t="inlineStr">
        <is>
          <t>3. Dynamo Charger 500/1000/1500</t>
        </is>
      </c>
      <c r="D31" s="338" t="inlineStr">
        <is>
          <t>India Mfg</t>
        </is>
      </c>
      <c r="E31" s="338" t="inlineStr">
        <is>
          <t>Number</t>
        </is>
      </c>
    </row>
    <row r="32" hidden="1" s="516">
      <c r="A32" s="337" t="n">
        <v>30</v>
      </c>
      <c r="B32" s="338" t="inlineStr">
        <is>
          <t>Dynamo</t>
        </is>
      </c>
      <c r="C32" s="338" t="inlineStr">
        <is>
          <t>4. Docking stand 1000/1500</t>
        </is>
      </c>
      <c r="D32" s="338" t="inlineStr">
        <is>
          <t>India Mfg</t>
        </is>
      </c>
      <c r="E32" s="338" t="inlineStr">
        <is>
          <t>Number</t>
        </is>
      </c>
    </row>
    <row r="33" hidden="1" s="516">
      <c r="A33" s="337" t="n">
        <v>31</v>
      </c>
      <c r="B33" s="338" t="inlineStr">
        <is>
          <t>Dynamo</t>
        </is>
      </c>
      <c r="C33" s="338" t="inlineStr">
        <is>
          <t>5. Dynamo Tablet</t>
        </is>
      </c>
      <c r="D33" s="338" t="inlineStr">
        <is>
          <t>Bought Out</t>
        </is>
      </c>
      <c r="E33" s="338" t="inlineStr">
        <is>
          <t>Number</t>
        </is>
      </c>
    </row>
    <row r="34" hidden="1" s="516">
      <c r="A34" s="337" t="n">
        <v>32</v>
      </c>
      <c r="B34" s="338" t="inlineStr">
        <is>
          <t>Veloce</t>
        </is>
      </c>
      <c r="C34" s="338" t="inlineStr">
        <is>
          <t>1. Veloce (Single Deep upto 4 mtr high)</t>
        </is>
      </c>
      <c r="D34" s="338" t="inlineStr">
        <is>
          <t>India Mfg</t>
        </is>
      </c>
      <c r="E34" s="338" t="inlineStr">
        <is>
          <t>Number</t>
        </is>
      </c>
    </row>
    <row r="35" hidden="1" s="516">
      <c r="A35" s="337" t="n">
        <v>33</v>
      </c>
      <c r="B35" s="338" t="inlineStr">
        <is>
          <t>Veloce</t>
        </is>
      </c>
      <c r="C35" s="338" t="inlineStr">
        <is>
          <t>1. Veloce (Double Deep upto 5.5 mtr high)</t>
        </is>
      </c>
      <c r="D35" s="338" t="inlineStr">
        <is>
          <t>India Mfg</t>
        </is>
      </c>
      <c r="E35" s="338" t="inlineStr">
        <is>
          <t>Number</t>
        </is>
      </c>
    </row>
    <row r="36" hidden="1" s="516">
      <c r="A36" s="337" t="n">
        <v>34</v>
      </c>
      <c r="B36" s="338" t="inlineStr">
        <is>
          <t>Veloce</t>
        </is>
      </c>
      <c r="C36" s="338" t="inlineStr">
        <is>
          <t>2. Veloce Software - Fleet upto 20 Robots</t>
        </is>
      </c>
      <c r="D36" s="338" t="inlineStr">
        <is>
          <t>Software</t>
        </is>
      </c>
      <c r="E36" s="338" t="inlineStr">
        <is>
          <t>Lumpsum</t>
        </is>
      </c>
    </row>
    <row r="37" hidden="1" s="516">
      <c r="A37" s="337" t="n">
        <v>35</v>
      </c>
      <c r="B37" s="338" t="inlineStr">
        <is>
          <t>Veloce</t>
        </is>
      </c>
      <c r="C37" s="338" t="inlineStr">
        <is>
          <t>2. Venoce Software - Fleet &gt; 20 Robots</t>
        </is>
      </c>
      <c r="D37" s="338" t="inlineStr">
        <is>
          <t>Software</t>
        </is>
      </c>
      <c r="E37" s="338" t="inlineStr">
        <is>
          <t>Lumpsum</t>
        </is>
      </c>
    </row>
    <row r="38" hidden="1" s="516">
      <c r="A38" s="337" t="n">
        <v>36</v>
      </c>
      <c r="B38" s="338" t="inlineStr">
        <is>
          <t>Veloce</t>
        </is>
      </c>
      <c r="C38" s="338" t="inlineStr">
        <is>
          <t>3. Veloce Charger</t>
        </is>
      </c>
      <c r="D38" s="338" t="inlineStr">
        <is>
          <t>India Mfg</t>
        </is>
      </c>
      <c r="E38" s="338" t="inlineStr">
        <is>
          <t>Number</t>
        </is>
      </c>
    </row>
    <row r="39" hidden="1" s="516">
      <c r="A39" s="337" t="n">
        <v>37</v>
      </c>
      <c r="B39" s="338" t="inlineStr">
        <is>
          <t>RGV</t>
        </is>
      </c>
      <c r="C39" s="338" t="inlineStr">
        <is>
          <t>1. RGV - Vehicle</t>
        </is>
      </c>
      <c r="D39" s="338" t="inlineStr">
        <is>
          <t>India Mfg</t>
        </is>
      </c>
      <c r="E39" s="338" t="inlineStr">
        <is>
          <t>Number</t>
        </is>
      </c>
    </row>
    <row r="40" hidden="1" s="516">
      <c r="A40" s="337" t="n">
        <v>38</v>
      </c>
      <c r="B40" s="338" t="inlineStr">
        <is>
          <t>RGV</t>
        </is>
      </c>
      <c r="C40" s="338" t="inlineStr">
        <is>
          <t>2. RGV Track</t>
        </is>
      </c>
      <c r="D40" s="338" t="inlineStr">
        <is>
          <t>India Mfg</t>
        </is>
      </c>
      <c r="E40" s="338" t="inlineStr">
        <is>
          <t>Mtr</t>
        </is>
      </c>
    </row>
    <row r="41" hidden="1" s="516">
      <c r="A41" s="337" t="n">
        <v>39</v>
      </c>
      <c r="B41" s="338" t="inlineStr">
        <is>
          <t>RGV</t>
        </is>
      </c>
      <c r="C41" s="338" t="inlineStr">
        <is>
          <t>3. Busbar + Leaky Cable</t>
        </is>
      </c>
      <c r="D41" s="338" t="inlineStr">
        <is>
          <t>Bought Out</t>
        </is>
      </c>
      <c r="E41" s="338" t="inlineStr">
        <is>
          <t>Mtr</t>
        </is>
      </c>
    </row>
    <row r="42" hidden="1" s="516">
      <c r="A42" s="337" t="n">
        <v>40</v>
      </c>
      <c r="B42" s="338" t="inlineStr">
        <is>
          <t>Zippy</t>
        </is>
      </c>
      <c r="C42" s="338" t="inlineStr">
        <is>
          <t>1. Zippy 6</t>
        </is>
      </c>
      <c r="D42" s="338" t="inlineStr">
        <is>
          <t>India Mfg</t>
        </is>
      </c>
      <c r="E42" s="338" t="inlineStr">
        <is>
          <t>Number</t>
        </is>
      </c>
    </row>
    <row r="43" hidden="1" s="516">
      <c r="A43" s="337" t="n">
        <v>41</v>
      </c>
      <c r="B43" s="338" t="inlineStr">
        <is>
          <t>Zippy</t>
        </is>
      </c>
      <c r="C43" s="338" t="inlineStr">
        <is>
          <t>1. Zippy 10</t>
        </is>
      </c>
      <c r="D43" s="338" t="inlineStr">
        <is>
          <t>India Mfg</t>
        </is>
      </c>
      <c r="E43" s="338" t="inlineStr">
        <is>
          <t>Number</t>
        </is>
      </c>
    </row>
    <row r="44" hidden="1" s="516">
      <c r="A44" s="337" t="n">
        <v>42</v>
      </c>
      <c r="B44" s="338" t="inlineStr">
        <is>
          <t>Zippy</t>
        </is>
      </c>
      <c r="C44" s="338" t="inlineStr">
        <is>
          <t>1. Zippy 25</t>
        </is>
      </c>
      <c r="D44" s="338" t="inlineStr">
        <is>
          <t>India Mfg</t>
        </is>
      </c>
      <c r="E44" s="338" t="inlineStr">
        <is>
          <t>Number</t>
        </is>
      </c>
    </row>
    <row r="45" hidden="1" s="516">
      <c r="A45" s="337" t="n">
        <v>43</v>
      </c>
      <c r="B45" s="338" t="inlineStr">
        <is>
          <t>Zippy</t>
        </is>
      </c>
      <c r="C45" s="338" t="inlineStr">
        <is>
          <t>1. Zippy 40</t>
        </is>
      </c>
      <c r="D45" s="338" t="inlineStr">
        <is>
          <t>India Mfg</t>
        </is>
      </c>
      <c r="E45" s="338" t="inlineStr">
        <is>
          <t>Number</t>
        </is>
      </c>
    </row>
    <row r="46" hidden="1" s="516">
      <c r="A46" s="337" t="n">
        <v>44</v>
      </c>
      <c r="B46" s="338" t="inlineStr">
        <is>
          <t>Zippy</t>
        </is>
      </c>
      <c r="C46" s="338" t="inlineStr">
        <is>
          <t>1. Zippy 100</t>
        </is>
      </c>
      <c r="D46" s="338" t="inlineStr">
        <is>
          <t>India Mfg</t>
        </is>
      </c>
      <c r="E46" s="338" t="inlineStr">
        <is>
          <t>Number</t>
        </is>
      </c>
    </row>
    <row r="47" hidden="1" s="516">
      <c r="A47" s="337" t="n">
        <v>45</v>
      </c>
      <c r="B47" s="338" t="inlineStr">
        <is>
          <t>Zippy</t>
        </is>
      </c>
      <c r="C47" s="338" t="inlineStr">
        <is>
          <t>2. Zippy Software - Fleet upto 100 Robots</t>
        </is>
      </c>
      <c r="D47" s="338" t="inlineStr">
        <is>
          <t>Software</t>
        </is>
      </c>
      <c r="E47" s="338" t="inlineStr">
        <is>
          <t>Lumpsum</t>
        </is>
      </c>
    </row>
    <row r="48" hidden="1" s="516">
      <c r="A48" s="337" t="n">
        <v>46</v>
      </c>
      <c r="B48" s="338" t="inlineStr">
        <is>
          <t>Zippy</t>
        </is>
      </c>
      <c r="C48" s="338" t="inlineStr">
        <is>
          <t>2. Zippy Software - Fleet 100- 300 Robots</t>
        </is>
      </c>
      <c r="D48" s="338" t="inlineStr">
        <is>
          <t>Software</t>
        </is>
      </c>
      <c r="E48" s="338" t="inlineStr">
        <is>
          <t>Lumpsum</t>
        </is>
      </c>
    </row>
    <row r="49" hidden="1" s="516">
      <c r="A49" s="337" t="n">
        <v>47</v>
      </c>
      <c r="B49" s="338" t="inlineStr">
        <is>
          <t>Zippy</t>
        </is>
      </c>
      <c r="C49" s="338" t="inlineStr">
        <is>
          <t>2. Zippy Software - Fleet &gt; 300 Robots</t>
        </is>
      </c>
      <c r="D49" s="338" t="inlineStr">
        <is>
          <t>Software</t>
        </is>
      </c>
      <c r="E49" s="338" t="inlineStr">
        <is>
          <t>Lumpsum</t>
        </is>
      </c>
    </row>
    <row r="50" hidden="1" s="516">
      <c r="A50" s="337" t="n">
        <v>48</v>
      </c>
      <c r="B50" s="338" t="inlineStr">
        <is>
          <t>Zippy</t>
        </is>
      </c>
      <c r="C50" s="338" t="inlineStr">
        <is>
          <t>3. Zippy 6/10</t>
        </is>
      </c>
      <c r="D50" s="338" t="inlineStr">
        <is>
          <t>India Mfg</t>
        </is>
      </c>
      <c r="E50" s="338" t="inlineStr">
        <is>
          <t>Number</t>
        </is>
      </c>
    </row>
    <row r="51" hidden="1" s="516">
      <c r="A51" s="337" t="n">
        <v>49</v>
      </c>
      <c r="B51" s="338" t="inlineStr">
        <is>
          <t>Zippy</t>
        </is>
      </c>
      <c r="C51" s="338" t="inlineStr">
        <is>
          <t>3. Zippy 25/40/100</t>
        </is>
      </c>
      <c r="D51" s="338" t="inlineStr">
        <is>
          <t>India Mfg</t>
        </is>
      </c>
      <c r="E51" s="338" t="inlineStr">
        <is>
          <t>Number</t>
        </is>
      </c>
    </row>
    <row r="52" hidden="1" s="516">
      <c r="A52" s="337" t="n">
        <v>50</v>
      </c>
      <c r="B52" s="338" t="inlineStr">
        <is>
          <t>Zippy</t>
        </is>
      </c>
      <c r="C52" s="338" t="inlineStr">
        <is>
          <t>4. Zippy Platform</t>
        </is>
      </c>
      <c r="D52" s="338" t="inlineStr">
        <is>
          <t>Bought Out</t>
        </is>
      </c>
      <c r="E52" s="338" t="inlineStr">
        <is>
          <t>Lumpsum</t>
        </is>
      </c>
    </row>
    <row r="53" hidden="1" s="516">
      <c r="A53" s="337" t="n">
        <v>51</v>
      </c>
      <c r="B53" s="338" t="inlineStr">
        <is>
          <t>Multipro</t>
        </is>
      </c>
      <c r="C53" s="338" t="inlineStr">
        <is>
          <t>1. Shuttle - Multipro</t>
        </is>
      </c>
      <c r="D53" s="338" t="inlineStr">
        <is>
          <t>India Mfg</t>
        </is>
      </c>
      <c r="E53" s="338" t="inlineStr">
        <is>
          <t>Number</t>
        </is>
      </c>
    </row>
    <row r="54" hidden="1" s="516">
      <c r="A54" s="337" t="n">
        <v>52</v>
      </c>
      <c r="B54" s="338" t="inlineStr">
        <is>
          <t>Multipro</t>
        </is>
      </c>
      <c r="C54" s="338" t="inlineStr">
        <is>
          <t>2. Aisle Equipment - Multipro</t>
        </is>
      </c>
      <c r="D54" s="338" t="inlineStr">
        <is>
          <t>Bought Out</t>
        </is>
      </c>
      <c r="E54" s="338" t="inlineStr">
        <is>
          <t>Mtr</t>
        </is>
      </c>
    </row>
    <row r="55" hidden="1" s="516">
      <c r="A55" s="337" t="n">
        <v>53</v>
      </c>
      <c r="B55" s="338" t="inlineStr">
        <is>
          <t>Multipro</t>
        </is>
      </c>
      <c r="C55" s="338" t="inlineStr">
        <is>
          <t>3. Pallet Lift upto 5 high - -Multipro</t>
        </is>
      </c>
      <c r="D55" s="338" t="inlineStr">
        <is>
          <t>Bought Out</t>
        </is>
      </c>
      <c r="E55" s="338" t="inlineStr">
        <is>
          <t>Number</t>
        </is>
      </c>
    </row>
    <row r="56" hidden="1" s="516">
      <c r="A56" s="337" t="n">
        <v>54</v>
      </c>
      <c r="B56" s="338" t="inlineStr">
        <is>
          <t>Multipro</t>
        </is>
      </c>
      <c r="C56" s="338" t="inlineStr">
        <is>
          <t>3. Pallet Lift upto 10 high -Multipro</t>
        </is>
      </c>
      <c r="D56" s="338" t="inlineStr">
        <is>
          <t>Bought Out</t>
        </is>
      </c>
      <c r="E56" s="338" t="inlineStr">
        <is>
          <t>Number</t>
        </is>
      </c>
    </row>
    <row r="57" hidden="1" s="516">
      <c r="A57" s="337" t="n">
        <v>55</v>
      </c>
      <c r="B57" s="338" t="inlineStr">
        <is>
          <t>Multipro</t>
        </is>
      </c>
      <c r="C57" s="338" t="inlineStr">
        <is>
          <t>4. Rack per bin Position -Multipro</t>
        </is>
      </c>
      <c r="D57" s="338" t="inlineStr">
        <is>
          <t>Bought Out</t>
        </is>
      </c>
      <c r="E57" s="338" t="inlineStr">
        <is>
          <t>No of bin position</t>
        </is>
      </c>
    </row>
    <row r="58" hidden="1" s="516">
      <c r="A58" s="337" t="n">
        <v>56</v>
      </c>
      <c r="B58" s="338" t="inlineStr">
        <is>
          <t>Multipro</t>
        </is>
      </c>
      <c r="C58" s="338" t="inlineStr">
        <is>
          <t>5. Controls - Multipro</t>
        </is>
      </c>
      <c r="D58" s="338" t="inlineStr">
        <is>
          <t>Bought Out</t>
        </is>
      </c>
      <c r="E58" s="338" t="inlineStr">
        <is>
          <t>Lumpsum</t>
        </is>
      </c>
    </row>
    <row r="59" hidden="1" s="516">
      <c r="A59" s="337" t="n">
        <v>57</v>
      </c>
      <c r="B59" s="338" t="inlineStr">
        <is>
          <t>Cruiser</t>
        </is>
      </c>
      <c r="C59" s="338" t="inlineStr">
        <is>
          <t>1. Cruiser</t>
        </is>
      </c>
      <c r="D59" s="338" t="inlineStr">
        <is>
          <t>India Mfg</t>
        </is>
      </c>
      <c r="E59" s="338" t="inlineStr">
        <is>
          <t>Number</t>
        </is>
      </c>
    </row>
    <row r="60">
      <c r="A60" s="337" t="n">
        <v>58</v>
      </c>
      <c r="B60" s="338" t="inlineStr">
        <is>
          <t>Pallet_Conveyor</t>
        </is>
      </c>
      <c r="C60" s="338" t="inlineStr">
        <is>
          <t>Chain Conveyor - 3 Strands Zone Length 1.5 M</t>
        </is>
      </c>
      <c r="D60" s="338" t="inlineStr">
        <is>
          <t>India Mfg</t>
        </is>
      </c>
      <c r="E60" s="338" t="inlineStr">
        <is>
          <t>Mtr</t>
        </is>
      </c>
    </row>
    <row r="61">
      <c r="A61" s="337" t="n">
        <v>59</v>
      </c>
      <c r="B61" s="338" t="inlineStr">
        <is>
          <t>Pallet_Conveyor</t>
        </is>
      </c>
      <c r="C61" s="338" t="inlineStr">
        <is>
          <t>Chain Conveyor -2 Strands Zone Length 1.5 M</t>
        </is>
      </c>
      <c r="D61" s="338" t="inlineStr">
        <is>
          <t>India Mfg</t>
        </is>
      </c>
      <c r="E61" s="338" t="inlineStr">
        <is>
          <t>Mtr</t>
        </is>
      </c>
    </row>
    <row r="62">
      <c r="A62" s="337" t="n">
        <v>60</v>
      </c>
      <c r="B62" s="338" t="inlineStr">
        <is>
          <t>Pallet_Conveyor</t>
        </is>
      </c>
      <c r="C62" s="338" t="inlineStr">
        <is>
          <t>Chain Conveyor - 3 Strands Zone Length 2 M</t>
        </is>
      </c>
      <c r="D62" s="338" t="inlineStr">
        <is>
          <t>India Mfg</t>
        </is>
      </c>
      <c r="E62" s="338" t="inlineStr">
        <is>
          <t>Mtr</t>
        </is>
      </c>
    </row>
    <row r="63">
      <c r="A63" s="337" t="n">
        <v>61</v>
      </c>
      <c r="B63" s="338" t="inlineStr">
        <is>
          <t>Pallet_Conveyor</t>
        </is>
      </c>
      <c r="C63" s="338" t="inlineStr">
        <is>
          <t>Chain Conveyor - 2 Strands Zone Length 2 M</t>
        </is>
      </c>
      <c r="D63" s="338" t="inlineStr">
        <is>
          <t>India Mfg</t>
        </is>
      </c>
      <c r="E63" s="338" t="inlineStr">
        <is>
          <t>Mtr</t>
        </is>
      </c>
    </row>
    <row r="64">
      <c r="A64" s="337" t="n">
        <v>62</v>
      </c>
      <c r="B64" s="338" t="inlineStr">
        <is>
          <t>Pallet_Conveyor</t>
        </is>
      </c>
      <c r="C64" s="338" t="inlineStr">
        <is>
          <t>Chain Conveyor - 3 Strands Zone Length 3 M</t>
        </is>
      </c>
      <c r="D64" s="338" t="inlineStr">
        <is>
          <t>India Mfg</t>
        </is>
      </c>
      <c r="E64" s="338" t="inlineStr">
        <is>
          <t>Mtr</t>
        </is>
      </c>
    </row>
    <row r="65">
      <c r="A65" s="337" t="n">
        <v>63</v>
      </c>
      <c r="B65" s="338" t="inlineStr">
        <is>
          <t>Pallet_Conveyor</t>
        </is>
      </c>
      <c r="C65" s="338" t="inlineStr">
        <is>
          <t>Chain Conveyor - 2 Strands Zone Length 3 M</t>
        </is>
      </c>
      <c r="D65" s="338" t="inlineStr">
        <is>
          <t>India Mfg</t>
        </is>
      </c>
      <c r="E65" s="338" t="inlineStr">
        <is>
          <t>Mtr</t>
        </is>
      </c>
    </row>
    <row r="66">
      <c r="A66" s="337" t="n">
        <v>64</v>
      </c>
      <c r="B66" s="338" t="inlineStr">
        <is>
          <t>Pallet_Conveyor</t>
        </is>
      </c>
      <c r="C66" s="338" t="inlineStr">
        <is>
          <t>Roller Conveyor - Pitch 133mm Zone Length 1.5 M</t>
        </is>
      </c>
      <c r="D66" s="338" t="inlineStr">
        <is>
          <t>India Mfg</t>
        </is>
      </c>
      <c r="E66" s="338" t="inlineStr">
        <is>
          <t>Mtr</t>
        </is>
      </c>
    </row>
    <row r="67">
      <c r="A67" s="337" t="n">
        <v>65</v>
      </c>
      <c r="B67" s="338" t="inlineStr">
        <is>
          <t>Pallet_Conveyor</t>
        </is>
      </c>
      <c r="C67" s="338" t="inlineStr">
        <is>
          <t>Roller Conveyor - Pitch 133mm Zone Length 3 M</t>
        </is>
      </c>
      <c r="D67" s="338" t="inlineStr">
        <is>
          <t>India Mfg</t>
        </is>
      </c>
      <c r="E67" s="338" t="inlineStr">
        <is>
          <t>Mtr</t>
        </is>
      </c>
    </row>
    <row r="68">
      <c r="A68" s="337" t="n">
        <v>66</v>
      </c>
      <c r="B68" s="338" t="inlineStr">
        <is>
          <t>Pallet_Conveyor</t>
        </is>
      </c>
      <c r="C68" s="338" t="inlineStr">
        <is>
          <t>Pallet 90 degree Pop-Up - Excl Converyor</t>
        </is>
      </c>
      <c r="D68" s="338" t="inlineStr">
        <is>
          <t>India Mfg</t>
        </is>
      </c>
      <c r="E68" s="338" t="inlineStr">
        <is>
          <t>Number</t>
        </is>
      </c>
    </row>
    <row r="69">
      <c r="A69" s="337" t="n">
        <v>67</v>
      </c>
      <c r="B69" s="338" t="inlineStr">
        <is>
          <t>Pallet_Conveyor</t>
        </is>
      </c>
      <c r="C69" s="338" t="inlineStr">
        <is>
          <t xml:space="preserve">Pallet Turn Table </t>
        </is>
      </c>
      <c r="D69" s="338" t="inlineStr">
        <is>
          <t>India Mfg</t>
        </is>
      </c>
      <c r="E69" s="338" t="inlineStr">
        <is>
          <t>Number</t>
        </is>
      </c>
    </row>
    <row r="70">
      <c r="A70" s="337" t="n">
        <v>68</v>
      </c>
      <c r="B70" s="338" t="inlineStr">
        <is>
          <t>Pallet_Conveyor</t>
        </is>
      </c>
      <c r="C70" s="338" t="inlineStr">
        <is>
          <t>Pallet De-stacker</t>
        </is>
      </c>
      <c r="D70" s="338" t="inlineStr">
        <is>
          <t>India Mfg</t>
        </is>
      </c>
      <c r="E70" s="338" t="inlineStr">
        <is>
          <t>Number</t>
        </is>
      </c>
    </row>
    <row r="71" hidden="1" s="516">
      <c r="A71" s="337" t="n">
        <v>69</v>
      </c>
      <c r="B71" s="340" t="inlineStr">
        <is>
          <t>ROLLER_CONVEYOR</t>
        </is>
      </c>
      <c r="C71" s="340" t="inlineStr">
        <is>
          <t>ACCUMULATION - BF-460mm Zone Length 900 MM</t>
        </is>
      </c>
      <c r="D71" s="338" t="inlineStr">
        <is>
          <t>India Mfg</t>
        </is>
      </c>
      <c r="E71" s="340" t="inlineStr">
        <is>
          <t>Mtr</t>
        </is>
      </c>
    </row>
    <row r="72" hidden="1" s="516">
      <c r="A72" s="337" t="n">
        <v>70</v>
      </c>
      <c r="B72" s="340" t="inlineStr">
        <is>
          <t>ROLLER_CONVEYOR</t>
        </is>
      </c>
      <c r="C72" s="340" t="inlineStr">
        <is>
          <t>ACCUMULATION - BF-660mm Zone Length 900 MM</t>
        </is>
      </c>
      <c r="D72" s="338" t="inlineStr">
        <is>
          <t>India Mfg</t>
        </is>
      </c>
      <c r="E72" s="340" t="inlineStr">
        <is>
          <t>Mtr</t>
        </is>
      </c>
    </row>
    <row r="73" hidden="1" s="516">
      <c r="A73" s="337" t="n">
        <v>71</v>
      </c>
      <c r="B73" s="340" t="inlineStr">
        <is>
          <t>ROLLER_CONVEYOR</t>
        </is>
      </c>
      <c r="C73" s="340" t="inlineStr">
        <is>
          <t>BELT DRIVEN - BF-460mm Zone Length 900 MM</t>
        </is>
      </c>
      <c r="D73" s="338" t="inlineStr">
        <is>
          <t>India Mfg</t>
        </is>
      </c>
      <c r="E73" s="340" t="inlineStr">
        <is>
          <t>Mtr</t>
        </is>
      </c>
    </row>
    <row r="74" hidden="1" s="516">
      <c r="A74" s="337" t="n">
        <v>72</v>
      </c>
      <c r="B74" s="340" t="inlineStr">
        <is>
          <t>ROLLER_CONVEYOR</t>
        </is>
      </c>
      <c r="C74" s="340" t="inlineStr">
        <is>
          <t>BELT DRIVEN - BF-660mm Zone Length 900 MM</t>
        </is>
      </c>
      <c r="D74" s="338" t="inlineStr">
        <is>
          <t>India Mfg</t>
        </is>
      </c>
      <c r="E74" s="340" t="inlineStr">
        <is>
          <t>Mtr</t>
        </is>
      </c>
    </row>
    <row r="75" hidden="1" s="516">
      <c r="A75" s="337" t="n">
        <v>73</v>
      </c>
      <c r="B75" s="340" t="inlineStr">
        <is>
          <t>ROLLER_CONVEYOR</t>
        </is>
      </c>
      <c r="C75" s="338" t="inlineStr">
        <is>
          <t>BELT OVER - BF-460mm Zone Length 900 MM</t>
        </is>
      </c>
      <c r="D75" s="338" t="inlineStr">
        <is>
          <t>India Mfg</t>
        </is>
      </c>
      <c r="E75" s="338" t="inlineStr">
        <is>
          <t>Mtr</t>
        </is>
      </c>
    </row>
    <row r="76" hidden="1" s="516">
      <c r="A76" s="337" t="n">
        <v>74</v>
      </c>
      <c r="B76" s="340" t="inlineStr">
        <is>
          <t>ROLLER_CONVEYOR</t>
        </is>
      </c>
      <c r="C76" s="338" t="inlineStr">
        <is>
          <t>BELT OVER - BF-660mm Zone Length 900 MM</t>
        </is>
      </c>
      <c r="D76" s="338" t="inlineStr">
        <is>
          <t>India Mfg</t>
        </is>
      </c>
      <c r="E76" s="338" t="inlineStr">
        <is>
          <t>Mtr</t>
        </is>
      </c>
    </row>
    <row r="77" hidden="1" s="516">
      <c r="A77" s="337" t="n">
        <v>75</v>
      </c>
      <c r="B77" s="340" t="inlineStr">
        <is>
          <t>ROLLER_CONVEYOR</t>
        </is>
      </c>
      <c r="C77" s="338" t="inlineStr">
        <is>
          <t>HUMP ISD - BF-460mm</t>
        </is>
      </c>
      <c r="D77" s="338" t="inlineStr">
        <is>
          <t>India Mfg</t>
        </is>
      </c>
      <c r="E77" s="338" t="inlineStr">
        <is>
          <t>Mtr</t>
        </is>
      </c>
    </row>
    <row r="78" hidden="1" s="516">
      <c r="A78" s="337" t="n">
        <v>76</v>
      </c>
      <c r="B78" s="340" t="inlineStr">
        <is>
          <t>ROLLER_CONVEYOR</t>
        </is>
      </c>
      <c r="C78" s="338" t="inlineStr">
        <is>
          <t>HUMP ISD - BF-660mm</t>
        </is>
      </c>
      <c r="D78" s="338" t="inlineStr">
        <is>
          <t>India Mfg</t>
        </is>
      </c>
      <c r="E78" s="338" t="inlineStr">
        <is>
          <t>Mtr</t>
        </is>
      </c>
    </row>
    <row r="79" hidden="1" s="516">
      <c r="A79" s="337" t="n">
        <v>77</v>
      </c>
      <c r="B79" s="340" t="inlineStr">
        <is>
          <t>ROLLER_CONVEYOR</t>
        </is>
      </c>
      <c r="C79" s="338" t="inlineStr">
        <is>
          <t>INCLINED/DECLINED BELT - BF-660mm</t>
        </is>
      </c>
      <c r="D79" s="338" t="inlineStr">
        <is>
          <t>India Mfg</t>
        </is>
      </c>
      <c r="E79" s="338" t="inlineStr">
        <is>
          <t>Mtr</t>
        </is>
      </c>
    </row>
    <row r="80" hidden="1" s="516">
      <c r="A80" s="337" t="n">
        <v>78</v>
      </c>
      <c r="B80" s="340" t="inlineStr">
        <is>
          <t>ROLLER_CONVEYOR</t>
        </is>
      </c>
      <c r="C80" s="338" t="inlineStr">
        <is>
          <t>INCLINED/DECLINED BELT - BF-460mm</t>
        </is>
      </c>
      <c r="D80" s="338" t="inlineStr">
        <is>
          <t>India Mfg</t>
        </is>
      </c>
      <c r="E80" s="338" t="inlineStr">
        <is>
          <t>Mtr</t>
        </is>
      </c>
    </row>
    <row r="81" hidden="1" s="516">
      <c r="A81" s="337" t="n">
        <v>79</v>
      </c>
      <c r="B81" s="340" t="inlineStr">
        <is>
          <t>ROLLER_CONVEYOR</t>
        </is>
      </c>
      <c r="C81" s="338" t="inlineStr">
        <is>
          <t>GRAVITY - BF-660mm Zone Length 900 MM</t>
        </is>
      </c>
      <c r="D81" s="338" t="inlineStr">
        <is>
          <t>India Mfg</t>
        </is>
      </c>
      <c r="E81" s="338" t="inlineStr">
        <is>
          <t>Mtr</t>
        </is>
      </c>
    </row>
    <row r="82" hidden="1" s="516">
      <c r="A82" s="337" t="n">
        <v>80</v>
      </c>
      <c r="B82" s="340" t="inlineStr">
        <is>
          <t>ROLLER_CONVEYOR</t>
        </is>
      </c>
      <c r="C82" s="338" t="inlineStr">
        <is>
          <t>GRAVITY - BF-460mm Zone Length 900 MM</t>
        </is>
      </c>
      <c r="D82" s="338" t="inlineStr">
        <is>
          <t>India Mfg</t>
        </is>
      </c>
      <c r="E82" s="338" t="inlineStr">
        <is>
          <t>Mtr</t>
        </is>
      </c>
    </row>
    <row r="83" hidden="1" s="516">
      <c r="A83" s="337" t="n">
        <v>81</v>
      </c>
      <c r="B83" s="340" t="inlineStr">
        <is>
          <t>ROLLER_CONVEYOR</t>
        </is>
      </c>
      <c r="C83" s="338" t="inlineStr">
        <is>
          <t>90 DEGREE CURVE - BF-460mm Zone Length 900 MM</t>
        </is>
      </c>
      <c r="D83" s="338" t="inlineStr">
        <is>
          <t>India Mfg</t>
        </is>
      </c>
      <c r="E83" s="338" t="inlineStr">
        <is>
          <t>Mtr</t>
        </is>
      </c>
    </row>
    <row r="84" hidden="1" s="516">
      <c r="A84" s="337" t="n">
        <v>82</v>
      </c>
      <c r="B84" s="340" t="inlineStr">
        <is>
          <t>ROLLER_CONVEYOR</t>
        </is>
      </c>
      <c r="C84" s="338" t="inlineStr">
        <is>
          <t>90 DEGREE CURVE - BF-660mm Zone Length 900 MM</t>
        </is>
      </c>
      <c r="D84" s="338" t="inlineStr">
        <is>
          <t>India Mfg</t>
        </is>
      </c>
      <c r="E84" s="338" t="inlineStr">
        <is>
          <t>Mtr</t>
        </is>
      </c>
    </row>
    <row r="85" hidden="1" s="516">
      <c r="A85" s="337" t="n">
        <v>83</v>
      </c>
      <c r="B85" s="340" t="inlineStr">
        <is>
          <t>POP_UP_Divertor</t>
        </is>
      </c>
      <c r="C85" s="340" t="inlineStr">
        <is>
          <t>Itoh Denki Case pop-up: Type B (460MM) - F-RAT</t>
        </is>
      </c>
      <c r="D85" s="340" t="inlineStr">
        <is>
          <t>Bought Out</t>
        </is>
      </c>
      <c r="E85" s="338" t="inlineStr">
        <is>
          <t>Number</t>
        </is>
      </c>
    </row>
    <row r="86" hidden="1" s="516">
      <c r="A86" s="337" t="n">
        <v>84</v>
      </c>
      <c r="B86" s="340" t="inlineStr">
        <is>
          <t>POP_UP_Divertor</t>
        </is>
      </c>
      <c r="C86" s="340" t="inlineStr">
        <is>
          <t>Itoh Denki Case pop-up: Type D (660MM) - F-RAT</t>
        </is>
      </c>
      <c r="D86" s="340" t="inlineStr">
        <is>
          <t>Bought Out</t>
        </is>
      </c>
      <c r="E86" s="338" t="inlineStr">
        <is>
          <t>Number</t>
        </is>
      </c>
    </row>
    <row r="87" hidden="1" s="516">
      <c r="A87" s="337" t="n">
        <v>85</v>
      </c>
      <c r="B87" s="340" t="inlineStr">
        <is>
          <t>POP_UP_Divertor</t>
        </is>
      </c>
      <c r="C87" s="340" t="inlineStr">
        <is>
          <t>Itoh Denki 30 DEGREE POPUP DIVERTER - POP-D</t>
        </is>
      </c>
      <c r="D87" s="340" t="inlineStr">
        <is>
          <t>Bought Out</t>
        </is>
      </c>
      <c r="E87" s="338" t="inlineStr">
        <is>
          <t>Number</t>
        </is>
      </c>
    </row>
    <row r="88" hidden="1" s="516">
      <c r="A88" s="337" t="n">
        <v>86</v>
      </c>
      <c r="B88" s="340" t="inlineStr">
        <is>
          <t>POP_UP_Divertor</t>
        </is>
      </c>
      <c r="C88" s="340" t="inlineStr">
        <is>
          <t>Itoh Denki 45 DEGREE POPUP DIVERTER - - POP-D</t>
        </is>
      </c>
      <c r="D88" s="340" t="inlineStr">
        <is>
          <t>Bought Out</t>
        </is>
      </c>
      <c r="E88" s="338" t="inlineStr">
        <is>
          <t>Number</t>
        </is>
      </c>
    </row>
    <row r="89" hidden="1" s="516">
      <c r="A89" s="337" t="n">
        <v>87</v>
      </c>
      <c r="B89" s="340" t="inlineStr">
        <is>
          <t>POP_UP_Divertor</t>
        </is>
      </c>
      <c r="C89" s="340" t="inlineStr">
        <is>
          <t>Itoh Denki - SLIDE OPEN GATE Conveyor</t>
        </is>
      </c>
      <c r="D89" s="340" t="inlineStr">
        <is>
          <t>Bought Out</t>
        </is>
      </c>
      <c r="E89" s="338" t="inlineStr">
        <is>
          <t>Number</t>
        </is>
      </c>
    </row>
    <row r="90" hidden="1" s="516">
      <c r="A90" s="337" t="n">
        <v>88</v>
      </c>
      <c r="B90" s="338" t="inlineStr">
        <is>
          <t>Pick_To_Light_PTL</t>
        </is>
      </c>
      <c r="C90" s="338" t="inlineStr">
        <is>
          <t>1. PTL-Rapido Module</t>
        </is>
      </c>
      <c r="D90" s="338" t="inlineStr">
        <is>
          <t>India Mfg</t>
        </is>
      </c>
      <c r="E90" s="338" t="inlineStr">
        <is>
          <t>Number</t>
        </is>
      </c>
    </row>
    <row r="91" hidden="1" s="516">
      <c r="A91" s="337" t="n">
        <v>89</v>
      </c>
      <c r="B91" s="338" t="inlineStr">
        <is>
          <t>Pick_To_Light_PTL</t>
        </is>
      </c>
      <c r="C91" s="338" t="inlineStr">
        <is>
          <t>2. PTL + RSC Controller</t>
        </is>
      </c>
      <c r="D91" s="338" t="inlineStr">
        <is>
          <t>India Mfg</t>
        </is>
      </c>
      <c r="E91" s="338" t="inlineStr">
        <is>
          <t>Number</t>
        </is>
      </c>
    </row>
    <row r="92" hidden="1" s="516">
      <c r="A92" s="337" t="n">
        <v>90</v>
      </c>
      <c r="B92" s="338" t="inlineStr">
        <is>
          <t>Pick_To_Light_PTL</t>
        </is>
      </c>
      <c r="C92" s="338" t="inlineStr">
        <is>
          <t>3. PTL POWER SUPPLY BOX SINGLE PHASE 20AMP</t>
        </is>
      </c>
      <c r="D92" s="338" t="inlineStr">
        <is>
          <t>India Mfg</t>
        </is>
      </c>
      <c r="E92" s="338" t="inlineStr">
        <is>
          <t>Number</t>
        </is>
      </c>
    </row>
    <row r="93" hidden="1" s="516">
      <c r="A93" s="337" t="n">
        <v>91</v>
      </c>
      <c r="B93" s="338" t="inlineStr">
        <is>
          <t>Pick_To_Light_PTL</t>
        </is>
      </c>
      <c r="C93" s="338" t="inlineStr">
        <is>
          <t>4. PTL Accessories</t>
        </is>
      </c>
      <c r="D93" s="338" t="inlineStr">
        <is>
          <t>India Mfg</t>
        </is>
      </c>
      <c r="E93" s="338" t="inlineStr">
        <is>
          <t>Number</t>
        </is>
      </c>
    </row>
    <row r="94" hidden="1" s="516">
      <c r="A94" s="337" t="n">
        <v>92</v>
      </c>
      <c r="B94" s="338" t="inlineStr">
        <is>
          <t>Pick_To_Light_PTL</t>
        </is>
      </c>
      <c r="C94" s="338" t="inlineStr">
        <is>
          <t>5. PTL Channels</t>
        </is>
      </c>
      <c r="D94" s="338" t="inlineStr">
        <is>
          <t>India Mfg</t>
        </is>
      </c>
      <c r="E94" s="338" t="inlineStr">
        <is>
          <t>Number</t>
        </is>
      </c>
    </row>
    <row r="95" hidden="1" s="516">
      <c r="A95" s="337" t="n">
        <v>93</v>
      </c>
      <c r="B95" s="338" t="inlineStr">
        <is>
          <t>Pick_To_Light_PTL</t>
        </is>
      </c>
      <c r="C95" s="338" t="inlineStr">
        <is>
          <t>6. PTL - Software</t>
        </is>
      </c>
      <c r="D95" s="338" t="inlineStr">
        <is>
          <t>Software</t>
        </is>
      </c>
      <c r="E95" s="338" t="inlineStr">
        <is>
          <t>Lumpsum</t>
        </is>
      </c>
    </row>
    <row r="96" hidden="1" ht="26" customHeight="1" s="516">
      <c r="A96" s="337" t="n">
        <v>94</v>
      </c>
      <c r="B96" s="338" t="inlineStr">
        <is>
          <t>Pick_By_Voice_PBV</t>
        </is>
      </c>
      <c r="C96" s="338" t="inlineStr">
        <is>
          <t>1. PBV - Hardware (Mobile phone+ ring scanner + Batstar Headset)</t>
        </is>
      </c>
      <c r="D96" s="338" t="inlineStr">
        <is>
          <t>India Mfg</t>
        </is>
      </c>
      <c r="E96" s="338" t="inlineStr">
        <is>
          <t>Per device</t>
        </is>
      </c>
    </row>
    <row r="97" hidden="1" s="516">
      <c r="A97" s="337" t="n">
        <v>95</v>
      </c>
      <c r="B97" s="338" t="inlineStr">
        <is>
          <t>Pick_By_Voice_PBV</t>
        </is>
      </c>
      <c r="C97" s="338" t="inlineStr">
        <is>
          <t>2. PBV - Software - One time</t>
        </is>
      </c>
      <c r="D97" s="338" t="inlineStr">
        <is>
          <t>Software</t>
        </is>
      </c>
      <c r="E97" s="338" t="inlineStr">
        <is>
          <t>Per device</t>
        </is>
      </c>
    </row>
    <row r="98" hidden="1" s="516">
      <c r="A98" s="337" t="n">
        <v>96</v>
      </c>
      <c r="B98" s="338" t="inlineStr">
        <is>
          <t>Pick_By_Voice_PBV</t>
        </is>
      </c>
      <c r="C98" s="338" t="inlineStr">
        <is>
          <t>3. PBV - Software - Recurring</t>
        </is>
      </c>
      <c r="D98" s="338" t="inlineStr">
        <is>
          <t>Software</t>
        </is>
      </c>
      <c r="E98" s="338" t="inlineStr">
        <is>
          <t>Per user per month</t>
        </is>
      </c>
    </row>
    <row r="99" hidden="1" s="516">
      <c r="A99" s="337" t="n">
        <v>97</v>
      </c>
      <c r="B99" s="338" t="inlineStr">
        <is>
          <t>SRM</t>
        </is>
      </c>
      <c r="C99" s="338" t="inlineStr">
        <is>
          <t>1. SRM ASRS - Mechnaical</t>
        </is>
      </c>
      <c r="D99" s="338" t="inlineStr">
        <is>
          <t>Bought Out</t>
        </is>
      </c>
      <c r="E99" s="338" t="inlineStr">
        <is>
          <t>Per Crane</t>
        </is>
      </c>
    </row>
    <row r="100" hidden="1" s="516">
      <c r="A100" s="337" t="n">
        <v>98</v>
      </c>
      <c r="B100" s="338" t="inlineStr">
        <is>
          <t>SRM</t>
        </is>
      </c>
      <c r="C100" s="338" t="inlineStr">
        <is>
          <t>2. SRM Controls</t>
        </is>
      </c>
      <c r="D100" s="338" t="inlineStr">
        <is>
          <t>Bought Out</t>
        </is>
      </c>
      <c r="E100" s="338" t="inlineStr">
        <is>
          <t>Per Crane</t>
        </is>
      </c>
    </row>
    <row r="101" hidden="1" s="516">
      <c r="A101" s="337" t="n">
        <v>99</v>
      </c>
      <c r="B101" s="338" t="inlineStr">
        <is>
          <t>Software</t>
        </is>
      </c>
      <c r="C101" s="338" t="inlineStr">
        <is>
          <t>Mobinity - WCS</t>
        </is>
      </c>
      <c r="D101" s="338" t="inlineStr">
        <is>
          <t>Software</t>
        </is>
      </c>
      <c r="E101" s="338" t="inlineStr">
        <is>
          <t>Lumpsum</t>
        </is>
      </c>
    </row>
    <row r="102" hidden="1" s="516">
      <c r="A102" s="337" t="n">
        <v>100</v>
      </c>
      <c r="B102" s="338" t="inlineStr">
        <is>
          <t>Software</t>
        </is>
      </c>
      <c r="C102" s="338" t="inlineStr">
        <is>
          <t>Optimus - WMS</t>
        </is>
      </c>
      <c r="D102" s="338" t="inlineStr">
        <is>
          <t>Software</t>
        </is>
      </c>
      <c r="E102" s="338" t="inlineStr">
        <is>
          <t>Lumpsum</t>
        </is>
      </c>
    </row>
    <row r="103" hidden="1" s="516">
      <c r="A103" s="337" t="n">
        <v>101</v>
      </c>
      <c r="B103" s="338" t="inlineStr">
        <is>
          <t>Software</t>
        </is>
      </c>
      <c r="C103" s="338" t="inlineStr">
        <is>
          <t>Concinity - WES</t>
        </is>
      </c>
      <c r="D103" s="338" t="inlineStr">
        <is>
          <t>Software</t>
        </is>
      </c>
      <c r="E103" s="338" t="inlineStr">
        <is>
          <t>Lumpsum</t>
        </is>
      </c>
    </row>
    <row r="104" hidden="1" s="516">
      <c r="A104" s="337" t="n">
        <v>102</v>
      </c>
      <c r="B104" s="338" t="inlineStr">
        <is>
          <t>Software</t>
        </is>
      </c>
      <c r="C104" s="338" t="inlineStr">
        <is>
          <t>Software</t>
        </is>
      </c>
      <c r="D104" s="338" t="inlineStr">
        <is>
          <t>Software</t>
        </is>
      </c>
      <c r="E104" s="338" t="inlineStr">
        <is>
          <t>Lumpsum</t>
        </is>
      </c>
    </row>
    <row r="105" hidden="1" s="516">
      <c r="A105" s="337" t="n">
        <v>103</v>
      </c>
      <c r="B105" s="338" t="inlineStr">
        <is>
          <t>Software</t>
        </is>
      </c>
      <c r="C105" s="338" t="inlineStr">
        <is>
          <t>Movect - FMS</t>
        </is>
      </c>
      <c r="D105" s="338" t="inlineStr">
        <is>
          <t>Software</t>
        </is>
      </c>
      <c r="E105" s="338" t="inlineStr">
        <is>
          <t>Lumpsum</t>
        </is>
      </c>
    </row>
    <row r="106" hidden="1" s="516">
      <c r="A106" s="337" t="n">
        <v>104</v>
      </c>
      <c r="B106" s="338" t="inlineStr">
        <is>
          <t>Design_Consultancy</t>
        </is>
      </c>
      <c r="C106" s="338" t="inlineStr">
        <is>
          <t>Design Consultancy</t>
        </is>
      </c>
      <c r="D106" s="338" t="inlineStr">
        <is>
          <t>Design Fee</t>
        </is>
      </c>
      <c r="E106" s="338" t="inlineStr">
        <is>
          <t>Lumpsum</t>
        </is>
      </c>
    </row>
    <row r="107" hidden="1" s="516">
      <c r="A107" s="337" t="n">
        <v>105</v>
      </c>
      <c r="B107" s="338" t="inlineStr">
        <is>
          <t>Project_Management</t>
        </is>
      </c>
      <c r="C107" s="338" t="inlineStr">
        <is>
          <t>Project Management</t>
        </is>
      </c>
      <c r="D107" s="338" t="inlineStr">
        <is>
          <t>I&amp;C</t>
        </is>
      </c>
      <c r="E107" s="338" t="inlineStr">
        <is>
          <t>Lumpsum</t>
        </is>
      </c>
    </row>
    <row r="108" hidden="1" s="516">
      <c r="A108" s="337" t="n">
        <v>106</v>
      </c>
      <c r="B108" s="338" t="inlineStr">
        <is>
          <t>Installation_Commissioning</t>
        </is>
      </c>
      <c r="C108" s="338" t="inlineStr">
        <is>
          <t>Manpower and Services</t>
        </is>
      </c>
      <c r="D108" s="338" t="inlineStr">
        <is>
          <t>I&amp;C</t>
        </is>
      </c>
      <c r="E108" s="338" t="inlineStr">
        <is>
          <t>Lumpsum</t>
        </is>
      </c>
    </row>
    <row r="109" hidden="1" s="516">
      <c r="A109" s="337" t="n">
        <v>107</v>
      </c>
      <c r="B109" s="338" t="inlineStr">
        <is>
          <t>Installation_Commissioning</t>
        </is>
      </c>
      <c r="C109" s="338" t="inlineStr">
        <is>
          <t>Equipment/ Infra/ Consumables</t>
        </is>
      </c>
      <c r="D109" s="338" t="inlineStr">
        <is>
          <t>I&amp;C</t>
        </is>
      </c>
      <c r="E109" s="338" t="inlineStr">
        <is>
          <t>Lumpsum</t>
        </is>
      </c>
    </row>
    <row r="110" hidden="1" s="516">
      <c r="A110" s="337" t="n">
        <v>108</v>
      </c>
      <c r="B110" s="338" t="inlineStr">
        <is>
          <t>Installation_Commissioning</t>
        </is>
      </c>
      <c r="C110" s="338" t="inlineStr">
        <is>
          <t>Others to specify</t>
        </is>
      </c>
      <c r="D110" s="338" t="inlineStr">
        <is>
          <t>I&amp;C</t>
        </is>
      </c>
      <c r="E110" s="338" t="inlineStr">
        <is>
          <t>Lumpsum</t>
        </is>
      </c>
    </row>
    <row r="111" hidden="1" s="516">
      <c r="A111" s="337" t="n">
        <v>109</v>
      </c>
      <c r="B111" s="338" t="inlineStr">
        <is>
          <t>IT_Infra</t>
        </is>
      </c>
      <c r="C111" s="338" t="inlineStr">
        <is>
          <t>IT Hardware and Infra</t>
        </is>
      </c>
      <c r="D111" s="338" t="inlineStr">
        <is>
          <t>IT Infra</t>
        </is>
      </c>
      <c r="E111" s="338" t="inlineStr">
        <is>
          <t>Lumpsum</t>
        </is>
      </c>
    </row>
    <row r="112" hidden="1" s="516">
      <c r="A112" s="337" t="n">
        <v>110</v>
      </c>
      <c r="B112" s="338" t="inlineStr">
        <is>
          <t>IT_Infra</t>
        </is>
      </c>
      <c r="C112" s="338" t="inlineStr">
        <is>
          <t>IT Support</t>
        </is>
      </c>
      <c r="D112" s="338" t="inlineStr">
        <is>
          <t>I&amp;C</t>
        </is>
      </c>
      <c r="E112" s="338" t="inlineStr">
        <is>
          <t>Lumpsum</t>
        </is>
      </c>
    </row>
    <row r="113" hidden="1" s="516">
      <c r="A113" s="337" t="n">
        <v>111</v>
      </c>
      <c r="B113" s="338" t="inlineStr">
        <is>
          <t>After_Sales</t>
        </is>
      </c>
      <c r="C113" s="338" t="inlineStr">
        <is>
          <t>Spare Parts</t>
        </is>
      </c>
      <c r="D113" s="338" t="inlineStr">
        <is>
          <t>Spare Parts</t>
        </is>
      </c>
      <c r="E113" s="338" t="inlineStr">
        <is>
          <t>Lumpsum</t>
        </is>
      </c>
    </row>
    <row r="114" hidden="1" s="516">
      <c r="A114" s="337" t="n">
        <v>112</v>
      </c>
      <c r="B114" s="338" t="inlineStr">
        <is>
          <t>After_Sales</t>
        </is>
      </c>
      <c r="C114" s="338" t="inlineStr">
        <is>
          <t>Additional Warranty</t>
        </is>
      </c>
      <c r="D114" s="338" t="inlineStr">
        <is>
          <t>Warranty</t>
        </is>
      </c>
      <c r="E114" s="338" t="inlineStr">
        <is>
          <t>Lumpsum</t>
        </is>
      </c>
    </row>
    <row r="115" hidden="1" s="516">
      <c r="A115" s="337" t="n">
        <v>113</v>
      </c>
      <c r="B115" s="338" t="inlineStr">
        <is>
          <t>After_Sales</t>
        </is>
      </c>
      <c r="C115" s="338" t="inlineStr">
        <is>
          <t>AMC</t>
        </is>
      </c>
      <c r="D115" s="338" t="inlineStr">
        <is>
          <t>AMC</t>
        </is>
      </c>
      <c r="E115" s="338" t="inlineStr">
        <is>
          <t>Lumpsum</t>
        </is>
      </c>
    </row>
    <row r="116" hidden="1" s="516">
      <c r="A116" s="337" t="n">
        <v>114</v>
      </c>
      <c r="B116" s="338" t="inlineStr">
        <is>
          <t>Certifications</t>
        </is>
      </c>
      <c r="C116" s="338" t="inlineStr">
        <is>
          <t>Certifications</t>
        </is>
      </c>
      <c r="D116" s="338" t="inlineStr">
        <is>
          <t>Certifications</t>
        </is>
      </c>
      <c r="E116" s="338" t="inlineStr">
        <is>
          <t>Lumpsum</t>
        </is>
      </c>
    </row>
    <row r="117" hidden="1" s="516">
      <c r="A117" s="337" t="n">
        <v>115</v>
      </c>
      <c r="B117" s="338" t="inlineStr">
        <is>
          <t>Packaging_Freight_Insurance</t>
        </is>
      </c>
      <c r="C117" s="338" t="inlineStr">
        <is>
          <t>Packaging</t>
        </is>
      </c>
      <c r="D117" s="338" t="inlineStr">
        <is>
          <t>Packaging</t>
        </is>
      </c>
      <c r="E117" s="338" t="inlineStr">
        <is>
          <t>Lumpsum</t>
        </is>
      </c>
    </row>
    <row r="118" hidden="1" s="516">
      <c r="A118" s="337" t="n">
        <v>116</v>
      </c>
      <c r="B118" s="338" t="inlineStr">
        <is>
          <t>Packaging_Freight_Insurance</t>
        </is>
      </c>
      <c r="C118" s="338" t="inlineStr">
        <is>
          <t>Freight</t>
        </is>
      </c>
      <c r="D118" s="338" t="inlineStr">
        <is>
          <t>Freight</t>
        </is>
      </c>
      <c r="E118" s="338" t="inlineStr">
        <is>
          <t>Lumpsum</t>
        </is>
      </c>
    </row>
    <row r="119" hidden="1" s="516">
      <c r="A119" s="337" t="n">
        <v>117</v>
      </c>
      <c r="B119" s="338" t="inlineStr">
        <is>
          <t>Packaging_Freight_Insurance</t>
        </is>
      </c>
      <c r="C119" s="338" t="inlineStr">
        <is>
          <t>Insurance</t>
        </is>
      </c>
      <c r="D119" s="338" t="inlineStr">
        <is>
          <t>Insurance</t>
        </is>
      </c>
      <c r="E119" s="338" t="inlineStr">
        <is>
          <t>Lumpsum</t>
        </is>
      </c>
    </row>
  </sheetData>
  <autoFilter ref="A2:E119">
    <filterColumn colId="1" hiddenButton="0" showButton="1">
      <filters>
        <filter val="Pallet_Conveyor"/>
      </filters>
    </filterColumn>
  </autoFilter>
  <mergeCells count="1">
    <mergeCell ref="A1:E1"/>
  </mergeCells>
  <pageMargins left="0.7" right="0.7" top="0.75" bottom="0.75" header="0.3" footer="0.3"/>
  <pageSetup orientation="portrait"/>
  <headerFooter>
    <oddHeader/>
    <oddFooter>&amp;L&amp;"Calibri"&amp;10 &amp;K000000_x000d_# Classification: Internal</oddFooter>
    <evenHeader/>
    <evenFooter/>
    <firstHeader/>
    <firstFooter/>
  </headerFooter>
</worksheet>
</file>

<file path=xl/worksheets/sheet28.xml><?xml version="1.0" encoding="utf-8"?>
<worksheet xmlns:r="http://schemas.openxmlformats.org/officeDocument/2006/relationships" xmlns="http://schemas.openxmlformats.org/spreadsheetml/2006/main">
  <sheetPr codeName="Sheet17">
    <tabColor theme="4"/>
    <outlinePr summaryBelow="1" summaryRight="1"/>
    <pageSetUpPr fitToPage="1"/>
  </sheetPr>
  <dimension ref="A1:P68"/>
  <sheetViews>
    <sheetView showGridLines="0" zoomScale="70" zoomScaleNormal="70" workbookViewId="0">
      <selection activeCell="D38" sqref="D38"/>
    </sheetView>
  </sheetViews>
  <sheetFormatPr baseColWidth="10" defaultColWidth="8.83203125" defaultRowHeight="15"/>
  <cols>
    <col width="67.1640625" bestFit="1" customWidth="1" style="258" min="1" max="1"/>
    <col width="30.33203125" customWidth="1" style="258" min="2" max="2"/>
    <col width="7.33203125" customWidth="1" style="258" min="3" max="3"/>
    <col width="70.33203125" bestFit="1" customWidth="1" style="258" min="4" max="4"/>
    <col width="11.5" customWidth="1" style="300" min="5" max="5"/>
    <col width="11.5" customWidth="1" style="258" min="6" max="6"/>
    <col width="10.83203125" customWidth="1" style="258" min="7" max="7"/>
    <col width="12" customWidth="1" style="258" min="8" max="8"/>
    <col width="5.6640625" bestFit="1" customWidth="1" style="516" min="9" max="9"/>
    <col width="22.83203125" customWidth="1" style="258" min="10" max="10"/>
    <col width="13.33203125" customWidth="1" style="258" min="11" max="12"/>
    <col width="8.83203125" customWidth="1" style="258" min="13" max="13"/>
    <col width="16.6640625" bestFit="1" customWidth="1" style="258" min="14" max="14"/>
    <col width="8.83203125" customWidth="1" style="258" min="15" max="15"/>
    <col width="8.83203125" customWidth="1" style="258" min="16" max="16384"/>
  </cols>
  <sheetData>
    <row r="1" ht="42" customHeight="1" s="516">
      <c r="B1" s="1">
        <f>'Master List'!$F$2</f>
        <v/>
      </c>
    </row>
    <row r="2" ht="21.5" customHeight="1" s="516">
      <c r="A2" s="180" t="inlineStr">
        <is>
          <t>Project name</t>
        </is>
      </c>
      <c r="B2" s="181" t="n"/>
    </row>
    <row r="3" ht="21.5" customHeight="1" s="516">
      <c r="A3" s="180" t="inlineStr">
        <is>
          <t>Revision</t>
        </is>
      </c>
      <c r="B3" s="181" t="n"/>
    </row>
    <row r="4" ht="21.5" customHeight="1" s="516" thickBot="1">
      <c r="A4" s="267" t="inlineStr">
        <is>
          <t>ASRS Stacker Crane (Pallet positions in given area)</t>
        </is>
      </c>
      <c r="B4" s="267" t="n"/>
      <c r="F4" s="99" t="inlineStr">
        <is>
          <t>Input values either in metrics or imperial only</t>
        </is>
      </c>
    </row>
    <row r="5" ht="21.5" customHeight="1" s="516">
      <c r="A5" s="259" t="inlineStr">
        <is>
          <t>Max pallets that can be stored</t>
        </is>
      </c>
      <c r="B5" s="260">
        <f>B27*E18*E17*B41*B18*2</f>
        <v/>
      </c>
      <c r="D5" s="301" t="inlineStr">
        <is>
          <t>Pallet inputs</t>
        </is>
      </c>
      <c r="E5" s="262" t="inlineStr">
        <is>
          <t>Value</t>
        </is>
      </c>
      <c r="F5" s="263" t="inlineStr">
        <is>
          <t>UOM</t>
        </is>
      </c>
      <c r="G5" s="264" t="inlineStr">
        <is>
          <t>Value</t>
        </is>
      </c>
      <c r="H5" s="265" t="inlineStr">
        <is>
          <t>UOM</t>
        </is>
      </c>
      <c r="I5" s="258" t="n"/>
      <c r="J5" s="565" t="inlineStr">
        <is>
          <t>Input values in either Meters M (Column E) or in Feet Ft in (Column G)</t>
        </is>
      </c>
      <c r="K5" s="302" t="n"/>
      <c r="L5" s="302" t="n"/>
      <c r="M5" s="303" t="inlineStr">
        <is>
          <t>Value</t>
        </is>
      </c>
      <c r="N5" s="266" t="inlineStr">
        <is>
          <t>UOM</t>
        </is>
      </c>
      <c r="O5" s="266" t="inlineStr">
        <is>
          <t>Value</t>
        </is>
      </c>
      <c r="P5" s="266" t="inlineStr">
        <is>
          <t>UOM</t>
        </is>
      </c>
    </row>
    <row r="6" ht="18" customHeight="1" s="516">
      <c r="A6" s="267" t="inlineStr">
        <is>
          <t>Remaining area m^2</t>
        </is>
      </c>
      <c r="B6" s="268">
        <f>B7*B8</f>
        <v/>
      </c>
      <c r="D6" s="304" t="inlineStr">
        <is>
          <t xml:space="preserve">Pallet depth </t>
        </is>
      </c>
      <c r="E6" s="270" t="n">
        <v>1.2</v>
      </c>
      <c r="F6" s="271" t="inlineStr">
        <is>
          <t>M</t>
        </is>
      </c>
      <c r="G6" s="272" t="n"/>
      <c r="H6" s="273" t="inlineStr">
        <is>
          <t>Ft</t>
        </is>
      </c>
      <c r="I6" s="305">
        <f>CONVERT(G6,"ft","m")</f>
        <v/>
      </c>
      <c r="J6" s="566" t="n"/>
      <c r="K6" s="302" t="n"/>
      <c r="L6" s="302" t="n"/>
      <c r="M6" s="306">
        <f>MAX(E6,I6)</f>
        <v/>
      </c>
      <c r="N6" s="271" t="inlineStr">
        <is>
          <t>M</t>
        </is>
      </c>
      <c r="O6" s="275">
        <f>M6*1000</f>
        <v/>
      </c>
      <c r="P6" s="271" t="inlineStr">
        <is>
          <t>mm</t>
        </is>
      </c>
    </row>
    <row r="7" ht="16" customHeight="1" s="516">
      <c r="A7" s="271" t="inlineStr">
        <is>
          <t>Length of remaining area M</t>
        </is>
      </c>
      <c r="B7" s="271">
        <f>M12</f>
        <v/>
      </c>
      <c r="D7" s="304" t="inlineStr">
        <is>
          <t xml:space="preserve">Pallet width </t>
        </is>
      </c>
      <c r="E7" s="270" t="n">
        <v>1</v>
      </c>
      <c r="F7" s="271" t="inlineStr">
        <is>
          <t>M</t>
        </is>
      </c>
      <c r="G7" s="272" t="n"/>
      <c r="H7" s="273" t="inlineStr">
        <is>
          <t>Ft</t>
        </is>
      </c>
      <c r="I7" s="305">
        <f>CONVERT(G7,"ft","m")</f>
        <v/>
      </c>
      <c r="J7" s="566" t="n"/>
      <c r="K7" s="302" t="n"/>
      <c r="L7" s="302" t="n"/>
      <c r="M7" s="306">
        <f>MAX(E7,I7)</f>
        <v/>
      </c>
      <c r="N7" s="271" t="inlineStr">
        <is>
          <t>M</t>
        </is>
      </c>
      <c r="O7" s="275">
        <f>M7*1000</f>
        <v/>
      </c>
      <c r="P7" s="271" t="inlineStr">
        <is>
          <t>mm</t>
        </is>
      </c>
    </row>
    <row r="8" ht="17" customHeight="1" s="516" thickBot="1">
      <c r="A8" s="271" t="inlineStr">
        <is>
          <t>Width of remaining area M</t>
        </is>
      </c>
      <c r="B8" s="276">
        <f>((M13-(B18*(B17/1000))))</f>
        <v/>
      </c>
      <c r="D8" s="307" t="inlineStr">
        <is>
          <t>Pallet height including the load</t>
        </is>
      </c>
      <c r="E8" s="282" t="n">
        <v>1.6</v>
      </c>
      <c r="F8" s="279" t="inlineStr">
        <is>
          <t>M</t>
        </is>
      </c>
      <c r="G8" s="280" t="n"/>
      <c r="H8" s="281" t="inlineStr">
        <is>
          <t>Ft</t>
        </is>
      </c>
      <c r="I8" s="305">
        <f>CONVERT(G8,"ft","m")</f>
        <v/>
      </c>
      <c r="J8" s="566" t="n"/>
      <c r="K8" s="302" t="n"/>
      <c r="L8" s="302" t="n"/>
      <c r="M8" s="306">
        <f>MAX(E8,I8)</f>
        <v/>
      </c>
      <c r="N8" s="271" t="inlineStr">
        <is>
          <t>M</t>
        </is>
      </c>
      <c r="O8" s="275">
        <f>M8*1000</f>
        <v/>
      </c>
      <c r="P8" s="271" t="inlineStr">
        <is>
          <t>mm</t>
        </is>
      </c>
    </row>
    <row r="9" ht="17" customHeight="1" s="516" thickBot="1">
      <c r="G9" s="308" t="n"/>
      <c r="J9" s="566" t="n"/>
      <c r="K9" s="302" t="n"/>
      <c r="L9" s="302" t="n"/>
    </row>
    <row r="10" ht="16" customHeight="1" s="516">
      <c r="A10" s="288" t="inlineStr">
        <is>
          <t>No of Crane aisles calculation</t>
        </is>
      </c>
      <c r="B10" s="309" t="inlineStr">
        <is>
          <t>Nos.</t>
        </is>
      </c>
      <c r="D10" s="301" t="inlineStr">
        <is>
          <t>Field Inputs</t>
        </is>
      </c>
      <c r="E10" s="262" t="inlineStr">
        <is>
          <t>Value</t>
        </is>
      </c>
      <c r="F10" s="263" t="inlineStr">
        <is>
          <t>UOM</t>
        </is>
      </c>
      <c r="G10" s="264" t="inlineStr">
        <is>
          <t>Value</t>
        </is>
      </c>
      <c r="H10" s="265" t="inlineStr">
        <is>
          <t>UOM</t>
        </is>
      </c>
      <c r="J10" s="566" t="n"/>
      <c r="K10" s="302" t="n"/>
      <c r="L10" s="302" t="n"/>
      <c r="M10" s="303" t="inlineStr">
        <is>
          <t>Value</t>
        </is>
      </c>
      <c r="N10" s="266" t="inlineStr">
        <is>
          <t>UOM</t>
        </is>
      </c>
      <c r="O10" s="310" t="inlineStr">
        <is>
          <t>Value</t>
        </is>
      </c>
      <c r="P10" s="266" t="inlineStr">
        <is>
          <t>UOM</t>
        </is>
      </c>
    </row>
    <row r="11" ht="16" customHeight="1" s="516">
      <c r="A11" s="271" t="inlineStr">
        <is>
          <t>Pallet to pallet - in direction of forking</t>
        </is>
      </c>
      <c r="B11" s="271" t="n">
        <v>100</v>
      </c>
      <c r="D11" s="304" t="inlineStr">
        <is>
          <t>Clear height (After Lightings, sprinklers etc.)</t>
        </is>
      </c>
      <c r="E11" s="270" t="n">
        <v>30</v>
      </c>
      <c r="F11" s="271" t="inlineStr">
        <is>
          <t>M</t>
        </is>
      </c>
      <c r="G11" s="272" t="n"/>
      <c r="H11" s="273" t="inlineStr">
        <is>
          <t>Ft</t>
        </is>
      </c>
      <c r="I11" s="305">
        <f>CONVERT(G11,"ft","m")</f>
        <v/>
      </c>
      <c r="J11" s="566" t="n"/>
      <c r="K11" s="302" t="n"/>
      <c r="L11" s="302" t="n"/>
      <c r="M11" s="306">
        <f>MAX(E11,I11)</f>
        <v/>
      </c>
      <c r="N11" s="271" t="inlineStr">
        <is>
          <t>M</t>
        </is>
      </c>
      <c r="O11" s="275">
        <f>M11*1000</f>
        <v/>
      </c>
      <c r="P11" s="271" t="inlineStr">
        <is>
          <t>mm</t>
        </is>
      </c>
    </row>
    <row r="12" ht="16" customHeight="1" s="516">
      <c r="A12" s="271" t="inlineStr">
        <is>
          <t>Effective depth of  pallet - forking direction</t>
        </is>
      </c>
      <c r="B12" s="271">
        <f>O6+B11</f>
        <v/>
      </c>
      <c r="D12" s="304" t="inlineStr">
        <is>
          <t xml:space="preserve">Available area length </t>
        </is>
      </c>
      <c r="E12" s="270" t="n">
        <v>100</v>
      </c>
      <c r="F12" s="271" t="inlineStr">
        <is>
          <t>M</t>
        </is>
      </c>
      <c r="G12" s="272" t="n"/>
      <c r="H12" s="273" t="inlineStr">
        <is>
          <t>Ft</t>
        </is>
      </c>
      <c r="I12" s="305">
        <f>CONVERT(G12,"ft","m")</f>
        <v/>
      </c>
      <c r="J12" s="566" t="n"/>
      <c r="K12" s="302" t="n"/>
      <c r="L12" s="302" t="n"/>
      <c r="M12" s="306">
        <f>MAX(E12,I12)</f>
        <v/>
      </c>
      <c r="N12" s="271" t="inlineStr">
        <is>
          <t>M</t>
        </is>
      </c>
      <c r="O12" s="275">
        <f>M12*1000</f>
        <v/>
      </c>
      <c r="P12" s="271" t="inlineStr">
        <is>
          <t>mm</t>
        </is>
      </c>
    </row>
    <row r="13" ht="17" customHeight="1" s="516" thickBot="1">
      <c r="A13" s="271" t="inlineStr">
        <is>
          <t>Aisle width</t>
        </is>
      </c>
      <c r="B13" s="271" t="n">
        <v>1610</v>
      </c>
      <c r="D13" s="307" t="inlineStr">
        <is>
          <t>Available area width</t>
        </is>
      </c>
      <c r="E13" s="282" t="n">
        <v>40</v>
      </c>
      <c r="F13" s="279" t="inlineStr">
        <is>
          <t>M</t>
        </is>
      </c>
      <c r="G13" s="280" t="n"/>
      <c r="H13" s="281" t="inlineStr">
        <is>
          <t>Ft</t>
        </is>
      </c>
      <c r="I13" s="305">
        <f>CONVERT(G13,"ft","m")</f>
        <v/>
      </c>
      <c r="J13" s="566" t="n"/>
      <c r="K13" s="302" t="n"/>
      <c r="L13" s="302" t="n"/>
      <c r="M13" s="306">
        <f>MAX(E13,I13)</f>
        <v/>
      </c>
      <c r="N13" s="271" t="inlineStr">
        <is>
          <t>M</t>
        </is>
      </c>
      <c r="O13" s="275">
        <f>M13*1000</f>
        <v/>
      </c>
      <c r="P13" s="271" t="inlineStr">
        <is>
          <t>mm</t>
        </is>
      </c>
    </row>
    <row r="14" ht="16" customHeight="1" s="516">
      <c r="A14" s="271" t="inlineStr">
        <is>
          <t>Fencing outside storage</t>
        </is>
      </c>
      <c r="B14" s="271" t="n">
        <v>350</v>
      </c>
      <c r="J14" s="566" t="n"/>
      <c r="K14" s="302" t="n"/>
      <c r="L14" s="302" t="n"/>
    </row>
    <row r="15" ht="17" customHeight="1" s="516" thickBot="1">
      <c r="A15" s="271" t="inlineStr">
        <is>
          <t>Width left side of the track</t>
        </is>
      </c>
      <c r="B15" s="271">
        <f>(B12*E17)+(B13/2)+(B14/2)</f>
        <v/>
      </c>
      <c r="J15" s="566" t="n"/>
      <c r="K15" s="302" t="n"/>
      <c r="L15" s="302" t="n"/>
    </row>
    <row r="16" ht="16" customHeight="1" s="516">
      <c r="A16" s="271" t="inlineStr">
        <is>
          <t>Width right side of the track</t>
        </is>
      </c>
      <c r="B16" s="271">
        <f>(B12*E17)+(B13/2)+(B14/2)</f>
        <v/>
      </c>
      <c r="D16" s="261" t="inlineStr">
        <is>
          <t>Configuration Inputs</t>
        </is>
      </c>
      <c r="E16" s="311" t="inlineStr">
        <is>
          <t>Value</t>
        </is>
      </c>
      <c r="F16" s="312" t="inlineStr">
        <is>
          <t>UOM</t>
        </is>
      </c>
      <c r="J16" s="566" t="n"/>
      <c r="K16" s="302" t="n"/>
      <c r="L16" s="302" t="n"/>
    </row>
    <row r="17" ht="17" customHeight="1" s="516" thickBot="1">
      <c r="A17" s="271" t="inlineStr">
        <is>
          <t>Total width</t>
        </is>
      </c>
      <c r="B17" s="271">
        <f>SUM(B15:B16)</f>
        <v/>
      </c>
      <c r="D17" s="269" t="inlineStr">
        <is>
          <t>Deep (No. of pallets in depth)</t>
        </is>
      </c>
      <c r="E17" s="286" t="n">
        <v>2</v>
      </c>
      <c r="F17" s="313" t="inlineStr">
        <is>
          <t>Nos</t>
        </is>
      </c>
      <c r="J17" s="566" t="n"/>
      <c r="K17" s="302" t="n"/>
      <c r="L17" s="302" t="n"/>
    </row>
    <row r="18" ht="30.5" customHeight="1" s="516" thickBot="1">
      <c r="A18" s="296" t="inlineStr">
        <is>
          <t># of Crane aisles as per storage requirement</t>
        </is>
      </c>
      <c r="B18" s="296">
        <f>ROUNDDOWN(O13/B17,0)</f>
        <v/>
      </c>
      <c r="D18" s="314" t="inlineStr">
        <is>
          <t>Number of pallets in a bay per level (Bay length is limited to 2,500mm max)</t>
        </is>
      </c>
      <c r="E18" s="315" t="n">
        <v>2</v>
      </c>
      <c r="F18" s="579">
        <f>IF(B25&gt;B24,"Bay length exceeded, reduce the number of pallets per bay"," Bay length within limit")</f>
        <v/>
      </c>
      <c r="G18" s="575" t="n"/>
      <c r="H18" s="576" t="n"/>
      <c r="J18" s="566" t="n"/>
      <c r="K18" s="302" t="n"/>
      <c r="L18" s="302" t="n"/>
    </row>
    <row r="19" ht="16" customHeight="1" s="516">
      <c r="A19" s="296" t="inlineStr">
        <is>
          <t>No of cranes as per throughput requirement</t>
        </is>
      </c>
      <c r="B19" s="296">
        <f>ROUNDUP(E23/E24,0)</f>
        <v/>
      </c>
      <c r="D19" s="316" t="inlineStr">
        <is>
          <t>ESFR after every</t>
        </is>
      </c>
      <c r="E19" s="317" t="n">
        <v>9</v>
      </c>
      <c r="F19" s="318" t="inlineStr">
        <is>
          <t>M</t>
        </is>
      </c>
      <c r="G19" s="319" t="n"/>
      <c r="H19" s="320" t="inlineStr">
        <is>
          <t>Ft</t>
        </is>
      </c>
      <c r="I19" s="305">
        <f>CONVERT(G19,"ft","m")</f>
        <v/>
      </c>
      <c r="J19" s="566" t="n"/>
      <c r="K19" s="302" t="n"/>
      <c r="L19" s="302" t="n"/>
      <c r="M19" s="306">
        <f>MAX(E19,I19)</f>
        <v/>
      </c>
      <c r="N19" s="271" t="inlineStr">
        <is>
          <t>M</t>
        </is>
      </c>
    </row>
    <row r="20" ht="17" customHeight="1" s="516" thickBot="1">
      <c r="A20" s="288" t="inlineStr">
        <is>
          <t>Calculation for No of Bays along the aisle</t>
        </is>
      </c>
      <c r="B20" s="288" t="inlineStr">
        <is>
          <t>Dimension in mm</t>
        </is>
      </c>
      <c r="D20" s="321" t="inlineStr">
        <is>
          <t>Bracing towers after every (change this based on discussion with rack vendor)</t>
        </is>
      </c>
      <c r="E20" s="322" t="n">
        <v>30</v>
      </c>
      <c r="F20" s="278" t="inlineStr">
        <is>
          <t>M</t>
        </is>
      </c>
      <c r="G20" s="280" t="n"/>
      <c r="H20" s="281" t="inlineStr">
        <is>
          <t>Ft</t>
        </is>
      </c>
      <c r="I20" s="305">
        <f>CONVERT(G20,"ft","m")</f>
        <v/>
      </c>
      <c r="J20" s="567" t="n"/>
      <c r="K20" s="302" t="n"/>
      <c r="L20" s="302" t="n"/>
      <c r="M20" s="306">
        <f>MAX(E20,I20)</f>
        <v/>
      </c>
      <c r="N20" s="271" t="inlineStr">
        <is>
          <t>M</t>
        </is>
      </c>
    </row>
    <row r="21" ht="16" customHeight="1" s="516" thickBot="1">
      <c r="A21" s="271" t="inlineStr">
        <is>
          <t>Upright</t>
        </is>
      </c>
      <c r="B21" s="271" t="n">
        <v>120</v>
      </c>
      <c r="J21" s="323" t="n"/>
      <c r="K21" s="323" t="n"/>
      <c r="L21" s="323" t="n"/>
    </row>
    <row r="22">
      <c r="A22" s="258" t="inlineStr">
        <is>
          <t>Gap between upright and pallet</t>
        </is>
      </c>
      <c r="B22" s="271" t="n">
        <v>100</v>
      </c>
      <c r="D22" s="261" t="inlineStr">
        <is>
          <t>Throughput</t>
        </is>
      </c>
      <c r="E22" s="263" t="inlineStr">
        <is>
          <t>Value</t>
        </is>
      </c>
      <c r="F22" s="265" t="inlineStr">
        <is>
          <t>UOM</t>
        </is>
      </c>
    </row>
    <row r="23">
      <c r="A23" s="271" t="inlineStr">
        <is>
          <t>Pallet to pallet distance - in direction of Crane travel</t>
        </is>
      </c>
      <c r="B23" s="271" t="n">
        <v>100</v>
      </c>
      <c r="D23" s="269" t="inlineStr">
        <is>
          <t>Throughput required per hour(In and out)</t>
        </is>
      </c>
      <c r="E23" s="324" t="n">
        <v>200</v>
      </c>
      <c r="F23" s="273" t="inlineStr">
        <is>
          <t>Pallets/ Hr</t>
        </is>
      </c>
    </row>
    <row r="24" ht="17.5" customHeight="1" s="516" thickBot="1">
      <c r="A24" s="271" t="inlineStr">
        <is>
          <t xml:space="preserve">Max allowable bay length </t>
        </is>
      </c>
      <c r="B24" s="271" t="n">
        <v>2920</v>
      </c>
      <c r="D24" s="325" t="inlineStr">
        <is>
          <t>Max Crane productivity (Including inbound and outbound)  Pallets per hour</t>
        </is>
      </c>
      <c r="E24" s="326" t="n">
        <v>50</v>
      </c>
      <c r="F24" s="281" t="inlineStr">
        <is>
          <t>Pallets/ Hr</t>
        </is>
      </c>
    </row>
    <row r="25" ht="20" customHeight="1" s="516" thickBot="1">
      <c r="A25" s="271" t="inlineStr">
        <is>
          <t>Bay length in direction of crane travel</t>
        </is>
      </c>
      <c r="B25" s="271">
        <f>B21+(B22*2)+((E18-1)*B23)+(E18*O7)</f>
        <v/>
      </c>
      <c r="E25" s="258" t="n"/>
    </row>
    <row r="26">
      <c r="A26" s="271" t="inlineStr">
        <is>
          <t>Max aisle length from first to last pallet</t>
        </is>
      </c>
      <c r="B26" s="275">
        <f>O12-B44-(B45*B46)</f>
        <v/>
      </c>
      <c r="D26" s="563" t="inlineStr">
        <is>
          <t>Other Key Outputs</t>
        </is>
      </c>
      <c r="E26" s="564" t="n"/>
    </row>
    <row r="27">
      <c r="A27" s="296" t="inlineStr">
        <is>
          <t># bays in storage along the aisle</t>
        </is>
      </c>
      <c r="B27" s="296">
        <f>ROUNDDOWN(B26/B25,0)</f>
        <v/>
      </c>
      <c r="D27" s="289" t="inlineStr">
        <is>
          <t>No. of  Cranes required for storage requirement</t>
        </is>
      </c>
      <c r="E27" s="290">
        <f>B18</f>
        <v/>
      </c>
    </row>
    <row r="28">
      <c r="D28" s="289" t="inlineStr">
        <is>
          <t>No. of  Cranes required for throughput requirement</t>
        </is>
      </c>
      <c r="E28" s="290">
        <f>B19</f>
        <v/>
      </c>
    </row>
    <row r="29" ht="14.5" customHeight="1" s="516">
      <c r="A29" s="288" t="inlineStr">
        <is>
          <t>Level calculation bay dimensions</t>
        </is>
      </c>
      <c r="B29" s="288" t="inlineStr">
        <is>
          <t>Dimension in mm</t>
        </is>
      </c>
      <c r="D29" s="289" t="inlineStr">
        <is>
          <t>No. of bays per crane on one side</t>
        </is>
      </c>
      <c r="E29" s="290">
        <f>B27</f>
        <v/>
      </c>
    </row>
    <row r="30" ht="16" customHeight="1" s="516" thickBot="1">
      <c r="A30" s="299" t="inlineStr">
        <is>
          <t>Bottom approach dimension'</t>
        </is>
      </c>
      <c r="B30" s="271" t="n">
        <v>900</v>
      </c>
      <c r="D30" s="292" t="inlineStr">
        <is>
          <t>Levels in storage</t>
        </is>
      </c>
      <c r="E30" s="293">
        <f>B41</f>
        <v/>
      </c>
      <c r="F30" s="300" t="n"/>
    </row>
    <row r="31">
      <c r="A31" s="271" t="inlineStr">
        <is>
          <t>top approach dimension</t>
        </is>
      </c>
      <c r="B31" s="271" t="n">
        <v>2300</v>
      </c>
    </row>
    <row r="32">
      <c r="A32" s="271" t="inlineStr">
        <is>
          <t>Deep</t>
        </is>
      </c>
      <c r="B32" s="271">
        <f>E17</f>
        <v/>
      </c>
    </row>
    <row r="33">
      <c r="A33" s="271" t="inlineStr">
        <is>
          <t>Distance between top of pallet to bottom of above pallet</t>
        </is>
      </c>
      <c r="B33" s="271">
        <f>IF(B32&gt;1,300,150)</f>
        <v/>
      </c>
    </row>
    <row r="34">
      <c r="A34" s="271" t="inlineStr">
        <is>
          <t>Effective height available</t>
        </is>
      </c>
      <c r="B34" s="275">
        <f>O11-B30-B31+O8-(B35*B36)</f>
        <v/>
      </c>
    </row>
    <row r="35">
      <c r="A35" s="271" t="inlineStr">
        <is>
          <t>Extra height for ESFR and cross beam</t>
        </is>
      </c>
      <c r="B35" s="271" t="n">
        <v>250</v>
      </c>
    </row>
    <row r="36">
      <c r="A36" s="271" t="inlineStr">
        <is>
          <t># of ESFR levels</t>
        </is>
      </c>
      <c r="B36" s="271">
        <f>ROUNDDOWN(O11/(M19*1000),0)-1</f>
        <v/>
      </c>
    </row>
    <row r="37">
      <c r="A37" s="271" t="inlineStr">
        <is>
          <t>Height occupied by Cross beam</t>
        </is>
      </c>
      <c r="B37" s="271">
        <f>B35*B36</f>
        <v/>
      </c>
    </row>
    <row r="38">
      <c r="A38" s="271" t="inlineStr">
        <is>
          <t>Pallet height + pallet to pallet clearance</t>
        </is>
      </c>
      <c r="B38" s="275">
        <f>B33+O8</f>
        <v/>
      </c>
    </row>
    <row r="39">
      <c r="A39" s="271" t="inlineStr">
        <is>
          <t>Effective pallet to pallet gap</t>
        </is>
      </c>
      <c r="B39" s="275">
        <f>((ROUNDDOWN(B34/B38,0)*B33)-B33)/ROUNDDOWN(B34/B38,0)</f>
        <v/>
      </c>
    </row>
    <row r="40">
      <c r="A40" s="271" t="inlineStr">
        <is>
          <t xml:space="preserve">Effective pallet height  </t>
        </is>
      </c>
      <c r="B40" s="275">
        <f>O8+B39</f>
        <v/>
      </c>
    </row>
    <row r="41">
      <c r="A41" s="296" t="inlineStr">
        <is>
          <t>Levels</t>
        </is>
      </c>
      <c r="B41" s="296">
        <f>ROUNDDOWN(B34/B40,0)</f>
        <v/>
      </c>
    </row>
    <row r="42">
      <c r="E42" s="327" t="n"/>
    </row>
    <row r="43">
      <c r="A43" s="288" t="inlineStr">
        <is>
          <t xml:space="preserve">Other dimensions outside storage area </t>
        </is>
      </c>
      <c r="B43" s="288" t="inlineStr">
        <is>
          <t>Dimension in mm</t>
        </is>
      </c>
      <c r="E43" s="327" t="n"/>
    </row>
    <row r="44">
      <c r="A44" s="271" t="inlineStr">
        <is>
          <t>Crane extension outside storage area (including infeed and outfeed conveyors)</t>
        </is>
      </c>
      <c r="B44" s="271" t="n">
        <v>6500</v>
      </c>
      <c r="E44" s="327" t="n"/>
    </row>
    <row r="45">
      <c r="A45" s="271" t="inlineStr">
        <is>
          <t>Bracing tower</t>
        </is>
      </c>
      <c r="B45" s="271" t="n">
        <v>2900</v>
      </c>
      <c r="E45" s="327" t="n"/>
    </row>
    <row r="46" ht="16" customHeight="1" s="516" thickBot="1">
      <c r="A46" s="278" t="inlineStr">
        <is>
          <t># bracing towers</t>
        </is>
      </c>
      <c r="B46" s="328">
        <f>ROUNDDOWN(O12/(M20*1000),0)</f>
        <v/>
      </c>
    </row>
    <row r="54">
      <c r="G54" s="305" t="n"/>
    </row>
    <row r="55">
      <c r="G55" s="305" t="n"/>
    </row>
    <row r="56">
      <c r="G56" s="305" t="n"/>
    </row>
    <row r="57">
      <c r="C57" s="300" t="n"/>
      <c r="D57" s="97" t="n"/>
      <c r="E57" s="327" t="n"/>
      <c r="F57" s="97" t="n"/>
    </row>
    <row r="58">
      <c r="E58" s="327" t="n"/>
    </row>
    <row r="67" hidden="1" s="516"/>
    <row r="68">
      <c r="A68" s="271" t="inlineStr">
        <is>
          <t>Front - Clear length after mother child system for feeding conveyors</t>
        </is>
      </c>
      <c r="B68" s="271" t="n">
        <v>0</v>
      </c>
    </row>
  </sheetData>
  <sheetProtection selectLockedCells="0" selectUnlockedCells="0" algorithmName="SHA-512" sheet="1" objects="1" insertRows="1" insertHyperlinks="1" autoFilter="1" scenarios="1" formatColumns="1" deleteColumns="1" insertColumns="1" pivotTables="1" deleteRows="1" formatCells="1" saltValue="5FsZ5lvwloSIArhUtmpoPA==" formatRows="1" sort="1" spinCount="100000" hashValue="3/EpOsWoBg0Ijoil9MaxYTUNZ8k+Ln6j+gNAXBNx2t6ZOlZMBdIzVov2TTQl6dRtP5GqfSecxyVyAqu+ByrTRA=="/>
  <mergeCells count="3">
    <mergeCell ref="F18:H18"/>
    <mergeCell ref="J5:J20"/>
    <mergeCell ref="D26:E26"/>
  </mergeCells>
  <conditionalFormatting sqref="B18:B19">
    <cfRule type="cellIs" priority="3" operator="lessThan" dxfId="0">
      <formula>1</formula>
    </cfRule>
  </conditionalFormatting>
  <conditionalFormatting sqref="B27">
    <cfRule type="cellIs" priority="2" operator="lessThan" dxfId="0">
      <formula>1</formula>
    </cfRule>
  </conditionalFormatting>
  <conditionalFormatting sqref="B41">
    <cfRule type="cellIs" priority="1" operator="lessThan" dxfId="0">
      <formula>1</formula>
    </cfRule>
  </conditionalFormatting>
  <conditionalFormatting sqref="E18">
    <cfRule type="expression" priority="6" dxfId="0">
      <formula>$B$25&gt;$B$24</formula>
    </cfRule>
  </conditionalFormatting>
  <conditionalFormatting sqref="O11">
    <cfRule type="cellIs" priority="5" operator="greaterThan" dxfId="0">
      <formula>22000</formula>
    </cfRule>
  </conditionalFormatting>
  <dataValidations disablePrompts="1" count="2">
    <dataValidation sqref="E17" showDropDown="0" showInputMessage="1" showErrorMessage="1" allowBlank="1" type="list">
      <formula1>"1,2,3,4,5"</formula1>
    </dataValidation>
    <dataValidation sqref="B25" showDropDown="0" showInputMessage="1" showErrorMessage="1" allowBlank="1" errorTitle="Bay length exceeded max limit" error="Reduce the number of pallets in one bay pick face" type="decimal">
      <formula1>0</formula1>
      <formula2>2500</formula2>
    </dataValidation>
  </dataValidations>
  <pageMargins left="0.7" right="0.7" top="0.75" bottom="0.75" header="0.3" footer="0.3"/>
  <pageSetup orientation="landscape" scale="99"/>
  <drawing r:id="rId1"/>
</worksheet>
</file>

<file path=xl/worksheets/sheet29.xml><?xml version="1.0" encoding="utf-8"?>
<worksheet xmlns:r="http://schemas.openxmlformats.org/officeDocument/2006/relationships" xmlns="http://schemas.openxmlformats.org/spreadsheetml/2006/main">
  <sheetPr codeName="Sheet33">
    <tabColor theme="4"/>
    <outlinePr summaryBelow="1" summaryRight="1"/>
    <pageSetUpPr fitToPage="1"/>
  </sheetPr>
  <dimension ref="A1:O33"/>
  <sheetViews>
    <sheetView showGridLines="0" zoomScale="85" zoomScaleNormal="85" workbookViewId="0">
      <selection activeCell="I28" sqref="I28"/>
    </sheetView>
  </sheetViews>
  <sheetFormatPr baseColWidth="10" defaultColWidth="8.83203125" defaultRowHeight="15"/>
  <cols>
    <col width="36" customWidth="1" style="379" min="1" max="1"/>
    <col width="23.6640625" customWidth="1" style="379" min="2" max="2"/>
    <col width="12.5" bestFit="1" customWidth="1" style="379" min="3" max="3"/>
    <col width="6.6640625" customWidth="1" style="379" min="4" max="4"/>
    <col width="44.5" bestFit="1" customWidth="1" style="258" min="5" max="5"/>
    <col width="10.5" customWidth="1" style="258" min="6" max="7"/>
    <col width="8.83203125" customWidth="1" style="258" min="8" max="8"/>
    <col width="8.83203125" customWidth="1" style="379" min="9" max="10"/>
    <col width="37" bestFit="1" customWidth="1" style="379" min="11" max="11"/>
    <col width="8.83203125" customWidth="1" style="379" min="12" max="12"/>
    <col width="8.83203125" customWidth="1" style="379" min="13" max="16384"/>
  </cols>
  <sheetData>
    <row r="1" ht="44" customHeight="1" s="516">
      <c r="B1" s="1">
        <f>'Master List'!$F$2</f>
        <v/>
      </c>
    </row>
    <row r="2" ht="19.5" customHeight="1" s="516">
      <c r="A2" s="180" t="inlineStr">
        <is>
          <t>Project name</t>
        </is>
      </c>
      <c r="B2" s="181" t="n"/>
    </row>
    <row r="3" ht="19.5" customHeight="1" s="516">
      <c r="A3" s="180" t="inlineStr">
        <is>
          <t>Revision</t>
        </is>
      </c>
      <c r="B3" s="181" t="n"/>
    </row>
    <row r="4" ht="19.5" customHeight="1" s="516">
      <c r="A4" s="580" t="inlineStr">
        <is>
          <t>Veloce racking (Area required for given tote storage)</t>
        </is>
      </c>
      <c r="B4" s="534" t="n"/>
      <c r="C4" s="258" t="n"/>
      <c r="D4" s="258" t="n"/>
    </row>
    <row r="5" ht="25" customHeight="1" s="516" thickBot="1">
      <c r="A5" s="259" t="inlineStr">
        <is>
          <t>Area required Sqft.</t>
        </is>
      </c>
      <c r="B5" s="260">
        <f>F7*(1+B15)</f>
        <v/>
      </c>
      <c r="C5" s="258" t="n"/>
      <c r="D5" s="258" t="n"/>
    </row>
    <row r="6" ht="24" customFormat="1" customHeight="1" s="258">
      <c r="A6" s="259" t="inlineStr">
        <is>
          <t>Area required SqM</t>
        </is>
      </c>
      <c r="B6" s="260">
        <f>CONVERT(B5,"ft^2","m^2")</f>
        <v/>
      </c>
      <c r="E6" s="261" t="inlineStr">
        <is>
          <t>Tote Inputs</t>
        </is>
      </c>
      <c r="F6" s="263" t="inlineStr">
        <is>
          <t>Values</t>
        </is>
      </c>
      <c r="G6" s="265" t="inlineStr">
        <is>
          <t>UOM</t>
        </is>
      </c>
    </row>
    <row r="7" ht="16" customFormat="1" customHeight="1" s="258" thickBot="1">
      <c r="A7" s="380" t="inlineStr">
        <is>
          <t>% factor for Cross aisles and Highways</t>
        </is>
      </c>
      <c r="B7" s="381" t="n">
        <v>0.25</v>
      </c>
      <c r="E7" s="307" t="inlineStr">
        <is>
          <t>Tote storage required</t>
        </is>
      </c>
      <c r="F7" s="326" t="n">
        <v>5000</v>
      </c>
      <c r="G7" s="383" t="inlineStr">
        <is>
          <t>Nos</t>
        </is>
      </c>
    </row>
    <row r="8" ht="16" customFormat="1" customHeight="1" s="258" thickBot="1">
      <c r="G8" s="99" t="inlineStr">
        <is>
          <t>Input values either in metrics or imperial only</t>
        </is>
      </c>
    </row>
    <row r="9" ht="16" customFormat="1" customHeight="1" s="258" thickBot="1">
      <c r="A9" s="288" t="inlineStr">
        <is>
          <t>Veloce Racking</t>
        </is>
      </c>
      <c r="B9" s="288" t="inlineStr">
        <is>
          <t>Values</t>
        </is>
      </c>
      <c r="C9" s="288" t="inlineStr">
        <is>
          <t>UOM</t>
        </is>
      </c>
      <c r="E9" s="261" t="inlineStr">
        <is>
          <t>Tote Inputs</t>
        </is>
      </c>
      <c r="F9" s="263" t="inlineStr">
        <is>
          <t>Values</t>
        </is>
      </c>
      <c r="G9" s="265" t="inlineStr">
        <is>
          <t>UOM</t>
        </is>
      </c>
      <c r="H9" s="384" t="inlineStr">
        <is>
          <t>Values</t>
        </is>
      </c>
      <c r="I9" s="265" t="inlineStr">
        <is>
          <t>UOM</t>
        </is>
      </c>
    </row>
    <row r="10" ht="14.5" customFormat="1" customHeight="1" s="258">
      <c r="A10" s="380" t="inlineStr">
        <is>
          <t xml:space="preserve">Bay Length </t>
        </is>
      </c>
      <c r="B10" s="271" t="n">
        <v>2770</v>
      </c>
      <c r="C10" s="385" t="inlineStr">
        <is>
          <t>mm</t>
        </is>
      </c>
      <c r="E10" s="269" t="inlineStr">
        <is>
          <t xml:space="preserve">Length </t>
        </is>
      </c>
      <c r="F10" s="272" t="n">
        <v>600</v>
      </c>
      <c r="G10" s="273" t="inlineStr">
        <is>
          <t>mm</t>
        </is>
      </c>
      <c r="H10" s="386" t="n"/>
      <c r="I10" s="273" t="inlineStr">
        <is>
          <t>Ft</t>
        </is>
      </c>
      <c r="J10" s="258">
        <f>CONVERT(H10,"ft","mm")</f>
        <v/>
      </c>
      <c r="K10" s="565" t="inlineStr">
        <is>
          <t>Input values in either Milimeters mm (Column G) or in Feet Ft in (Column I)</t>
        </is>
      </c>
      <c r="N10" s="271">
        <f>MAX(F10,J10)</f>
        <v/>
      </c>
      <c r="O10" s="271" t="inlineStr">
        <is>
          <t>mm</t>
        </is>
      </c>
    </row>
    <row r="11" ht="14.5" customFormat="1" customHeight="1" s="258">
      <c r="A11" s="380" t="inlineStr">
        <is>
          <t>Bay Depth</t>
        </is>
      </c>
      <c r="B11" s="271">
        <f>(1310+(100/2))</f>
        <v/>
      </c>
      <c r="C11" s="385" t="inlineStr">
        <is>
          <t>mm</t>
        </is>
      </c>
      <c r="E11" s="269" t="inlineStr">
        <is>
          <t>Breadth</t>
        </is>
      </c>
      <c r="F11" s="272" t="n">
        <v>400</v>
      </c>
      <c r="G11" s="273" t="inlineStr">
        <is>
          <t>mm</t>
        </is>
      </c>
      <c r="H11" s="386" t="n"/>
      <c r="I11" s="273" t="inlineStr">
        <is>
          <t>Ft</t>
        </is>
      </c>
      <c r="J11" s="258">
        <f>CONVERT(H11,"ft","mm")</f>
        <v/>
      </c>
      <c r="K11" s="566" t="n"/>
      <c r="N11" s="271">
        <f>MAX(F11,J11)</f>
        <v/>
      </c>
      <c r="O11" s="271" t="inlineStr">
        <is>
          <t>mm</t>
        </is>
      </c>
    </row>
    <row r="12" ht="15" customFormat="1" customHeight="1" s="258" thickBot="1">
      <c r="A12" s="380" t="inlineStr">
        <is>
          <t>Totes per bay (Per shelve)</t>
        </is>
      </c>
      <c r="B12" s="271">
        <f>F27*F14*F13</f>
        <v/>
      </c>
      <c r="C12" s="385" t="inlineStr">
        <is>
          <t>Nos</t>
        </is>
      </c>
      <c r="E12" s="269" t="inlineStr">
        <is>
          <t>Height</t>
        </is>
      </c>
      <c r="F12" s="272" t="n">
        <v>400</v>
      </c>
      <c r="G12" s="273" t="inlineStr">
        <is>
          <t>mm</t>
        </is>
      </c>
      <c r="H12" s="387" t="n"/>
      <c r="I12" s="281" t="inlineStr">
        <is>
          <t>Ft</t>
        </is>
      </c>
      <c r="J12" s="258">
        <f>CONVERT(H12,"ft","mm")</f>
        <v/>
      </c>
      <c r="K12" s="567" t="n"/>
      <c r="N12" s="271">
        <f>MAX(F12,J12)</f>
        <v/>
      </c>
      <c r="O12" s="271" t="inlineStr">
        <is>
          <t>mm</t>
        </is>
      </c>
    </row>
    <row r="13" ht="14.5" customFormat="1" customHeight="1" s="258">
      <c r="A13" s="380" t="inlineStr">
        <is>
          <t>Aisle Width</t>
        </is>
      </c>
      <c r="B13" s="271" t="n">
        <v>1100</v>
      </c>
      <c r="C13" s="385" t="inlineStr">
        <is>
          <t>mm</t>
        </is>
      </c>
      <c r="E13" s="388" t="inlineStr">
        <is>
          <t>Deep (No of totes per location)</t>
        </is>
      </c>
      <c r="F13" s="324" t="n">
        <v>2</v>
      </c>
      <c r="G13" s="389" t="inlineStr">
        <is>
          <t>Nos</t>
        </is>
      </c>
      <c r="K13" s="390" t="n"/>
    </row>
    <row r="14" ht="15" customFormat="1" customHeight="1" s="258" thickBot="1">
      <c r="A14" s="380" t="inlineStr">
        <is>
          <t>Tote in a sqft</t>
        </is>
      </c>
      <c r="B14" s="271" t="n">
        <v>1</v>
      </c>
      <c r="C14" s="382" t="inlineStr">
        <is>
          <t>Nos</t>
        </is>
      </c>
      <c r="E14" s="391" t="inlineStr">
        <is>
          <t>Totes in a bay per level</t>
        </is>
      </c>
      <c r="F14" s="326" t="n">
        <v>5</v>
      </c>
      <c r="G14" s="392" t="inlineStr">
        <is>
          <t>Nos</t>
        </is>
      </c>
      <c r="K14" s="390" t="n"/>
    </row>
    <row r="15" ht="14.5" customFormat="1" customHeight="1" s="258">
      <c r="A15" s="380" t="inlineStr">
        <is>
          <t>Racking Sqft per tote (Only storage)</t>
        </is>
      </c>
      <c r="B15" s="274">
        <f>CONVERT(((B11+(B13/2))*B10)*(B14/(F14*F27)),"mm^2","ft^2")</f>
        <v/>
      </c>
      <c r="C15" s="382" t="inlineStr">
        <is>
          <t>Sqft</t>
        </is>
      </c>
      <c r="K15" s="390" t="n"/>
    </row>
    <row r="16" ht="15" customFormat="1" customHeight="1" s="258" thickBot="1">
      <c r="K16" s="390" t="n"/>
    </row>
    <row r="17" ht="14.5" customFormat="1" customHeight="1" s="258" thickBot="1">
      <c r="A17" s="393" t="inlineStr">
        <is>
          <t>Overall Sqft per tote</t>
        </is>
      </c>
      <c r="B17" s="394">
        <f>B15*(1+B7)</f>
        <v/>
      </c>
      <c r="C17" s="393" t="inlineStr">
        <is>
          <t>Sqft</t>
        </is>
      </c>
      <c r="E17" s="261" t="inlineStr">
        <is>
          <t>Elevation inputs</t>
        </is>
      </c>
      <c r="F17" s="263" t="inlineStr">
        <is>
          <t>Values</t>
        </is>
      </c>
      <c r="G17" s="265" t="inlineStr">
        <is>
          <t>UOM</t>
        </is>
      </c>
      <c r="H17" s="384" t="inlineStr">
        <is>
          <t>Values</t>
        </is>
      </c>
      <c r="I17" s="265" t="inlineStr">
        <is>
          <t>UOM</t>
        </is>
      </c>
      <c r="K17" s="390" t="n"/>
    </row>
    <row r="18" ht="14.5" customFormat="1" customHeight="1" s="258">
      <c r="E18" s="304" t="inlineStr">
        <is>
          <t>Clear height (After Lightings, sprinklers etc.)</t>
        </is>
      </c>
      <c r="F18" s="272" t="n">
        <v>9000</v>
      </c>
      <c r="G18" s="273" t="inlineStr">
        <is>
          <t>mm</t>
        </is>
      </c>
      <c r="H18" s="386" t="n"/>
      <c r="I18" s="273" t="inlineStr">
        <is>
          <t>Ft</t>
        </is>
      </c>
      <c r="J18" s="258">
        <f>CONVERT(H18,"ft","mm")</f>
        <v/>
      </c>
      <c r="K18" s="565" t="inlineStr">
        <is>
          <t>Input values in either Milimeters mm (Column G) or in Feet Ft in (Column I)</t>
        </is>
      </c>
      <c r="N18" s="271">
        <f>MAX(F18,J18)</f>
        <v/>
      </c>
      <c r="O18" s="271" t="inlineStr">
        <is>
          <t>mm</t>
        </is>
      </c>
    </row>
    <row r="19" ht="15" customFormat="1" customHeight="1" s="258" thickBot="1">
      <c r="A19" s="379" t="n"/>
      <c r="B19" s="379" t="n"/>
      <c r="C19" s="379" t="n"/>
      <c r="E19" s="304" t="inlineStr">
        <is>
          <t>Veloce last loading level</t>
        </is>
      </c>
      <c r="F19" s="272" t="n">
        <v>4500</v>
      </c>
      <c r="G19" s="273" t="inlineStr">
        <is>
          <t>mm</t>
        </is>
      </c>
      <c r="H19" s="387" t="n"/>
      <c r="I19" s="281" t="inlineStr">
        <is>
          <t>Ft</t>
        </is>
      </c>
      <c r="J19" s="258">
        <f>CONVERT(H19,"ft","mm")</f>
        <v/>
      </c>
      <c r="K19" s="567" t="n"/>
      <c r="N19" s="271">
        <f>MAX(F19,J19)</f>
        <v/>
      </c>
      <c r="O19" s="271" t="inlineStr">
        <is>
          <t>mm</t>
        </is>
      </c>
    </row>
    <row r="20" ht="14.5" customFormat="1" customHeight="1" s="258">
      <c r="E20" s="304" t="inlineStr">
        <is>
          <t>Lift off clearance</t>
        </is>
      </c>
      <c r="F20" s="271" t="n">
        <v>50</v>
      </c>
      <c r="G20" s="273" t="inlineStr">
        <is>
          <t>mm</t>
        </is>
      </c>
      <c r="K20" s="390" t="n"/>
    </row>
    <row r="21" ht="14.5" customFormat="1" customHeight="1" s="258">
      <c r="E21" s="304" t="inlineStr">
        <is>
          <t xml:space="preserve">Crossbeam </t>
        </is>
      </c>
      <c r="F21" s="271" t="n">
        <v>60</v>
      </c>
      <c r="G21" s="273" t="inlineStr">
        <is>
          <t>mm</t>
        </is>
      </c>
      <c r="K21" s="390" t="n"/>
    </row>
    <row r="22" ht="14.5" customFormat="1" customHeight="1" s="258">
      <c r="E22" s="269" t="inlineStr">
        <is>
          <t>Clearance at top</t>
        </is>
      </c>
      <c r="F22" s="271" t="n">
        <v>350</v>
      </c>
      <c r="G22" s="273" t="inlineStr">
        <is>
          <t>mm</t>
        </is>
      </c>
      <c r="K22" s="390" t="n"/>
    </row>
    <row r="23" ht="14.5" customFormat="1" customHeight="1" s="258">
      <c r="E23" s="269" t="inlineStr">
        <is>
          <t>First loading level</t>
        </is>
      </c>
      <c r="F23" s="271" t="n">
        <v>400</v>
      </c>
      <c r="G23" s="273" t="inlineStr">
        <is>
          <t>mm</t>
        </is>
      </c>
      <c r="K23" s="390" t="n"/>
    </row>
    <row r="24" ht="15" customFormat="1" customHeight="1" s="258">
      <c r="E24" s="269" t="inlineStr">
        <is>
          <t>Levels achieved with available elevation</t>
        </is>
      </c>
      <c r="F24" s="271">
        <f>ROUNDDOWN((N18+F21-(F22+(F23-F21)))/(N12+F20+F21),0)</f>
        <v/>
      </c>
      <c r="G24" s="273" t="inlineStr">
        <is>
          <t>Nos</t>
        </is>
      </c>
      <c r="K24" s="390" t="n"/>
    </row>
    <row r="25" customFormat="1" s="258">
      <c r="E25" s="269" t="inlineStr">
        <is>
          <t>Clear height required to reach max Veloce reach</t>
        </is>
      </c>
      <c r="F25" s="271">
        <f>N19+F23+F22</f>
        <v/>
      </c>
      <c r="G25" s="273" t="inlineStr">
        <is>
          <t>mm</t>
        </is>
      </c>
    </row>
    <row r="26" customFormat="1" s="258">
      <c r="E26" s="269" t="inlineStr">
        <is>
          <t>Levels achieved</t>
        </is>
      </c>
      <c r="F26" s="271">
        <f>ROUNDDOWN((F25+F21-(F22+(F23-F21)))/(N12+F20+F21),0)</f>
        <v/>
      </c>
      <c r="G26" s="273" t="inlineStr">
        <is>
          <t>Nos</t>
        </is>
      </c>
    </row>
    <row r="27" ht="16" customFormat="1" customHeight="1" s="258" thickBot="1">
      <c r="E27" s="278" t="inlineStr">
        <is>
          <t>Max levels that can be achieved with all constraints</t>
        </is>
      </c>
      <c r="F27" s="279">
        <f>MIN(F24,F26)</f>
        <v/>
      </c>
      <c r="G27" s="281" t="inlineStr">
        <is>
          <t>Nos</t>
        </is>
      </c>
    </row>
    <row r="28" customFormat="1" s="258"/>
    <row r="29" customFormat="1" s="258">
      <c r="A29" s="395" t="n"/>
    </row>
    <row r="30">
      <c r="A30" s="258" t="n"/>
      <c r="B30" s="258" t="n"/>
      <c r="C30" s="258" t="n"/>
      <c r="D30" s="258" t="n"/>
      <c r="E30" s="379" t="n"/>
      <c r="F30" s="379" t="n"/>
      <c r="G30" s="379" t="n"/>
      <c r="I30" s="258" t="n"/>
      <c r="J30" s="258" t="n"/>
      <c r="K30" s="258" t="n"/>
      <c r="L30" s="258" t="n"/>
      <c r="M30" s="258" t="n"/>
      <c r="N30" s="258" t="n"/>
      <c r="O30" s="258" t="n"/>
    </row>
    <row r="31">
      <c r="A31" s="258" t="n"/>
      <c r="B31" s="258" t="n"/>
      <c r="C31" s="258" t="n"/>
      <c r="D31" s="258" t="n"/>
      <c r="E31" s="379" t="n"/>
      <c r="F31" s="379" t="n"/>
      <c r="G31" s="379" t="n"/>
      <c r="I31" s="258" t="n"/>
      <c r="J31" s="258" t="n"/>
      <c r="K31" s="258" t="n"/>
      <c r="L31" s="258" t="n"/>
      <c r="M31" s="258" t="n"/>
      <c r="N31" s="258" t="n"/>
      <c r="O31" s="258" t="n"/>
    </row>
    <row r="32">
      <c r="A32" s="258" t="n"/>
      <c r="B32" s="258" t="n"/>
      <c r="C32" s="258" t="n"/>
      <c r="D32" s="258" t="n"/>
    </row>
    <row r="33">
      <c r="A33" s="396" t="n"/>
      <c r="B33" s="396" t="n"/>
      <c r="C33" s="396" t="n"/>
    </row>
  </sheetData>
  <sheetProtection selectLockedCells="0" selectUnlockedCells="0" algorithmName="SHA-512" sheet="1" objects="1" insertRows="1" insertHyperlinks="1" autoFilter="1" scenarios="1" formatColumns="1" deleteColumns="1" insertColumns="1" pivotTables="1" deleteRows="1" formatCells="1" saltValue="RmzfKjTjFTYBR4dYpJ4qWQ==" formatRows="1" sort="1" spinCount="100000" hashValue="eOQuK/ycOVynFqMb8yCwrY41P7ZBv0gCVNw2ZR8OthrtiQ3zh4QVQCyVwGB0PQoxi00qvKceH126BpweaxhZAA=="/>
  <mergeCells count="3">
    <mergeCell ref="A4:B4"/>
    <mergeCell ref="K10:K12"/>
    <mergeCell ref="K18:K19"/>
  </mergeCells>
  <pageMargins left="0.2" right="0.21" top="0.27" bottom="0.39" header="0.17" footer="0.17"/>
  <pageSetup orientation="landscape" scale="83"/>
  <headerFooter alignWithMargins="0">
    <oddHeader/>
    <oddFooter>&amp;L&amp;A&amp;CPage &amp;P of &amp;N&amp;R&amp;F</oddFooter>
    <evenHeader/>
    <evenFooter/>
    <firstHeader/>
    <firstFooter/>
  </headerFooter>
  <drawing r:id="rId1"/>
</worksheet>
</file>

<file path=xl/worksheets/sheet30.xml><?xml version="1.0" encoding="utf-8"?>
<worksheet xmlns:r="http://schemas.openxmlformats.org/officeDocument/2006/relationships" xmlns="http://schemas.openxmlformats.org/spreadsheetml/2006/main">
  <sheetPr codeName="Sheet22">
    <tabColor theme="7"/>
    <outlinePr summaryBelow="1" summaryRight="1"/>
    <pageSetUpPr/>
  </sheetPr>
  <dimension ref="B1:BY45"/>
  <sheetViews>
    <sheetView showGridLines="0" zoomScale="85" zoomScaleNormal="85" workbookViewId="0">
      <selection activeCell="G14" sqref="G14"/>
    </sheetView>
  </sheetViews>
  <sheetFormatPr baseColWidth="10" defaultColWidth="8.6640625" defaultRowHeight="15"/>
  <cols>
    <col width="9.5" customWidth="1" style="516" min="1" max="1"/>
    <col width="8.5" customWidth="1" style="1" min="2" max="2"/>
    <col width="25.83203125" bestFit="1" customWidth="1" style="31" min="3" max="3"/>
    <col width="35.6640625" customWidth="1" style="31" min="4" max="4"/>
    <col width="11.5" customWidth="1" style="1" min="5" max="5"/>
    <col width="6.5" customWidth="1" style="1" min="6" max="6"/>
    <col width="11.6640625" customWidth="1" style="1" min="7" max="7"/>
    <col width="9.33203125" customWidth="1" style="31" min="8" max="8"/>
    <col hidden="1" width="10.6640625" customWidth="1" style="1" min="9" max="9"/>
    <col hidden="1" width="12.5" customWidth="1" style="1" min="10" max="10"/>
    <col hidden="1" width="9.5" customWidth="1" style="1" min="11" max="11"/>
    <col hidden="1" width="11.6640625" customWidth="1" style="1" min="12" max="12"/>
    <col hidden="1" width="11.5" customWidth="1" style="1" min="13" max="13"/>
    <col hidden="1" width="8.6640625" customWidth="1" style="1" min="14" max="14"/>
    <col hidden="1" width="11.33203125" customWidth="1" style="1" min="15" max="15"/>
    <col width="8.6640625" customWidth="1" style="1" min="16" max="16"/>
    <col width="9.33203125" bestFit="1" customWidth="1" style="31" min="17" max="17"/>
    <col width="14.33203125" bestFit="1" customWidth="1" style="1" min="18" max="18"/>
    <col width="8.6640625" customWidth="1" style="1" min="19" max="20"/>
    <col width="24.6640625" bestFit="1" customWidth="1" style="31" min="21" max="21"/>
    <col width="27.6640625" customWidth="1" style="31" min="22" max="22"/>
    <col width="8.6640625" customWidth="1" style="1" min="23" max="25"/>
    <col width="8.6640625" customWidth="1" style="31" min="26" max="26"/>
    <col hidden="1" width="13" customWidth="1" style="1" min="27" max="33"/>
    <col width="8.6640625" customWidth="1" style="1" min="34" max="34"/>
    <col width="8.6640625" customWidth="1" style="31" min="35" max="35"/>
    <col width="8.6640625" customWidth="1" style="1" min="36" max="38"/>
    <col width="24.6640625" bestFit="1" customWidth="1" style="31" min="39" max="39"/>
    <col width="32.6640625" customWidth="1" style="31" min="40" max="40"/>
    <col width="8.6640625" customWidth="1" style="1" min="41" max="43"/>
    <col width="8.6640625" customWidth="1" style="31" min="44" max="44"/>
    <col hidden="1" width="13" customWidth="1" style="1" min="45" max="51"/>
    <col width="8.6640625" customWidth="1" style="1" min="52" max="52"/>
    <col width="8.6640625" customWidth="1" style="31" min="53" max="53"/>
    <col width="8.6640625" customWidth="1" style="1" min="54" max="56"/>
    <col width="24.6640625" customWidth="1" style="31" min="57" max="57"/>
    <col width="23.83203125" customWidth="1" style="31" min="58" max="58"/>
    <col width="8.6640625" customWidth="1" style="1" min="59" max="61"/>
    <col width="8.6640625" customWidth="1" style="31" min="62" max="62"/>
    <col hidden="1" width="8.6640625" customWidth="1" style="1" min="63" max="69"/>
    <col width="8.6640625" customWidth="1" style="1" min="70" max="70"/>
    <col width="8.6640625" customWidth="1" style="31" min="71" max="71"/>
    <col width="8.6640625" customWidth="1" style="1" min="72" max="75"/>
    <col width="12.6640625" bestFit="1" customWidth="1" style="1" min="76" max="76"/>
    <col width="10.5" bestFit="1" customWidth="1" style="1" min="77" max="77"/>
    <col width="8.6640625" customWidth="1" style="1" min="78" max="78"/>
    <col width="8.6640625" customWidth="1" style="1" min="79" max="16384"/>
  </cols>
  <sheetData>
    <row r="1" ht="47" customFormat="1" customHeight="1" s="24">
      <c r="C1" s="23" t="n"/>
      <c r="D1" s="1">
        <f>'Master List'!$F$2</f>
        <v/>
      </c>
    </row>
    <row r="2" ht="20" customHeight="1" s="516">
      <c r="B2" s="22" t="n"/>
      <c r="C2" s="22" t="n"/>
      <c r="D2" s="22" t="n"/>
      <c r="E2" s="22" t="n"/>
      <c r="F2" s="22" t="n"/>
      <c r="G2" s="22" t="n"/>
      <c r="H2" s="22" t="n"/>
      <c r="I2" s="22" t="n"/>
      <c r="J2" s="22" t="n"/>
      <c r="K2" s="22" t="n"/>
      <c r="L2" s="22" t="n"/>
      <c r="M2" s="22" t="n"/>
      <c r="N2" s="22" t="n"/>
      <c r="O2" s="22" t="n"/>
      <c r="P2" s="22" t="n"/>
      <c r="Q2" s="22" t="n"/>
      <c r="R2" s="22" t="n"/>
      <c r="U2" s="1" t="n"/>
      <c r="V2" s="1" t="n"/>
      <c r="Z2" s="1" t="n"/>
      <c r="AI2" s="1" t="n"/>
      <c r="AM2" s="1" t="n"/>
      <c r="AN2" s="1" t="n"/>
      <c r="AR2" s="1" t="n"/>
      <c r="BA2" s="1" t="n"/>
      <c r="BE2" s="1" t="n"/>
      <c r="BF2" s="1" t="n"/>
      <c r="BJ2" s="1" t="n"/>
      <c r="BS2" s="1" t="n"/>
    </row>
    <row r="3" ht="30" customHeight="1" s="516">
      <c r="B3" s="551" t="inlineStr">
        <is>
          <t>Process Name</t>
        </is>
      </c>
      <c r="C3" s="552" t="n"/>
      <c r="D3" s="552" t="n"/>
      <c r="E3" s="552" t="n"/>
      <c r="F3" s="552" t="n"/>
      <c r="G3" s="552" t="n"/>
      <c r="H3" s="552" t="n"/>
      <c r="I3" s="552" t="n"/>
      <c r="J3" s="552" t="n"/>
      <c r="K3" s="552" t="n"/>
      <c r="L3" s="552" t="n"/>
      <c r="M3" s="552" t="n"/>
      <c r="N3" s="552" t="n"/>
      <c r="O3" s="552" t="n"/>
      <c r="P3" s="552" t="n"/>
      <c r="Q3" s="552" t="n"/>
      <c r="R3" s="553" t="n"/>
      <c r="T3" s="551" t="inlineStr">
        <is>
          <t>Process Name</t>
        </is>
      </c>
      <c r="U3" s="552" t="n"/>
      <c r="V3" s="552" t="n"/>
      <c r="W3" s="552" t="n"/>
      <c r="X3" s="552" t="n"/>
      <c r="Y3" s="552" t="n"/>
      <c r="Z3" s="552" t="n"/>
      <c r="AA3" s="552" t="n"/>
      <c r="AB3" s="552" t="n"/>
      <c r="AC3" s="552" t="n"/>
      <c r="AD3" s="552" t="n"/>
      <c r="AE3" s="552" t="n"/>
      <c r="AF3" s="552" t="n"/>
      <c r="AG3" s="552" t="n"/>
      <c r="AH3" s="552" t="n"/>
      <c r="AI3" s="552" t="n"/>
      <c r="AJ3" s="553" t="n"/>
      <c r="AL3" s="551" t="inlineStr">
        <is>
          <t>Process Name</t>
        </is>
      </c>
      <c r="AM3" s="552" t="n"/>
      <c r="AN3" s="552" t="n"/>
      <c r="AO3" s="552" t="n"/>
      <c r="AP3" s="552" t="n"/>
      <c r="AQ3" s="552" t="n"/>
      <c r="AR3" s="552" t="n"/>
      <c r="AS3" s="552" t="n"/>
      <c r="AT3" s="552" t="n"/>
      <c r="AU3" s="552" t="n"/>
      <c r="AV3" s="552" t="n"/>
      <c r="AW3" s="552" t="n"/>
      <c r="AX3" s="552" t="n"/>
      <c r="AY3" s="552" t="n"/>
      <c r="AZ3" s="552" t="n"/>
      <c r="BA3" s="552" t="n"/>
      <c r="BB3" s="553" t="n"/>
      <c r="BD3" s="551" t="inlineStr">
        <is>
          <t>Process Name</t>
        </is>
      </c>
      <c r="BE3" s="552" t="n"/>
      <c r="BF3" s="552" t="n"/>
      <c r="BG3" s="552" t="n"/>
      <c r="BH3" s="552" t="n"/>
      <c r="BI3" s="552" t="n"/>
      <c r="BJ3" s="552" t="n"/>
      <c r="BK3" s="552" t="n"/>
      <c r="BL3" s="552" t="n"/>
      <c r="BM3" s="552" t="n"/>
      <c r="BN3" s="552" t="n"/>
      <c r="BO3" s="552" t="n"/>
      <c r="BP3" s="552" t="n"/>
      <c r="BQ3" s="552" t="n"/>
      <c r="BR3" s="552" t="n"/>
      <c r="BS3" s="552" t="n"/>
      <c r="BT3" s="553" t="n"/>
    </row>
    <row r="4" ht="18" customHeight="1" s="516">
      <c r="B4" s="554" t="inlineStr">
        <is>
          <t>S.No</t>
        </is>
      </c>
      <c r="C4" s="533" t="inlineStr">
        <is>
          <t>Cycles / Hour</t>
        </is>
      </c>
      <c r="D4" s="546" t="n"/>
      <c r="E4" s="546" t="n"/>
      <c r="F4" s="546" t="n"/>
      <c r="G4" s="546" t="n"/>
      <c r="H4" s="546" t="n"/>
      <c r="I4" s="546" t="n"/>
      <c r="J4" s="546" t="n"/>
      <c r="K4" s="546" t="n"/>
      <c r="L4" s="546" t="n"/>
      <c r="M4" s="546" t="n"/>
      <c r="N4" s="546" t="n"/>
      <c r="O4" s="546" t="n"/>
      <c r="P4" s="546" t="n"/>
      <c r="Q4" s="534" t="n"/>
      <c r="R4" s="27">
        <f>3600/R5</f>
        <v/>
      </c>
      <c r="T4" s="554" t="inlineStr">
        <is>
          <t>S.No</t>
        </is>
      </c>
      <c r="U4" s="533" t="inlineStr">
        <is>
          <t>Cycles / Hour</t>
        </is>
      </c>
      <c r="V4" s="546" t="n"/>
      <c r="W4" s="546" t="n"/>
      <c r="X4" s="546" t="n"/>
      <c r="Y4" s="546" t="n"/>
      <c r="Z4" s="546" t="n"/>
      <c r="AA4" s="546" t="n"/>
      <c r="AB4" s="546" t="n"/>
      <c r="AC4" s="546" t="n"/>
      <c r="AD4" s="546" t="n"/>
      <c r="AE4" s="546" t="n"/>
      <c r="AF4" s="546" t="n"/>
      <c r="AG4" s="546" t="n"/>
      <c r="AH4" s="546" t="n"/>
      <c r="AI4" s="534" t="n"/>
      <c r="AJ4" s="17">
        <f>3600/AJ5</f>
        <v/>
      </c>
      <c r="AL4" s="554" t="inlineStr">
        <is>
          <t>S.No</t>
        </is>
      </c>
      <c r="AM4" s="533" t="inlineStr">
        <is>
          <t>Cycles / Hour</t>
        </is>
      </c>
      <c r="AN4" s="546" t="n"/>
      <c r="AO4" s="546" t="n"/>
      <c r="AP4" s="546" t="n"/>
      <c r="AQ4" s="546" t="n"/>
      <c r="AR4" s="546" t="n"/>
      <c r="AS4" s="546" t="n"/>
      <c r="AT4" s="546" t="n"/>
      <c r="AU4" s="546" t="n"/>
      <c r="AV4" s="546" t="n"/>
      <c r="AW4" s="546" t="n"/>
      <c r="AX4" s="546" t="n"/>
      <c r="AY4" s="546" t="n"/>
      <c r="AZ4" s="546" t="n"/>
      <c r="BA4" s="534" t="n"/>
      <c r="BB4" s="17">
        <f>3600/BB5</f>
        <v/>
      </c>
      <c r="BD4" s="554" t="inlineStr">
        <is>
          <t>S.No</t>
        </is>
      </c>
      <c r="BE4" s="533" t="inlineStr">
        <is>
          <t>Cycles / Hour</t>
        </is>
      </c>
      <c r="BF4" s="546" t="n"/>
      <c r="BG4" s="546" t="n"/>
      <c r="BH4" s="546" t="n"/>
      <c r="BI4" s="546" t="n"/>
      <c r="BJ4" s="546" t="n"/>
      <c r="BK4" s="546" t="n"/>
      <c r="BL4" s="546" t="n"/>
      <c r="BM4" s="546" t="n"/>
      <c r="BN4" s="546" t="n"/>
      <c r="BO4" s="546" t="n"/>
      <c r="BP4" s="546" t="n"/>
      <c r="BQ4" s="546" t="n"/>
      <c r="BR4" s="546" t="n"/>
      <c r="BS4" s="534" t="n"/>
      <c r="BT4" s="17">
        <f>3600/BT5</f>
        <v/>
      </c>
    </row>
    <row r="5" ht="18" customHeight="1" s="516">
      <c r="B5" s="555" t="n"/>
      <c r="C5" s="533" t="inlineStr">
        <is>
          <t>Effective Cycle Time</t>
        </is>
      </c>
      <c r="D5" s="546" t="n"/>
      <c r="E5" s="546" t="n"/>
      <c r="F5" s="546" t="n"/>
      <c r="G5" s="546" t="n"/>
      <c r="H5" s="546" t="n"/>
      <c r="I5" s="546" t="n"/>
      <c r="J5" s="546" t="n"/>
      <c r="K5" s="546" t="n"/>
      <c r="L5" s="546" t="n"/>
      <c r="M5" s="546" t="n"/>
      <c r="N5" s="546" t="n"/>
      <c r="O5" s="546" t="n"/>
      <c r="P5" s="546" t="n"/>
      <c r="Q5" s="534" t="n"/>
      <c r="R5" s="11">
        <f>R7/R6</f>
        <v/>
      </c>
      <c r="T5" s="555" t="n"/>
      <c r="U5" s="533" t="inlineStr">
        <is>
          <t>Effective Cycle Time</t>
        </is>
      </c>
      <c r="V5" s="546" t="n"/>
      <c r="W5" s="546" t="n"/>
      <c r="X5" s="546" t="n"/>
      <c r="Y5" s="546" t="n"/>
      <c r="Z5" s="546" t="n"/>
      <c r="AA5" s="546" t="n"/>
      <c r="AB5" s="546" t="n"/>
      <c r="AC5" s="546" t="n"/>
      <c r="AD5" s="546" t="n"/>
      <c r="AE5" s="546" t="n"/>
      <c r="AF5" s="546" t="n"/>
      <c r="AG5" s="546" t="n"/>
      <c r="AH5" s="546" t="n"/>
      <c r="AI5" s="534" t="n"/>
      <c r="AJ5" s="11">
        <f>AJ7/AJ6</f>
        <v/>
      </c>
      <c r="AL5" s="555" t="n"/>
      <c r="AM5" s="533" t="inlineStr">
        <is>
          <t>Effective Cycle Time</t>
        </is>
      </c>
      <c r="AN5" s="546" t="n"/>
      <c r="AO5" s="546" t="n"/>
      <c r="AP5" s="546" t="n"/>
      <c r="AQ5" s="546" t="n"/>
      <c r="AR5" s="546" t="n"/>
      <c r="AS5" s="546" t="n"/>
      <c r="AT5" s="546" t="n"/>
      <c r="AU5" s="546" t="n"/>
      <c r="AV5" s="546" t="n"/>
      <c r="AW5" s="546" t="n"/>
      <c r="AX5" s="546" t="n"/>
      <c r="AY5" s="546" t="n"/>
      <c r="AZ5" s="546" t="n"/>
      <c r="BA5" s="534" t="n"/>
      <c r="BB5" s="11">
        <f>BB7/BB6</f>
        <v/>
      </c>
      <c r="BD5" s="555" t="n"/>
      <c r="BE5" s="533" t="inlineStr">
        <is>
          <t>Effective Cycle Time</t>
        </is>
      </c>
      <c r="BF5" s="546" t="n"/>
      <c r="BG5" s="546" t="n"/>
      <c r="BH5" s="546" t="n"/>
      <c r="BI5" s="546" t="n"/>
      <c r="BJ5" s="546" t="n"/>
      <c r="BK5" s="546" t="n"/>
      <c r="BL5" s="546" t="n"/>
      <c r="BM5" s="546" t="n"/>
      <c r="BN5" s="546" t="n"/>
      <c r="BO5" s="546" t="n"/>
      <c r="BP5" s="546" t="n"/>
      <c r="BQ5" s="546" t="n"/>
      <c r="BR5" s="546" t="n"/>
      <c r="BS5" s="534" t="n"/>
      <c r="BT5" s="11">
        <f>BT7/BT6</f>
        <v/>
      </c>
    </row>
    <row r="6" ht="18" customHeight="1" s="516">
      <c r="B6" s="555" t="n"/>
      <c r="C6" s="533" t="inlineStr">
        <is>
          <t>Equipment Utilization</t>
        </is>
      </c>
      <c r="D6" s="546" t="n"/>
      <c r="E6" s="546" t="n"/>
      <c r="F6" s="546" t="n"/>
      <c r="G6" s="546" t="n"/>
      <c r="H6" s="546" t="n"/>
      <c r="I6" s="546" t="n"/>
      <c r="J6" s="546" t="n"/>
      <c r="K6" s="546" t="n"/>
      <c r="L6" s="546" t="n"/>
      <c r="M6" s="546" t="n"/>
      <c r="N6" s="546" t="n"/>
      <c r="O6" s="546" t="n"/>
      <c r="P6" s="546" t="n"/>
      <c r="Q6" s="534" t="n"/>
      <c r="R6" s="12" t="n">
        <v>0.85</v>
      </c>
      <c r="T6" s="555" t="n"/>
      <c r="U6" s="533" t="inlineStr">
        <is>
          <t>Equipment Utilization</t>
        </is>
      </c>
      <c r="V6" s="546" t="n"/>
      <c r="W6" s="546" t="n"/>
      <c r="X6" s="546" t="n"/>
      <c r="Y6" s="546" t="n"/>
      <c r="Z6" s="546" t="n"/>
      <c r="AA6" s="546" t="n"/>
      <c r="AB6" s="546" t="n"/>
      <c r="AC6" s="546" t="n"/>
      <c r="AD6" s="546" t="n"/>
      <c r="AE6" s="546" t="n"/>
      <c r="AF6" s="546" t="n"/>
      <c r="AG6" s="546" t="n"/>
      <c r="AH6" s="546" t="n"/>
      <c r="AI6" s="534" t="n"/>
      <c r="AJ6" s="12" t="n">
        <v>0.85</v>
      </c>
      <c r="AL6" s="555" t="n"/>
      <c r="AM6" s="533" t="inlineStr">
        <is>
          <t>Equipment Utilization</t>
        </is>
      </c>
      <c r="AN6" s="546" t="n"/>
      <c r="AO6" s="546" t="n"/>
      <c r="AP6" s="546" t="n"/>
      <c r="AQ6" s="546" t="n"/>
      <c r="AR6" s="546" t="n"/>
      <c r="AS6" s="546" t="n"/>
      <c r="AT6" s="546" t="n"/>
      <c r="AU6" s="546" t="n"/>
      <c r="AV6" s="546" t="n"/>
      <c r="AW6" s="546" t="n"/>
      <c r="AX6" s="546" t="n"/>
      <c r="AY6" s="546" t="n"/>
      <c r="AZ6" s="546" t="n"/>
      <c r="BA6" s="534" t="n"/>
      <c r="BB6" s="12" t="n">
        <v>0.85</v>
      </c>
      <c r="BD6" s="555" t="n"/>
      <c r="BE6" s="533" t="inlineStr">
        <is>
          <t>Equipment Utilization</t>
        </is>
      </c>
      <c r="BF6" s="546" t="n"/>
      <c r="BG6" s="546" t="n"/>
      <c r="BH6" s="546" t="n"/>
      <c r="BI6" s="546" t="n"/>
      <c r="BJ6" s="546" t="n"/>
      <c r="BK6" s="546" t="n"/>
      <c r="BL6" s="546" t="n"/>
      <c r="BM6" s="546" t="n"/>
      <c r="BN6" s="546" t="n"/>
      <c r="BO6" s="546" t="n"/>
      <c r="BP6" s="546" t="n"/>
      <c r="BQ6" s="546" t="n"/>
      <c r="BR6" s="546" t="n"/>
      <c r="BS6" s="534" t="n"/>
      <c r="BT6" s="12" t="n">
        <v>0.85</v>
      </c>
      <c r="BY6" s="66">
        <f>'Master List'!$G$1</f>
        <v/>
      </c>
    </row>
    <row r="7" ht="18" customHeight="1" s="516">
      <c r="B7" s="555" t="n"/>
      <c r="C7" s="533" t="inlineStr">
        <is>
          <t>Cycle Time</t>
        </is>
      </c>
      <c r="D7" s="546" t="n"/>
      <c r="E7" s="546" t="n"/>
      <c r="F7" s="546" t="n"/>
      <c r="G7" s="546" t="n"/>
      <c r="H7" s="546" t="n"/>
      <c r="I7" s="546" t="n"/>
      <c r="J7" s="546" t="n"/>
      <c r="K7" s="546" t="n"/>
      <c r="L7" s="546" t="n"/>
      <c r="M7" s="546" t="n"/>
      <c r="N7" s="546" t="n"/>
      <c r="O7" s="546" t="n"/>
      <c r="P7" s="546" t="n"/>
      <c r="Q7" s="534" t="n"/>
      <c r="R7" s="13">
        <f>SUM(R9:R95)</f>
        <v/>
      </c>
      <c r="T7" s="555" t="n"/>
      <c r="U7" s="533" t="inlineStr">
        <is>
          <t>Cycle Time</t>
        </is>
      </c>
      <c r="V7" s="546" t="n"/>
      <c r="W7" s="546" t="n"/>
      <c r="X7" s="546" t="n"/>
      <c r="Y7" s="546" t="n"/>
      <c r="Z7" s="546" t="n"/>
      <c r="AA7" s="546" t="n"/>
      <c r="AB7" s="546" t="n"/>
      <c r="AC7" s="546" t="n"/>
      <c r="AD7" s="546" t="n"/>
      <c r="AE7" s="546" t="n"/>
      <c r="AF7" s="546" t="n"/>
      <c r="AG7" s="546" t="n"/>
      <c r="AH7" s="546" t="n"/>
      <c r="AI7" s="534" t="n"/>
      <c r="AJ7" s="13">
        <f>SUM(AJ9:AJ95)</f>
        <v/>
      </c>
      <c r="AL7" s="555" t="n"/>
      <c r="AM7" s="533" t="inlineStr">
        <is>
          <t>Cycle Time</t>
        </is>
      </c>
      <c r="AN7" s="546" t="n"/>
      <c r="AO7" s="546" t="n"/>
      <c r="AP7" s="546" t="n"/>
      <c r="AQ7" s="546" t="n"/>
      <c r="AR7" s="546" t="n"/>
      <c r="AS7" s="546" t="n"/>
      <c r="AT7" s="546" t="n"/>
      <c r="AU7" s="546" t="n"/>
      <c r="AV7" s="546" t="n"/>
      <c r="AW7" s="546" t="n"/>
      <c r="AX7" s="546" t="n"/>
      <c r="AY7" s="546" t="n"/>
      <c r="AZ7" s="546" t="n"/>
      <c r="BA7" s="534" t="n"/>
      <c r="BB7" s="13">
        <f>SUM(BB9:BB95)</f>
        <v/>
      </c>
      <c r="BD7" s="555" t="n"/>
      <c r="BE7" s="533" t="inlineStr">
        <is>
          <t>Cycle Time</t>
        </is>
      </c>
      <c r="BF7" s="546" t="n"/>
      <c r="BG7" s="546" t="n"/>
      <c r="BH7" s="546" t="n"/>
      <c r="BI7" s="546" t="n"/>
      <c r="BJ7" s="546" t="n"/>
      <c r="BK7" s="546" t="n"/>
      <c r="BL7" s="546" t="n"/>
      <c r="BM7" s="546" t="n"/>
      <c r="BN7" s="546" t="n"/>
      <c r="BO7" s="546" t="n"/>
      <c r="BP7" s="546" t="n"/>
      <c r="BQ7" s="546" t="n"/>
      <c r="BR7" s="546" t="n"/>
      <c r="BS7" s="534" t="n"/>
      <c r="BT7" s="13">
        <f>SUM(BT9:BT95)</f>
        <v/>
      </c>
    </row>
    <row r="8" ht="84" customFormat="1" customHeight="1" s="6">
      <c r="B8" s="556" t="n"/>
      <c r="C8" s="16" t="inlineStr">
        <is>
          <t>Activity Type</t>
        </is>
      </c>
      <c r="D8" s="2" t="inlineStr">
        <is>
          <t>Steps</t>
        </is>
      </c>
      <c r="E8" s="21" t="inlineStr">
        <is>
          <t>Time to consider in absence of data (sec)</t>
        </is>
      </c>
      <c r="F8" s="21" t="inlineStr">
        <is>
          <t>Speed (m / sec)</t>
        </is>
      </c>
      <c r="G8" s="21" t="inlineStr">
        <is>
          <t>Acceleration (m / sec^2)</t>
        </is>
      </c>
      <c r="H8" s="18" t="inlineStr">
        <is>
          <t>Total Distance (m)</t>
        </is>
      </c>
      <c r="I8" s="3" t="inlineStr">
        <is>
          <t>Time to Reach Max Speed (sec)</t>
        </is>
      </c>
      <c r="J8" s="4" t="inlineStr">
        <is>
          <t>Distance in accerlaration (m)</t>
        </is>
      </c>
      <c r="K8" s="2" t="inlineStr">
        <is>
          <t>Distance in Max speed (m)</t>
        </is>
      </c>
      <c r="L8" s="5" t="inlineStr">
        <is>
          <t>Distance in de-acceleration (m)</t>
        </is>
      </c>
      <c r="M8" s="4" t="inlineStr">
        <is>
          <t>Time in acceleration (sec)</t>
        </is>
      </c>
      <c r="N8" s="2" t="inlineStr">
        <is>
          <t>Time in full speed (sec)</t>
        </is>
      </c>
      <c r="O8" s="5" t="inlineStr">
        <is>
          <t>Time in de-acceleration (sec)</t>
        </is>
      </c>
      <c r="P8" s="19" t="inlineStr">
        <is>
          <t>Time (sec)</t>
        </is>
      </c>
      <c r="Q8" s="18" t="inlineStr">
        <is>
          <t>Units</t>
        </is>
      </c>
      <c r="R8" s="20" t="inlineStr">
        <is>
          <t>Total Time</t>
        </is>
      </c>
      <c r="T8" s="556" t="n"/>
      <c r="U8" s="16" t="inlineStr">
        <is>
          <t>Activity Type</t>
        </is>
      </c>
      <c r="V8" s="2" t="inlineStr">
        <is>
          <t>Steps</t>
        </is>
      </c>
      <c r="W8" s="21" t="inlineStr">
        <is>
          <t>Time to consider in absence of data (sec)</t>
        </is>
      </c>
      <c r="X8" s="21" t="inlineStr">
        <is>
          <t>Speed (m / sec)</t>
        </is>
      </c>
      <c r="Y8" s="21" t="inlineStr">
        <is>
          <t>Acceleration (m / sec^2)</t>
        </is>
      </c>
      <c r="Z8" s="18" t="inlineStr">
        <is>
          <t>Total Distance (m)</t>
        </is>
      </c>
      <c r="AA8" s="3" t="inlineStr">
        <is>
          <t>Time to Reach Max Speed (sec)</t>
        </is>
      </c>
      <c r="AB8" s="4" t="inlineStr">
        <is>
          <t>Distance in accerlaration (m)</t>
        </is>
      </c>
      <c r="AC8" s="2" t="inlineStr">
        <is>
          <t>Distance in Max speed (m)</t>
        </is>
      </c>
      <c r="AD8" s="5" t="inlineStr">
        <is>
          <t>Distance in de-acceleration (m)</t>
        </is>
      </c>
      <c r="AE8" s="4" t="inlineStr">
        <is>
          <t>Time in acceleration (sec)</t>
        </is>
      </c>
      <c r="AF8" s="2" t="inlineStr">
        <is>
          <t>Time in full speed (sec)</t>
        </is>
      </c>
      <c r="AG8" s="5" t="inlineStr">
        <is>
          <t>Time in de-acceleration (sec)</t>
        </is>
      </c>
      <c r="AH8" s="19" t="inlineStr">
        <is>
          <t>Time (sec)</t>
        </is>
      </c>
      <c r="AI8" s="18" t="inlineStr">
        <is>
          <t>Units</t>
        </is>
      </c>
      <c r="AJ8" s="20" t="inlineStr">
        <is>
          <t>Total Time</t>
        </is>
      </c>
      <c r="AL8" s="556" t="n"/>
      <c r="AM8" s="16" t="inlineStr">
        <is>
          <t>Activity Type</t>
        </is>
      </c>
      <c r="AN8" s="2" t="inlineStr">
        <is>
          <t>Steps</t>
        </is>
      </c>
      <c r="AO8" s="21" t="inlineStr">
        <is>
          <t>Time to consider in absence of data (sec)</t>
        </is>
      </c>
      <c r="AP8" s="21" t="inlineStr">
        <is>
          <t>Speed (m / sec)</t>
        </is>
      </c>
      <c r="AQ8" s="21" t="inlineStr">
        <is>
          <t>Acceleration (m / sec^2)</t>
        </is>
      </c>
      <c r="AR8" s="18" t="inlineStr">
        <is>
          <t>Total Distance (m)</t>
        </is>
      </c>
      <c r="AS8" s="3" t="inlineStr">
        <is>
          <t>Time to Reach Max Speed (sec)</t>
        </is>
      </c>
      <c r="AT8" s="4" t="inlineStr">
        <is>
          <t>Distance in accerlaration (m)</t>
        </is>
      </c>
      <c r="AU8" s="2" t="inlineStr">
        <is>
          <t>Distance in Max speed (m)</t>
        </is>
      </c>
      <c r="AV8" s="5" t="inlineStr">
        <is>
          <t>Distance in de-acceleration (m)</t>
        </is>
      </c>
      <c r="AW8" s="4" t="inlineStr">
        <is>
          <t>Time in acceleration (sec)</t>
        </is>
      </c>
      <c r="AX8" s="2" t="inlineStr">
        <is>
          <t>Time in full speed (sec)</t>
        </is>
      </c>
      <c r="AY8" s="5" t="inlineStr">
        <is>
          <t>Time in de-acceleration (sec)</t>
        </is>
      </c>
      <c r="AZ8" s="19" t="inlineStr">
        <is>
          <t>Time (sec)</t>
        </is>
      </c>
      <c r="BA8" s="18" t="inlineStr">
        <is>
          <t>Units</t>
        </is>
      </c>
      <c r="BB8" s="20" t="inlineStr">
        <is>
          <t>Total Time</t>
        </is>
      </c>
      <c r="BD8" s="556" t="n"/>
      <c r="BE8" s="16" t="inlineStr">
        <is>
          <t>Activity Type</t>
        </is>
      </c>
      <c r="BF8" s="2" t="inlineStr">
        <is>
          <t>Steps</t>
        </is>
      </c>
      <c r="BG8" s="21" t="inlineStr">
        <is>
          <t>Time to consider in absence of data (sec)</t>
        </is>
      </c>
      <c r="BH8" s="21" t="inlineStr">
        <is>
          <t>Speed (m / sec)</t>
        </is>
      </c>
      <c r="BI8" s="21" t="inlineStr">
        <is>
          <t>Acceleration (m / sec^2)</t>
        </is>
      </c>
      <c r="BJ8" s="18" t="inlineStr">
        <is>
          <t>Total Distance (m)</t>
        </is>
      </c>
      <c r="BK8" s="3" t="inlineStr">
        <is>
          <t>Time to Reach Max Speed (sec)</t>
        </is>
      </c>
      <c r="BL8" s="4" t="inlineStr">
        <is>
          <t>Distance in accerlaration (m)</t>
        </is>
      </c>
      <c r="BM8" s="2" t="inlineStr">
        <is>
          <t>Distance in Max speed (m)</t>
        </is>
      </c>
      <c r="BN8" s="5" t="inlineStr">
        <is>
          <t>Distance in de-acceleration (m)</t>
        </is>
      </c>
      <c r="BO8" s="4" t="inlineStr">
        <is>
          <t>Time in acceleration (sec)</t>
        </is>
      </c>
      <c r="BP8" s="2" t="inlineStr">
        <is>
          <t>Time in full speed (sec)</t>
        </is>
      </c>
      <c r="BQ8" s="5" t="inlineStr">
        <is>
          <t>Time in de-acceleration (sec)</t>
        </is>
      </c>
      <c r="BR8" s="19" t="inlineStr">
        <is>
          <t>Time (sec)</t>
        </is>
      </c>
      <c r="BS8" s="18" t="inlineStr">
        <is>
          <t>Units</t>
        </is>
      </c>
      <c r="BT8" s="20" t="inlineStr">
        <is>
          <t>Total Time</t>
        </is>
      </c>
    </row>
    <row r="9">
      <c r="B9" s="14" t="n">
        <v>1</v>
      </c>
      <c r="C9" s="28" t="n"/>
      <c r="D9" s="28" t="n"/>
      <c r="E9" s="9">
        <f>IFERROR(VLOOKUP(C9,'Master List'!$A:$D,2,0),0)</f>
        <v/>
      </c>
      <c r="F9" s="9">
        <f>IFERROR(VLOOKUP(C9,'Master List'!$A:$D,3,0),0)</f>
        <v/>
      </c>
      <c r="G9" s="9">
        <f>IFERROR(VLOOKUP(C9,'Master List'!$A:$D,4,0),0)</f>
        <v/>
      </c>
      <c r="H9" s="32" t="n"/>
      <c r="I9" s="7">
        <f>IFERROR(F9/G9,0)</f>
        <v/>
      </c>
      <c r="J9" s="8">
        <f>IFERROR(IF(H9&lt;((1/2*G9*I9^2)*2),1/2*G9*SQRT((H9/2)*2/G9)^2,1/2*G9*I9^2),0)</f>
        <v/>
      </c>
      <c r="K9" s="9">
        <f>IFERROR(IF(H9-J9-L9&lt;=0,0,H9-J9-L9),0)</f>
        <v/>
      </c>
      <c r="L9" s="10">
        <f>J9</f>
        <v/>
      </c>
      <c r="M9" s="8">
        <f>IFERROR(IF(H9&lt;((1/2*G9*I9^2)*2),SQRT((H9/2)*2/G9),I9),0)</f>
        <v/>
      </c>
      <c r="N9" s="9">
        <f>IFERROR(K9/F9,0)</f>
        <v/>
      </c>
      <c r="O9" s="10">
        <f>M9</f>
        <v/>
      </c>
      <c r="P9" s="8">
        <f>IF(E9&gt;0,E9,SUM(M9:O9))</f>
        <v/>
      </c>
      <c r="Q9" s="32" t="n"/>
      <c r="R9" s="10">
        <f>P9*Q9</f>
        <v/>
      </c>
      <c r="T9" s="14" t="n">
        <v>1</v>
      </c>
      <c r="U9" s="28" t="n"/>
      <c r="V9" s="30" t="n"/>
      <c r="W9" s="9">
        <f>IFERROR(VLOOKUP(U9,'Master List'!$A:$D,2,0),0)</f>
        <v/>
      </c>
      <c r="X9" s="9">
        <f>IFERROR(VLOOKUP(U9,'Master List'!$A:$D,3,0),0)</f>
        <v/>
      </c>
      <c r="Y9" s="9">
        <f>IFERROR(VLOOKUP(U9,'Master List'!$A:$D,4,0),0)</f>
        <v/>
      </c>
      <c r="Z9" s="32" t="n"/>
      <c r="AA9" s="7">
        <f>IFERROR(X9/Y9,0)</f>
        <v/>
      </c>
      <c r="AB9" s="8">
        <f>IFERROR(IF(Z9&lt;((1/2*Y9*AA9^2)*2),1/2*Y9*SQRT((Z9/2)*2/Y9)^2,1/2*Y9*AA9^2),0)</f>
        <v/>
      </c>
      <c r="AC9" s="9">
        <f>IFERROR(IF(Z9-AB9-AD9&lt;=0,0,Z9-AB9-AD9),0)</f>
        <v/>
      </c>
      <c r="AD9" s="10">
        <f>AB9</f>
        <v/>
      </c>
      <c r="AE9" s="8">
        <f>IFERROR(IF(Z9&lt;((1/2*Y9*AA9^2)*2),SQRT((Z9/2)*2/Y9),AA9),0)</f>
        <v/>
      </c>
      <c r="AF9" s="9">
        <f>IFERROR(AC9/X9,0)</f>
        <v/>
      </c>
      <c r="AG9" s="10">
        <f>AE9</f>
        <v/>
      </c>
      <c r="AH9" s="8">
        <f>IF(W9&gt;0,W9,SUM(AE9:AG9))</f>
        <v/>
      </c>
      <c r="AI9" s="32" t="n"/>
      <c r="AJ9" s="10">
        <f>AH9*AI9</f>
        <v/>
      </c>
      <c r="AL9" s="14" t="n">
        <v>1</v>
      </c>
      <c r="AM9" s="28" t="n"/>
      <c r="AN9" s="30" t="n"/>
      <c r="AO9" s="9">
        <f>IFERROR(VLOOKUP(AM9,'Master List'!$A:$D,2,0),0)</f>
        <v/>
      </c>
      <c r="AP9" s="9">
        <f>IFERROR(VLOOKUP(AM9,'Master List'!$A:$D,3,0),0)</f>
        <v/>
      </c>
      <c r="AQ9" s="9">
        <f>IFERROR(VLOOKUP(AM9,'Master List'!$A:$D,4,0),0)</f>
        <v/>
      </c>
      <c r="AR9" s="32" t="n"/>
      <c r="AS9" s="7">
        <f>IFERROR(AP9/AQ9,0)</f>
        <v/>
      </c>
      <c r="AT9" s="8">
        <f>IFERROR(IF(AR9&lt;((1/2*AQ9*AS9^2)*2),1/2*AQ9*SQRT((AR9/2)*2/AQ9)^2,1/2*AQ9*AS9^2),0)</f>
        <v/>
      </c>
      <c r="AU9" s="9">
        <f>IFERROR(IF(AR9-AT9-AV9&lt;=0,0,AR9-AT9-AV9),0)</f>
        <v/>
      </c>
      <c r="AV9" s="10">
        <f>AT9</f>
        <v/>
      </c>
      <c r="AW9" s="8">
        <f>IFERROR(IF(AR9&lt;((1/2*AQ9*AS9^2)*2),SQRT((AR9/2)*2/AQ9),AS9),0)</f>
        <v/>
      </c>
      <c r="AX9" s="9">
        <f>IFERROR(AU9/AP9,0)</f>
        <v/>
      </c>
      <c r="AY9" s="10">
        <f>AW9</f>
        <v/>
      </c>
      <c r="AZ9" s="8">
        <f>IF(AO9&gt;0,AO9,SUM(AW9:AY9))</f>
        <v/>
      </c>
      <c r="BA9" s="32" t="n"/>
      <c r="BB9" s="10">
        <f>AZ9*BA9</f>
        <v/>
      </c>
      <c r="BD9" s="14" t="n">
        <v>1</v>
      </c>
      <c r="BE9" s="28" t="n"/>
      <c r="BF9" s="30" t="n"/>
      <c r="BG9" s="9">
        <f>IFERROR(VLOOKUP(BE9,'Master List'!$A:$D,2,0),0)</f>
        <v/>
      </c>
      <c r="BH9" s="9">
        <f>IFERROR(VLOOKUP(BE9,'Master List'!$A:$D,3,0),0)</f>
        <v/>
      </c>
      <c r="BI9" s="9">
        <f>IFERROR(VLOOKUP(BE9,'Master List'!$A:$D,4,0),0)</f>
        <v/>
      </c>
      <c r="BJ9" s="32" t="n"/>
      <c r="BK9" s="7">
        <f>IFERROR(BH9/BI9,0)</f>
        <v/>
      </c>
      <c r="BL9" s="8">
        <f>IFERROR(IF(BJ9&lt;((1/2*BI9*BK9^2)*2),1/2*BI9*SQRT((BJ9/2)*2/BI9)^2,1/2*BI9*BK9^2),0)</f>
        <v/>
      </c>
      <c r="BM9" s="9">
        <f>IFERROR(IF(BJ9-BL9-BN9&lt;=0,0,BJ9-BL9-BN9),0)</f>
        <v/>
      </c>
      <c r="BN9" s="10">
        <f>BL9</f>
        <v/>
      </c>
      <c r="BO9" s="8">
        <f>IFERROR(IF(BJ9&lt;((1/2*BI9*BK9^2)*2),SQRT((BJ9/2)*2/BI9),BK9),0)</f>
        <v/>
      </c>
      <c r="BP9" s="9">
        <f>IFERROR(BM9/BH9,0)</f>
        <v/>
      </c>
      <c r="BQ9" s="10">
        <f>BO9</f>
        <v/>
      </c>
      <c r="BR9" s="8">
        <f>IF(BG9&gt;0,BG9,SUM(BO9:BQ9))</f>
        <v/>
      </c>
      <c r="BS9" s="32" t="n"/>
      <c r="BT9" s="10">
        <f>BR9*BS9</f>
        <v/>
      </c>
    </row>
    <row r="10">
      <c r="B10" s="14">
        <f>B9+1</f>
        <v/>
      </c>
      <c r="C10" s="28" t="n"/>
      <c r="D10" s="28" t="n"/>
      <c r="E10" s="9">
        <f>IFERROR(VLOOKUP(C10,'Master List'!$A:$D,2,0),0)</f>
        <v/>
      </c>
      <c r="F10" s="9">
        <f>IFERROR(VLOOKUP(C10,'Master List'!$A:$D,3,0),0)</f>
        <v/>
      </c>
      <c r="G10" s="9">
        <f>IFERROR(VLOOKUP(C10,'Master List'!$A:$D,4,0),0)</f>
        <v/>
      </c>
      <c r="H10" s="32" t="n"/>
      <c r="I10" s="7">
        <f>IFERROR(F10/G10,0)</f>
        <v/>
      </c>
      <c r="J10" s="8">
        <f>IFERROR(IF(H10&lt;((1/2*G10*I10^2)*2),1/2*G10*SQRT((H10/2)*2/G10)^2,1/2*G10*I10^2),0)</f>
        <v/>
      </c>
      <c r="K10" s="9">
        <f>IFERROR(IF(H10-J10-L10&lt;=0,0,H10-J10-L10),0)</f>
        <v/>
      </c>
      <c r="L10" s="10">
        <f>J10</f>
        <v/>
      </c>
      <c r="M10" s="8">
        <f>IFERROR(IF(H10&lt;((1/2*G10*I10^2)*2),SQRT((H10/2)*2/G10),I10),0)</f>
        <v/>
      </c>
      <c r="N10" s="9">
        <f>IFERROR(K10/F10,0)</f>
        <v/>
      </c>
      <c r="O10" s="10">
        <f>M10</f>
        <v/>
      </c>
      <c r="P10" s="8">
        <f>IF(E10&gt;0,E10,SUM(M10:O10))</f>
        <v/>
      </c>
      <c r="Q10" s="32" t="n"/>
      <c r="R10" s="10">
        <f>P10*Q10</f>
        <v/>
      </c>
      <c r="T10" s="14">
        <f>T9+1</f>
        <v/>
      </c>
      <c r="U10" s="28" t="n"/>
      <c r="V10" s="30" t="n"/>
      <c r="W10" s="9">
        <f>IFERROR(VLOOKUP(U10,'Master List'!$A:$D,2,0),0)</f>
        <v/>
      </c>
      <c r="X10" s="9">
        <f>IFERROR(VLOOKUP(U10,'Master List'!$A:$D,3,0),0)</f>
        <v/>
      </c>
      <c r="Y10" s="9">
        <f>IFERROR(VLOOKUP(U10,'Master List'!$A:$D,4,0),0)</f>
        <v/>
      </c>
      <c r="Z10" s="32" t="n"/>
      <c r="AA10" s="7">
        <f>IFERROR(X10/Y10,0)</f>
        <v/>
      </c>
      <c r="AB10" s="8">
        <f>IFERROR(IF(Z10&lt;((1/2*Y10*AA10^2)*2),1/2*Y10*SQRT((Z10/2)*2/Y10)^2,1/2*Y10*AA10^2),0)</f>
        <v/>
      </c>
      <c r="AC10" s="9">
        <f>IFERROR(IF(Z10-AB10-AD10&lt;=0,0,Z10-AB10-AD10),0)</f>
        <v/>
      </c>
      <c r="AD10" s="10">
        <f>AB10</f>
        <v/>
      </c>
      <c r="AE10" s="8">
        <f>IFERROR(IF(Z10&lt;((1/2*Y10*AA10^2)*2),SQRT((Z10/2)*2/Y10),AA10),0)</f>
        <v/>
      </c>
      <c r="AF10" s="9">
        <f>IFERROR(AC10/X10,0)</f>
        <v/>
      </c>
      <c r="AG10" s="10">
        <f>AE10</f>
        <v/>
      </c>
      <c r="AH10" s="8">
        <f>IF(W10&gt;0,W10,SUM(AE10:AG10))</f>
        <v/>
      </c>
      <c r="AI10" s="32" t="n"/>
      <c r="AJ10" s="10">
        <f>AH10*AI10</f>
        <v/>
      </c>
      <c r="AL10" s="14">
        <f>AL9+1</f>
        <v/>
      </c>
      <c r="AM10" s="28" t="n"/>
      <c r="AN10" s="30" t="n"/>
      <c r="AO10" s="9">
        <f>IFERROR(VLOOKUP(AM10,'Master List'!$A:$D,2,0),0)</f>
        <v/>
      </c>
      <c r="AP10" s="9">
        <f>IFERROR(VLOOKUP(AM10,'Master List'!$A:$D,3,0),0)</f>
        <v/>
      </c>
      <c r="AQ10" s="9">
        <f>IFERROR(VLOOKUP(AM10,'Master List'!$A:$D,4,0),0)</f>
        <v/>
      </c>
      <c r="AR10" s="32" t="n"/>
      <c r="AS10" s="7">
        <f>IFERROR(AP10/AQ10,0)</f>
        <v/>
      </c>
      <c r="AT10" s="8">
        <f>IFERROR(IF(AR10&lt;((1/2*AQ10*AS10^2)*2),1/2*AQ10*SQRT((AR10/2)*2/AQ10)^2,1/2*AQ10*AS10^2),0)</f>
        <v/>
      </c>
      <c r="AU10" s="9">
        <f>IFERROR(IF(AR10-AT10-AV10&lt;=0,0,AR10-AT10-AV10),0)</f>
        <v/>
      </c>
      <c r="AV10" s="10">
        <f>AT10</f>
        <v/>
      </c>
      <c r="AW10" s="8">
        <f>IFERROR(IF(AR10&lt;((1/2*AQ10*AS10^2)*2),SQRT((AR10/2)*2/AQ10),AS10),0)</f>
        <v/>
      </c>
      <c r="AX10" s="9">
        <f>IFERROR(AU10/AP10,0)</f>
        <v/>
      </c>
      <c r="AY10" s="10">
        <f>AW10</f>
        <v/>
      </c>
      <c r="AZ10" s="8">
        <f>IF(AO10&gt;0,AO10,SUM(AW10:AY10))</f>
        <v/>
      </c>
      <c r="BA10" s="32" t="n"/>
      <c r="BB10" s="10">
        <f>AZ10*BA10</f>
        <v/>
      </c>
      <c r="BD10" s="14">
        <f>BD9+1</f>
        <v/>
      </c>
      <c r="BE10" s="28" t="n"/>
      <c r="BF10" s="30" t="n"/>
      <c r="BG10" s="9">
        <f>IFERROR(VLOOKUP(BE10,'Master List'!$A:$D,2,0),0)</f>
        <v/>
      </c>
      <c r="BH10" s="9">
        <f>IFERROR(VLOOKUP(BE10,'Master List'!$A:$D,3,0),0)</f>
        <v/>
      </c>
      <c r="BI10" s="9">
        <f>IFERROR(VLOOKUP(BE10,'Master List'!$A:$D,4,0),0)</f>
        <v/>
      </c>
      <c r="BJ10" s="32" t="n"/>
      <c r="BK10" s="7">
        <f>IFERROR(BH10/BI10,0)</f>
        <v/>
      </c>
      <c r="BL10" s="8">
        <f>IFERROR(IF(BJ10&lt;((1/2*BI10*BK10^2)*2),1/2*BI10*SQRT((BJ10/2)*2/BI10)^2,1/2*BI10*BK10^2),0)</f>
        <v/>
      </c>
      <c r="BM10" s="9">
        <f>IFERROR(IF(BJ10-BL10-BN10&lt;=0,0,BJ10-BL10-BN10),0)</f>
        <v/>
      </c>
      <c r="BN10" s="10">
        <f>BL10</f>
        <v/>
      </c>
      <c r="BO10" s="8">
        <f>IFERROR(IF(BJ10&lt;((1/2*BI10*BK10^2)*2),SQRT((BJ10/2)*2/BI10),BK10),0)</f>
        <v/>
      </c>
      <c r="BP10" s="9">
        <f>IFERROR(BM10/BH10,0)</f>
        <v/>
      </c>
      <c r="BQ10" s="10">
        <f>BO10</f>
        <v/>
      </c>
      <c r="BR10" s="8">
        <f>IF(BG10&gt;0,BG10,SUM(BO10:BQ10))</f>
        <v/>
      </c>
      <c r="BS10" s="32" t="n"/>
      <c r="BT10" s="10">
        <f>BR10*BS10</f>
        <v/>
      </c>
    </row>
    <row r="11">
      <c r="B11" s="14">
        <f>B10+1</f>
        <v/>
      </c>
      <c r="C11" s="28" t="n"/>
      <c r="D11" s="28" t="n"/>
      <c r="E11" s="9">
        <f>IFERROR(VLOOKUP(C11,'Master List'!$A:$D,2,0),0)</f>
        <v/>
      </c>
      <c r="F11" s="9">
        <f>IFERROR(VLOOKUP(C11,'Master List'!$A:$D,3,0),0)</f>
        <v/>
      </c>
      <c r="G11" s="9">
        <f>IFERROR(VLOOKUP(C11,'Master List'!$A:$D,4,0),0)</f>
        <v/>
      </c>
      <c r="H11" s="32" t="n"/>
      <c r="I11" s="7">
        <f>IFERROR(F11/G11,0)</f>
        <v/>
      </c>
      <c r="J11" s="8">
        <f>IFERROR(IF(H11&lt;((1/2*G11*I11^2)*2),1/2*G11*SQRT((H11/2)*2/G11)^2,1/2*G11*I11^2),0)</f>
        <v/>
      </c>
      <c r="K11" s="9">
        <f>IFERROR(IF(H11-J11-L11&lt;=0,0,H11-J11-L11),0)</f>
        <v/>
      </c>
      <c r="L11" s="10">
        <f>J11</f>
        <v/>
      </c>
      <c r="M11" s="8">
        <f>IFERROR(IF(H11&lt;((1/2*G11*I11^2)*2),SQRT((H11/2)*2/G11),I11),0)</f>
        <v/>
      </c>
      <c r="N11" s="9">
        <f>IFERROR(K11/F11,0)</f>
        <v/>
      </c>
      <c r="O11" s="10">
        <f>M11</f>
        <v/>
      </c>
      <c r="P11" s="8">
        <f>IF(E11&gt;0,E11,SUM(M11:O11))</f>
        <v/>
      </c>
      <c r="Q11" s="32" t="n"/>
      <c r="R11" s="10">
        <f>P11*Q11</f>
        <v/>
      </c>
      <c r="T11" s="14">
        <f>T10+1</f>
        <v/>
      </c>
      <c r="U11" s="28" t="n"/>
      <c r="V11" s="30" t="n"/>
      <c r="W11" s="9">
        <f>IFERROR(VLOOKUP(U11,'Master List'!$A:$D,2,0),0)</f>
        <v/>
      </c>
      <c r="X11" s="9">
        <f>IFERROR(VLOOKUP(U11,'Master List'!$A:$D,3,0),0)</f>
        <v/>
      </c>
      <c r="Y11" s="9">
        <f>IFERROR(VLOOKUP(U11,'Master List'!$A:$D,4,0),0)</f>
        <v/>
      </c>
      <c r="Z11" s="32" t="n"/>
      <c r="AA11" s="7">
        <f>IFERROR(X11/Y11,0)</f>
        <v/>
      </c>
      <c r="AB11" s="8">
        <f>IFERROR(IF(Z11&lt;((1/2*Y11*AA11^2)*2),1/2*Y11*SQRT((Z11/2)*2/Y11)^2,1/2*Y11*AA11^2),0)</f>
        <v/>
      </c>
      <c r="AC11" s="9">
        <f>IFERROR(IF(Z11-AB11-AD11&lt;=0,0,Z11-AB11-AD11),0)</f>
        <v/>
      </c>
      <c r="AD11" s="10">
        <f>AB11</f>
        <v/>
      </c>
      <c r="AE11" s="8">
        <f>IFERROR(IF(Z11&lt;((1/2*Y11*AA11^2)*2),SQRT((Z11/2)*2/Y11),AA11),0)</f>
        <v/>
      </c>
      <c r="AF11" s="9">
        <f>IFERROR(AC11/X11,0)</f>
        <v/>
      </c>
      <c r="AG11" s="10">
        <f>AE11</f>
        <v/>
      </c>
      <c r="AH11" s="8">
        <f>IF(W11&gt;0,W11,SUM(AE11:AG11))</f>
        <v/>
      </c>
      <c r="AI11" s="32" t="n"/>
      <c r="AJ11" s="10">
        <f>AH11*AI11</f>
        <v/>
      </c>
      <c r="AL11" s="14">
        <f>AL10+1</f>
        <v/>
      </c>
      <c r="AM11" s="28" t="n"/>
      <c r="AN11" s="30" t="n"/>
      <c r="AO11" s="9">
        <f>IFERROR(VLOOKUP(AM11,'Master List'!$A:$D,2,0),0)</f>
        <v/>
      </c>
      <c r="AP11" s="9">
        <f>IFERROR(VLOOKUP(AM11,'Master List'!$A:$D,3,0),0)</f>
        <v/>
      </c>
      <c r="AQ11" s="9">
        <f>IFERROR(VLOOKUP(AM11,'Master List'!$A:$D,4,0),0)</f>
        <v/>
      </c>
      <c r="AR11" s="32" t="n"/>
      <c r="AS11" s="7">
        <f>IFERROR(AP11/AQ11,0)</f>
        <v/>
      </c>
      <c r="AT11" s="8">
        <f>IFERROR(IF(AR11&lt;((1/2*AQ11*AS11^2)*2),1/2*AQ11*SQRT((AR11/2)*2/AQ11)^2,1/2*AQ11*AS11^2),0)</f>
        <v/>
      </c>
      <c r="AU11" s="9">
        <f>IFERROR(IF(AR11-AT11-AV11&lt;=0,0,AR11-AT11-AV11),0)</f>
        <v/>
      </c>
      <c r="AV11" s="10">
        <f>AT11</f>
        <v/>
      </c>
      <c r="AW11" s="8">
        <f>IFERROR(IF(AR11&lt;((1/2*AQ11*AS11^2)*2),SQRT((AR11/2)*2/AQ11),AS11),0)</f>
        <v/>
      </c>
      <c r="AX11" s="9">
        <f>IFERROR(AU11/AP11,0)</f>
        <v/>
      </c>
      <c r="AY11" s="10">
        <f>AW11</f>
        <v/>
      </c>
      <c r="AZ11" s="8">
        <f>IF(AO11&gt;0,AO11,SUM(AW11:AY11))</f>
        <v/>
      </c>
      <c r="BA11" s="32" t="n"/>
      <c r="BB11" s="10">
        <f>AZ11*BA11</f>
        <v/>
      </c>
      <c r="BD11" s="14">
        <f>BD10+1</f>
        <v/>
      </c>
      <c r="BE11" s="28" t="n"/>
      <c r="BF11" s="30" t="n"/>
      <c r="BG11" s="9">
        <f>IFERROR(VLOOKUP(BE11,'Master List'!$A:$D,2,0),0)</f>
        <v/>
      </c>
      <c r="BH11" s="9">
        <f>IFERROR(VLOOKUP(BE11,'Master List'!$A:$D,3,0),0)</f>
        <v/>
      </c>
      <c r="BI11" s="9">
        <f>IFERROR(VLOOKUP(BE11,'Master List'!$A:$D,4,0),0)</f>
        <v/>
      </c>
      <c r="BJ11" s="32" t="n"/>
      <c r="BK11" s="7">
        <f>IFERROR(BH11/BI11,0)</f>
        <v/>
      </c>
      <c r="BL11" s="8">
        <f>IFERROR(IF(BJ11&lt;((1/2*BI11*BK11^2)*2),1/2*BI11*SQRT((BJ11/2)*2/BI11)^2,1/2*BI11*BK11^2),0)</f>
        <v/>
      </c>
      <c r="BM11" s="9">
        <f>IFERROR(IF(BJ11-BL11-BN11&lt;=0,0,BJ11-BL11-BN11),0)</f>
        <v/>
      </c>
      <c r="BN11" s="10">
        <f>BL11</f>
        <v/>
      </c>
      <c r="BO11" s="8">
        <f>IFERROR(IF(BJ11&lt;((1/2*BI11*BK11^2)*2),SQRT((BJ11/2)*2/BI11),BK11),0)</f>
        <v/>
      </c>
      <c r="BP11" s="9">
        <f>IFERROR(BM11/BH11,0)</f>
        <v/>
      </c>
      <c r="BQ11" s="10">
        <f>BO11</f>
        <v/>
      </c>
      <c r="BR11" s="8">
        <f>IF(BG11&gt;0,BG11,SUM(BO11:BQ11))</f>
        <v/>
      </c>
      <c r="BS11" s="32" t="n"/>
      <c r="BT11" s="10">
        <f>BR11*BS11</f>
        <v/>
      </c>
    </row>
    <row r="12">
      <c r="B12" s="14">
        <f>B11+1</f>
        <v/>
      </c>
      <c r="C12" s="28" t="n"/>
      <c r="D12" s="28" t="n"/>
      <c r="E12" s="9">
        <f>IFERROR(VLOOKUP(C12,'Master List'!$A:$D,2,0),0)</f>
        <v/>
      </c>
      <c r="F12" s="9">
        <f>IFERROR(VLOOKUP(C12,'Master List'!$A:$D,3,0),0)</f>
        <v/>
      </c>
      <c r="G12" s="9">
        <f>IFERROR(VLOOKUP(C12,'Master List'!$A:$D,4,0),0)</f>
        <v/>
      </c>
      <c r="H12" s="32" t="n"/>
      <c r="I12" s="7">
        <f>IFERROR(F12/G12,0)</f>
        <v/>
      </c>
      <c r="J12" s="8">
        <f>IFERROR(IF(H12&lt;((1/2*G12*I12^2)*2),1/2*G12*SQRT((H12/2)*2/G12)^2,1/2*G12*I12^2),0)</f>
        <v/>
      </c>
      <c r="K12" s="9">
        <f>IFERROR(IF(H12-J12-L12&lt;=0,0,H12-J12-L12),0)</f>
        <v/>
      </c>
      <c r="L12" s="10">
        <f>J12</f>
        <v/>
      </c>
      <c r="M12" s="8">
        <f>IFERROR(IF(H12&lt;((1/2*G12*I12^2)*2),SQRT((H12/2)*2/G12),I12),0)</f>
        <v/>
      </c>
      <c r="N12" s="9">
        <f>IFERROR(K12/F12,0)</f>
        <v/>
      </c>
      <c r="O12" s="10">
        <f>M12</f>
        <v/>
      </c>
      <c r="P12" s="8">
        <f>IF(E12&gt;0,E12,SUM(M12:O12))</f>
        <v/>
      </c>
      <c r="Q12" s="32" t="n"/>
      <c r="R12" s="10">
        <f>P12*Q12</f>
        <v/>
      </c>
      <c r="T12" s="14">
        <f>T11+1</f>
        <v/>
      </c>
      <c r="U12" s="28" t="n"/>
      <c r="V12" s="30" t="n"/>
      <c r="W12" s="9">
        <f>IFERROR(VLOOKUP(U12,'Master List'!$A:$D,2,0),0)</f>
        <v/>
      </c>
      <c r="X12" s="9">
        <f>IFERROR(VLOOKUP(U12,'Master List'!$A:$D,3,0),0)</f>
        <v/>
      </c>
      <c r="Y12" s="9">
        <f>IFERROR(VLOOKUP(U12,'Master List'!$A:$D,4,0),0)</f>
        <v/>
      </c>
      <c r="Z12" s="32" t="n"/>
      <c r="AA12" s="7">
        <f>IFERROR(X12/Y12,0)</f>
        <v/>
      </c>
      <c r="AB12" s="8">
        <f>IFERROR(IF(Z12&lt;((1/2*Y12*AA12^2)*2),1/2*Y12*SQRT((Z12/2)*2/Y12)^2,1/2*Y12*AA12^2),0)</f>
        <v/>
      </c>
      <c r="AC12" s="9">
        <f>IFERROR(IF(Z12-AB12-AD12&lt;=0,0,Z12-AB12-AD12),0)</f>
        <v/>
      </c>
      <c r="AD12" s="10">
        <f>AB12</f>
        <v/>
      </c>
      <c r="AE12" s="8">
        <f>IFERROR(IF(Z12&lt;((1/2*Y12*AA12^2)*2),SQRT((Z12/2)*2/Y12),AA12),0)</f>
        <v/>
      </c>
      <c r="AF12" s="9">
        <f>IFERROR(AC12/X12,0)</f>
        <v/>
      </c>
      <c r="AG12" s="10">
        <f>AE12</f>
        <v/>
      </c>
      <c r="AH12" s="8">
        <f>IF(W12&gt;0,W12,SUM(AE12:AG12))</f>
        <v/>
      </c>
      <c r="AI12" s="32" t="n"/>
      <c r="AJ12" s="10">
        <f>AH12*AI12</f>
        <v/>
      </c>
      <c r="AL12" s="14">
        <f>AL11+1</f>
        <v/>
      </c>
      <c r="AM12" s="28" t="n"/>
      <c r="AN12" s="30" t="n"/>
      <c r="AO12" s="9">
        <f>IFERROR(VLOOKUP(AM12,'Master List'!$A:$D,2,0),0)</f>
        <v/>
      </c>
      <c r="AP12" s="9">
        <f>IFERROR(VLOOKUP(AM12,'Master List'!$A:$D,3,0),0)</f>
        <v/>
      </c>
      <c r="AQ12" s="9">
        <f>IFERROR(VLOOKUP(AM12,'Master List'!$A:$D,4,0),0)</f>
        <v/>
      </c>
      <c r="AR12" s="32" t="n"/>
      <c r="AS12" s="7">
        <f>IFERROR(AP12/AQ12,0)</f>
        <v/>
      </c>
      <c r="AT12" s="8">
        <f>IFERROR(IF(AR12&lt;((1/2*AQ12*AS12^2)*2),1/2*AQ12*SQRT((AR12/2)*2/AQ12)^2,1/2*AQ12*AS12^2),0)</f>
        <v/>
      </c>
      <c r="AU12" s="9">
        <f>IFERROR(IF(AR12-AT12-AV12&lt;=0,0,AR12-AT12-AV12),0)</f>
        <v/>
      </c>
      <c r="AV12" s="10">
        <f>AT12</f>
        <v/>
      </c>
      <c r="AW12" s="8">
        <f>IFERROR(IF(AR12&lt;((1/2*AQ12*AS12^2)*2),SQRT((AR12/2)*2/AQ12),AS12),0)</f>
        <v/>
      </c>
      <c r="AX12" s="9">
        <f>IFERROR(AU12/AP12,0)</f>
        <v/>
      </c>
      <c r="AY12" s="10">
        <f>AW12</f>
        <v/>
      </c>
      <c r="AZ12" s="8">
        <f>IF(AO12&gt;0,AO12,SUM(AW12:AY12))</f>
        <v/>
      </c>
      <c r="BA12" s="32" t="n"/>
      <c r="BB12" s="10">
        <f>AZ12*BA12</f>
        <v/>
      </c>
      <c r="BD12" s="14">
        <f>BD11+1</f>
        <v/>
      </c>
      <c r="BE12" s="28" t="n"/>
      <c r="BF12" s="30" t="n"/>
      <c r="BG12" s="9">
        <f>IFERROR(VLOOKUP(BE12,'Master List'!$A:$D,2,0),0)</f>
        <v/>
      </c>
      <c r="BH12" s="9">
        <f>IFERROR(VLOOKUP(BE12,'Master List'!$A:$D,3,0),0)</f>
        <v/>
      </c>
      <c r="BI12" s="9">
        <f>IFERROR(VLOOKUP(BE12,'Master List'!$A:$D,4,0),0)</f>
        <v/>
      </c>
      <c r="BJ12" s="32" t="n"/>
      <c r="BK12" s="7">
        <f>IFERROR(BH12/BI12,0)</f>
        <v/>
      </c>
      <c r="BL12" s="8">
        <f>IFERROR(IF(BJ12&lt;((1/2*BI12*BK12^2)*2),1/2*BI12*SQRT((BJ12/2)*2/BI12)^2,1/2*BI12*BK12^2),0)</f>
        <v/>
      </c>
      <c r="BM12" s="9">
        <f>IFERROR(IF(BJ12-BL12-BN12&lt;=0,0,BJ12-BL12-BN12),0)</f>
        <v/>
      </c>
      <c r="BN12" s="10">
        <f>BL12</f>
        <v/>
      </c>
      <c r="BO12" s="8">
        <f>IFERROR(IF(BJ12&lt;((1/2*BI12*BK12^2)*2),SQRT((BJ12/2)*2/BI12),BK12),0)</f>
        <v/>
      </c>
      <c r="BP12" s="9">
        <f>IFERROR(BM12/BH12,0)</f>
        <v/>
      </c>
      <c r="BQ12" s="10">
        <f>BO12</f>
        <v/>
      </c>
      <c r="BR12" s="8">
        <f>IF(BG12&gt;0,BG12,SUM(BO12:BQ12))</f>
        <v/>
      </c>
      <c r="BS12" s="32" t="n"/>
      <c r="BT12" s="10">
        <f>BR12*BS12</f>
        <v/>
      </c>
    </row>
    <row r="13">
      <c r="B13" s="14">
        <f>B12+1</f>
        <v/>
      </c>
      <c r="C13" s="28" t="n"/>
      <c r="D13" s="28" t="n"/>
      <c r="E13" s="9">
        <f>IFERROR(VLOOKUP(C13,'Master List'!$A:$D,2,0),0)</f>
        <v/>
      </c>
      <c r="F13" s="9">
        <f>IFERROR(VLOOKUP(C13,'Master List'!$A:$D,3,0),0)</f>
        <v/>
      </c>
      <c r="G13" s="9">
        <f>IFERROR(VLOOKUP(C13,'Master List'!$A:$D,4,0),0)</f>
        <v/>
      </c>
      <c r="H13" s="32" t="n"/>
      <c r="I13" s="7">
        <f>IFERROR(F13/G13,0)</f>
        <v/>
      </c>
      <c r="J13" s="8">
        <f>IFERROR(IF(H13&lt;((1/2*G13*I13^2)*2),1/2*G13*SQRT((H13/2)*2/G13)^2,1/2*G13*I13^2),0)</f>
        <v/>
      </c>
      <c r="K13" s="9">
        <f>IFERROR(IF(H13-J13-L13&lt;=0,0,H13-J13-L13),0)</f>
        <v/>
      </c>
      <c r="L13" s="10">
        <f>J13</f>
        <v/>
      </c>
      <c r="M13" s="8">
        <f>IFERROR(IF(H13&lt;((1/2*G13*I13^2)*2),SQRT((H13/2)*2/G13),I13),0)</f>
        <v/>
      </c>
      <c r="N13" s="9">
        <f>IFERROR(K13/F13,0)</f>
        <v/>
      </c>
      <c r="O13" s="10">
        <f>M13</f>
        <v/>
      </c>
      <c r="P13" s="8">
        <f>IF(E13&gt;0,E13,SUM(M13:O13))</f>
        <v/>
      </c>
      <c r="Q13" s="32" t="n"/>
      <c r="R13" s="10">
        <f>P13*Q13</f>
        <v/>
      </c>
      <c r="T13" s="14">
        <f>T12+1</f>
        <v/>
      </c>
      <c r="U13" s="28" t="n"/>
      <c r="V13" s="30" t="n"/>
      <c r="W13" s="9">
        <f>IFERROR(VLOOKUP(U13,'Master List'!$A:$D,2,0),0)</f>
        <v/>
      </c>
      <c r="X13" s="9">
        <f>IFERROR(VLOOKUP(U13,'Master List'!$A:$D,3,0),0)</f>
        <v/>
      </c>
      <c r="Y13" s="9">
        <f>IFERROR(VLOOKUP(U13,'Master List'!$A:$D,4,0),0)</f>
        <v/>
      </c>
      <c r="Z13" s="32" t="n"/>
      <c r="AA13" s="7">
        <f>IFERROR(X13/Y13,0)</f>
        <v/>
      </c>
      <c r="AB13" s="8">
        <f>IFERROR(IF(Z13&lt;((1/2*Y13*AA13^2)*2),1/2*Y13*SQRT((Z13/2)*2/Y13)^2,1/2*Y13*AA13^2),0)</f>
        <v/>
      </c>
      <c r="AC13" s="9">
        <f>IFERROR(IF(Z13-AB13-AD13&lt;=0,0,Z13-AB13-AD13),0)</f>
        <v/>
      </c>
      <c r="AD13" s="10">
        <f>AB13</f>
        <v/>
      </c>
      <c r="AE13" s="8">
        <f>IFERROR(IF(Z13&lt;((1/2*Y13*AA13^2)*2),SQRT((Z13/2)*2/Y13),AA13),0)</f>
        <v/>
      </c>
      <c r="AF13" s="9">
        <f>IFERROR(AC13/X13,0)</f>
        <v/>
      </c>
      <c r="AG13" s="10">
        <f>AE13</f>
        <v/>
      </c>
      <c r="AH13" s="8">
        <f>IF(W13&gt;0,W13,SUM(AE13:AG13))</f>
        <v/>
      </c>
      <c r="AI13" s="32" t="n"/>
      <c r="AJ13" s="10">
        <f>AH13*AI13</f>
        <v/>
      </c>
      <c r="AL13" s="14">
        <f>AL12+1</f>
        <v/>
      </c>
      <c r="AM13" s="28" t="n"/>
      <c r="AN13" s="30" t="n"/>
      <c r="AO13" s="9">
        <f>IFERROR(VLOOKUP(AM13,'Master List'!$A:$D,2,0),0)</f>
        <v/>
      </c>
      <c r="AP13" s="9">
        <f>IFERROR(VLOOKUP(AM13,'Master List'!$A:$D,3,0),0)</f>
        <v/>
      </c>
      <c r="AQ13" s="9">
        <f>IFERROR(VLOOKUP(AM13,'Master List'!$A:$D,4,0),0)</f>
        <v/>
      </c>
      <c r="AR13" s="32" t="n"/>
      <c r="AS13" s="7">
        <f>IFERROR(AP13/AQ13,0)</f>
        <v/>
      </c>
      <c r="AT13" s="8">
        <f>IFERROR(IF(AR13&lt;((1/2*AQ13*AS13^2)*2),1/2*AQ13*SQRT((AR13/2)*2/AQ13)^2,1/2*AQ13*AS13^2),0)</f>
        <v/>
      </c>
      <c r="AU13" s="9">
        <f>IFERROR(IF(AR13-AT13-AV13&lt;=0,0,AR13-AT13-AV13),0)</f>
        <v/>
      </c>
      <c r="AV13" s="10">
        <f>AT13</f>
        <v/>
      </c>
      <c r="AW13" s="8">
        <f>IFERROR(IF(AR13&lt;((1/2*AQ13*AS13^2)*2),SQRT((AR13/2)*2/AQ13),AS13),0)</f>
        <v/>
      </c>
      <c r="AX13" s="9">
        <f>IFERROR(AU13/AP13,0)</f>
        <v/>
      </c>
      <c r="AY13" s="10">
        <f>AW13</f>
        <v/>
      </c>
      <c r="AZ13" s="8">
        <f>IF(AO13&gt;0,AO13,SUM(AW13:AY13))</f>
        <v/>
      </c>
      <c r="BA13" s="32" t="n"/>
      <c r="BB13" s="10">
        <f>AZ13*BA13</f>
        <v/>
      </c>
      <c r="BD13" s="14">
        <f>BD12+1</f>
        <v/>
      </c>
      <c r="BE13" s="28" t="n"/>
      <c r="BF13" s="30" t="n"/>
      <c r="BG13" s="9">
        <f>IFERROR(VLOOKUP(BE13,'Master List'!$A:$D,2,0),0)</f>
        <v/>
      </c>
      <c r="BH13" s="9">
        <f>IFERROR(VLOOKUP(BE13,'Master List'!$A:$D,3,0),0)</f>
        <v/>
      </c>
      <c r="BI13" s="9">
        <f>IFERROR(VLOOKUP(BE13,'Master List'!$A:$D,4,0),0)</f>
        <v/>
      </c>
      <c r="BJ13" s="32" t="n"/>
      <c r="BK13" s="7">
        <f>IFERROR(BH13/BI13,0)</f>
        <v/>
      </c>
      <c r="BL13" s="8">
        <f>IFERROR(IF(BJ13&lt;((1/2*BI13*BK13^2)*2),1/2*BI13*SQRT((BJ13/2)*2/BI13)^2,1/2*BI13*BK13^2),0)</f>
        <v/>
      </c>
      <c r="BM13" s="9">
        <f>IFERROR(IF(BJ13-BL13-BN13&lt;=0,0,BJ13-BL13-BN13),0)</f>
        <v/>
      </c>
      <c r="BN13" s="10">
        <f>BL13</f>
        <v/>
      </c>
      <c r="BO13" s="8">
        <f>IFERROR(IF(BJ13&lt;((1/2*BI13*BK13^2)*2),SQRT((BJ13/2)*2/BI13),BK13),0)</f>
        <v/>
      </c>
      <c r="BP13" s="9">
        <f>IFERROR(BM13/BH13,0)</f>
        <v/>
      </c>
      <c r="BQ13" s="10">
        <f>BO13</f>
        <v/>
      </c>
      <c r="BR13" s="8">
        <f>IF(BG13&gt;0,BG13,SUM(BO13:BQ13))</f>
        <v/>
      </c>
      <c r="BS13" s="32" t="n"/>
      <c r="BT13" s="10">
        <f>BR13*BS13</f>
        <v/>
      </c>
    </row>
    <row r="14">
      <c r="B14" s="14">
        <f>B13+1</f>
        <v/>
      </c>
      <c r="C14" s="28" t="n"/>
      <c r="D14" s="28" t="n"/>
      <c r="E14" s="9">
        <f>IFERROR(VLOOKUP(C14,'Master List'!$A:$D,2,0),0)</f>
        <v/>
      </c>
      <c r="F14" s="9">
        <f>IFERROR(VLOOKUP(C14,'Master List'!$A:$D,3,0),0)</f>
        <v/>
      </c>
      <c r="G14" s="9">
        <f>IFERROR(VLOOKUP(C14,'Master List'!$A:$D,4,0),0)</f>
        <v/>
      </c>
      <c r="H14" s="32" t="n"/>
      <c r="I14" s="7">
        <f>IFERROR(F14/G14,0)</f>
        <v/>
      </c>
      <c r="J14" s="8">
        <f>IFERROR(IF(H14&lt;((1/2*G14*I14^2)*2),1/2*G14*SQRT((H14/2)*2/G14)^2,1/2*G14*I14^2),0)</f>
        <v/>
      </c>
      <c r="K14" s="9">
        <f>IFERROR(IF(H14-J14-L14&lt;=0,0,H14-J14-L14),0)</f>
        <v/>
      </c>
      <c r="L14" s="10">
        <f>J14</f>
        <v/>
      </c>
      <c r="M14" s="8">
        <f>IFERROR(IF(H14&lt;((1/2*G14*I14^2)*2),SQRT((H14/2)*2/G14),I14),0)</f>
        <v/>
      </c>
      <c r="N14" s="9">
        <f>IFERROR(K14/F14,0)</f>
        <v/>
      </c>
      <c r="O14" s="10">
        <f>M14</f>
        <v/>
      </c>
      <c r="P14" s="8">
        <f>IF(E14&gt;0,E14,SUM(M14:O14))</f>
        <v/>
      </c>
      <c r="Q14" s="32" t="n"/>
      <c r="R14" s="10">
        <f>P14*Q14</f>
        <v/>
      </c>
      <c r="T14" s="14">
        <f>T13+1</f>
        <v/>
      </c>
      <c r="U14" s="28" t="n"/>
      <c r="V14" s="30" t="n"/>
      <c r="W14" s="9">
        <f>IFERROR(VLOOKUP(U14,'Master List'!$A:$D,2,0),0)</f>
        <v/>
      </c>
      <c r="X14" s="9">
        <f>IFERROR(VLOOKUP(U14,'Master List'!$A:$D,3,0),0)</f>
        <v/>
      </c>
      <c r="Y14" s="9">
        <f>IFERROR(VLOOKUP(U14,'Master List'!$A:$D,4,0),0)</f>
        <v/>
      </c>
      <c r="Z14" s="32" t="n"/>
      <c r="AA14" s="7">
        <f>IFERROR(X14/Y14,0)</f>
        <v/>
      </c>
      <c r="AB14" s="8">
        <f>IFERROR(IF(Z14&lt;((1/2*Y14*AA14^2)*2),1/2*Y14*SQRT((Z14/2)*2/Y14)^2,1/2*Y14*AA14^2),0)</f>
        <v/>
      </c>
      <c r="AC14" s="9">
        <f>IFERROR(IF(Z14-AB14-AD14&lt;=0,0,Z14-AB14-AD14),0)</f>
        <v/>
      </c>
      <c r="AD14" s="10">
        <f>AB14</f>
        <v/>
      </c>
      <c r="AE14" s="8">
        <f>IFERROR(IF(Z14&lt;((1/2*Y14*AA14^2)*2),SQRT((Z14/2)*2/Y14),AA14),0)</f>
        <v/>
      </c>
      <c r="AF14" s="9">
        <f>IFERROR(AC14/X14,0)</f>
        <v/>
      </c>
      <c r="AG14" s="10">
        <f>AE14</f>
        <v/>
      </c>
      <c r="AH14" s="8">
        <f>IF(W14&gt;0,W14,SUM(AE14:AG14))</f>
        <v/>
      </c>
      <c r="AI14" s="32" t="n"/>
      <c r="AJ14" s="10">
        <f>AH14*AI14</f>
        <v/>
      </c>
      <c r="AL14" s="14">
        <f>AL13+1</f>
        <v/>
      </c>
      <c r="AM14" s="28" t="n"/>
      <c r="AN14" s="30" t="n"/>
      <c r="AO14" s="9">
        <f>IFERROR(VLOOKUP(AM14,'Master List'!$A:$D,2,0),0)</f>
        <v/>
      </c>
      <c r="AP14" s="9">
        <f>IFERROR(VLOOKUP(AM14,'Master List'!$A:$D,3,0),0)</f>
        <v/>
      </c>
      <c r="AQ14" s="9">
        <f>IFERROR(VLOOKUP(AM14,'Master List'!$A:$D,4,0),0)</f>
        <v/>
      </c>
      <c r="AR14" s="32" t="n"/>
      <c r="AS14" s="7">
        <f>IFERROR(AP14/AQ14,0)</f>
        <v/>
      </c>
      <c r="AT14" s="8">
        <f>IFERROR(IF(AR14&lt;((1/2*AQ14*AS14^2)*2),1/2*AQ14*SQRT((AR14/2)*2/AQ14)^2,1/2*AQ14*AS14^2),0)</f>
        <v/>
      </c>
      <c r="AU14" s="9">
        <f>IFERROR(IF(AR14-AT14-AV14&lt;=0,0,AR14-AT14-AV14),0)</f>
        <v/>
      </c>
      <c r="AV14" s="10">
        <f>AT14</f>
        <v/>
      </c>
      <c r="AW14" s="8">
        <f>IFERROR(IF(AR14&lt;((1/2*AQ14*AS14^2)*2),SQRT((AR14/2)*2/AQ14),AS14),0)</f>
        <v/>
      </c>
      <c r="AX14" s="9">
        <f>IFERROR(AU14/AP14,0)</f>
        <v/>
      </c>
      <c r="AY14" s="10">
        <f>AW14</f>
        <v/>
      </c>
      <c r="AZ14" s="8">
        <f>IF(AO14&gt;0,AO14,SUM(AW14:AY14))</f>
        <v/>
      </c>
      <c r="BA14" s="32" t="n"/>
      <c r="BB14" s="10">
        <f>AZ14*BA14</f>
        <v/>
      </c>
      <c r="BD14" s="14">
        <f>BD13+1</f>
        <v/>
      </c>
      <c r="BE14" s="28" t="n"/>
      <c r="BF14" s="30" t="n"/>
      <c r="BG14" s="9">
        <f>IFERROR(VLOOKUP(BE14,'Master List'!$A:$D,2,0),0)</f>
        <v/>
      </c>
      <c r="BH14" s="9">
        <f>IFERROR(VLOOKUP(BE14,'Master List'!$A:$D,3,0),0)</f>
        <v/>
      </c>
      <c r="BI14" s="9">
        <f>IFERROR(VLOOKUP(BE14,'Master List'!$A:$D,4,0),0)</f>
        <v/>
      </c>
      <c r="BJ14" s="32" t="n"/>
      <c r="BK14" s="7">
        <f>IFERROR(BH14/BI14,0)</f>
        <v/>
      </c>
      <c r="BL14" s="8">
        <f>IFERROR(IF(BJ14&lt;((1/2*BI14*BK14^2)*2),1/2*BI14*SQRT((BJ14/2)*2/BI14)^2,1/2*BI14*BK14^2),0)</f>
        <v/>
      </c>
      <c r="BM14" s="9">
        <f>IFERROR(IF(BJ14-BL14-BN14&lt;=0,0,BJ14-BL14-BN14),0)</f>
        <v/>
      </c>
      <c r="BN14" s="10">
        <f>BL14</f>
        <v/>
      </c>
      <c r="BO14" s="8">
        <f>IFERROR(IF(BJ14&lt;((1/2*BI14*BK14^2)*2),SQRT((BJ14/2)*2/BI14),BK14),0)</f>
        <v/>
      </c>
      <c r="BP14" s="9">
        <f>IFERROR(BM14/BH14,0)</f>
        <v/>
      </c>
      <c r="BQ14" s="10">
        <f>BO14</f>
        <v/>
      </c>
      <c r="BR14" s="8">
        <f>IF(BG14&gt;0,BG14,SUM(BO14:BQ14))</f>
        <v/>
      </c>
      <c r="BS14" s="32" t="n"/>
      <c r="BT14" s="10">
        <f>BR14*BS14</f>
        <v/>
      </c>
    </row>
    <row r="15">
      <c r="B15" s="14">
        <f>B14+1</f>
        <v/>
      </c>
      <c r="C15" s="28" t="n"/>
      <c r="D15" s="28" t="n"/>
      <c r="E15" s="9">
        <f>IFERROR(VLOOKUP(C15,'Master List'!$A:$D,2,0),0)</f>
        <v/>
      </c>
      <c r="F15" s="9">
        <f>IFERROR(VLOOKUP(C15,'Master List'!$A:$D,3,0),0)</f>
        <v/>
      </c>
      <c r="G15" s="9">
        <f>IFERROR(VLOOKUP(C15,'Master List'!$A:$D,4,0),0)</f>
        <v/>
      </c>
      <c r="H15" s="32" t="n"/>
      <c r="I15" s="7">
        <f>IFERROR(F15/G15,0)</f>
        <v/>
      </c>
      <c r="J15" s="8">
        <f>IFERROR(IF(H15&lt;((1/2*G15*I15^2)*2),1/2*G15*SQRT((H15/2)*2/G15)^2,1/2*G15*I15^2),0)</f>
        <v/>
      </c>
      <c r="K15" s="9">
        <f>IFERROR(IF(H15-J15-L15&lt;=0,0,H15-J15-L15),0)</f>
        <v/>
      </c>
      <c r="L15" s="10">
        <f>J15</f>
        <v/>
      </c>
      <c r="M15" s="8">
        <f>IFERROR(IF(H15&lt;((1/2*G15*I15^2)*2),SQRT((H15/2)*2/G15),I15),0)</f>
        <v/>
      </c>
      <c r="N15" s="9">
        <f>IFERROR(K15/F15,0)</f>
        <v/>
      </c>
      <c r="O15" s="10">
        <f>M15</f>
        <v/>
      </c>
      <c r="P15" s="8">
        <f>IF(E15&gt;0,E15,SUM(M15:O15))</f>
        <v/>
      </c>
      <c r="Q15" s="32" t="n"/>
      <c r="R15" s="10">
        <f>P15*Q15</f>
        <v/>
      </c>
      <c r="T15" s="14">
        <f>T14+1</f>
        <v/>
      </c>
      <c r="U15" s="28" t="n"/>
      <c r="V15" s="30" t="n"/>
      <c r="W15" s="9">
        <f>IFERROR(VLOOKUP(U15,'Master List'!$A:$D,2,0),0)</f>
        <v/>
      </c>
      <c r="X15" s="9">
        <f>IFERROR(VLOOKUP(U15,'Master List'!$A:$D,3,0),0)</f>
        <v/>
      </c>
      <c r="Y15" s="9">
        <f>IFERROR(VLOOKUP(U15,'Master List'!$A:$D,4,0),0)</f>
        <v/>
      </c>
      <c r="Z15" s="32" t="n"/>
      <c r="AA15" s="7">
        <f>IFERROR(X15/Y15,0)</f>
        <v/>
      </c>
      <c r="AB15" s="8">
        <f>IFERROR(IF(Z15&lt;((1/2*Y15*AA15^2)*2),1/2*Y15*SQRT((Z15/2)*2/Y15)^2,1/2*Y15*AA15^2),0)</f>
        <v/>
      </c>
      <c r="AC15" s="9">
        <f>IFERROR(IF(Z15-AB15-AD15&lt;=0,0,Z15-AB15-AD15),0)</f>
        <v/>
      </c>
      <c r="AD15" s="10">
        <f>AB15</f>
        <v/>
      </c>
      <c r="AE15" s="8">
        <f>IFERROR(IF(Z15&lt;((1/2*Y15*AA15^2)*2),SQRT((Z15/2)*2/Y15),AA15),0)</f>
        <v/>
      </c>
      <c r="AF15" s="9">
        <f>IFERROR(AC15/X15,0)</f>
        <v/>
      </c>
      <c r="AG15" s="10">
        <f>AE15</f>
        <v/>
      </c>
      <c r="AH15" s="8">
        <f>IF(W15&gt;0,W15,SUM(AE15:AG15))</f>
        <v/>
      </c>
      <c r="AI15" s="32" t="n"/>
      <c r="AJ15" s="10">
        <f>AH15*AI15</f>
        <v/>
      </c>
      <c r="AL15" s="14">
        <f>AL14+1</f>
        <v/>
      </c>
      <c r="AM15" s="28" t="n"/>
      <c r="AN15" s="30" t="n"/>
      <c r="AO15" s="9">
        <f>IFERROR(VLOOKUP(AM15,'Master List'!$A:$D,2,0),0)</f>
        <v/>
      </c>
      <c r="AP15" s="9">
        <f>IFERROR(VLOOKUP(AM15,'Master List'!$A:$D,3,0),0)</f>
        <v/>
      </c>
      <c r="AQ15" s="9">
        <f>IFERROR(VLOOKUP(AM15,'Master List'!$A:$D,4,0),0)</f>
        <v/>
      </c>
      <c r="AR15" s="32" t="n"/>
      <c r="AS15" s="7">
        <f>IFERROR(AP15/AQ15,0)</f>
        <v/>
      </c>
      <c r="AT15" s="8">
        <f>IFERROR(IF(AR15&lt;((1/2*AQ15*AS15^2)*2),1/2*AQ15*SQRT((AR15/2)*2/AQ15)^2,1/2*AQ15*AS15^2),0)</f>
        <v/>
      </c>
      <c r="AU15" s="9">
        <f>IFERROR(IF(AR15-AT15-AV15&lt;=0,0,AR15-AT15-AV15),0)</f>
        <v/>
      </c>
      <c r="AV15" s="10">
        <f>AT15</f>
        <v/>
      </c>
      <c r="AW15" s="8">
        <f>IFERROR(IF(AR15&lt;((1/2*AQ15*AS15^2)*2),SQRT((AR15/2)*2/AQ15),AS15),0)</f>
        <v/>
      </c>
      <c r="AX15" s="9">
        <f>IFERROR(AU15/AP15,0)</f>
        <v/>
      </c>
      <c r="AY15" s="10">
        <f>AW15</f>
        <v/>
      </c>
      <c r="AZ15" s="8">
        <f>IF(AO15&gt;0,AO15,SUM(AW15:AY15))</f>
        <v/>
      </c>
      <c r="BA15" s="32" t="n"/>
      <c r="BB15" s="10">
        <f>AZ15*BA15</f>
        <v/>
      </c>
      <c r="BD15" s="14">
        <f>BD14+1</f>
        <v/>
      </c>
      <c r="BE15" s="28" t="n"/>
      <c r="BF15" s="30" t="n"/>
      <c r="BG15" s="9">
        <f>IFERROR(VLOOKUP(BE15,'Master List'!$A:$D,2,0),0)</f>
        <v/>
      </c>
      <c r="BH15" s="9">
        <f>IFERROR(VLOOKUP(BE15,'Master List'!$A:$D,3,0),0)</f>
        <v/>
      </c>
      <c r="BI15" s="9">
        <f>IFERROR(VLOOKUP(BE15,'Master List'!$A:$D,4,0),0)</f>
        <v/>
      </c>
      <c r="BJ15" s="32" t="n"/>
      <c r="BK15" s="7">
        <f>IFERROR(BH15/BI15,0)</f>
        <v/>
      </c>
      <c r="BL15" s="8">
        <f>IFERROR(IF(BJ15&lt;((1/2*BI15*BK15^2)*2),1/2*BI15*SQRT((BJ15/2)*2/BI15)^2,1/2*BI15*BK15^2),0)</f>
        <v/>
      </c>
      <c r="BM15" s="9">
        <f>IFERROR(IF(BJ15-BL15-BN15&lt;=0,0,BJ15-BL15-BN15),0)</f>
        <v/>
      </c>
      <c r="BN15" s="10">
        <f>BL15</f>
        <v/>
      </c>
      <c r="BO15" s="8">
        <f>IFERROR(IF(BJ15&lt;((1/2*BI15*BK15^2)*2),SQRT((BJ15/2)*2/BI15),BK15),0)</f>
        <v/>
      </c>
      <c r="BP15" s="9">
        <f>IFERROR(BM15/BH15,0)</f>
        <v/>
      </c>
      <c r="BQ15" s="10">
        <f>BO15</f>
        <v/>
      </c>
      <c r="BR15" s="8">
        <f>IF(BG15&gt;0,BG15,SUM(BO15:BQ15))</f>
        <v/>
      </c>
      <c r="BS15" s="32" t="n"/>
      <c r="BT15" s="10">
        <f>BR15*BS15</f>
        <v/>
      </c>
    </row>
    <row r="16">
      <c r="B16" s="14">
        <f>B15+1</f>
        <v/>
      </c>
      <c r="C16" s="28" t="n"/>
      <c r="D16" s="28" t="n"/>
      <c r="E16" s="9">
        <f>IFERROR(VLOOKUP(C16,'Master List'!$A:$D,2,0),0)</f>
        <v/>
      </c>
      <c r="F16" s="9">
        <f>IFERROR(VLOOKUP(C16,'Master List'!$A:$D,3,0),0)</f>
        <v/>
      </c>
      <c r="G16" s="9">
        <f>IFERROR(VLOOKUP(C16,'Master List'!$A:$D,4,0),0)</f>
        <v/>
      </c>
      <c r="H16" s="32" t="n"/>
      <c r="I16" s="7">
        <f>IFERROR(F16/G16,0)</f>
        <v/>
      </c>
      <c r="J16" s="8">
        <f>IFERROR(IF(H16&lt;((1/2*G16*I16^2)*2),1/2*G16*SQRT((H16/2)*2/G16)^2,1/2*G16*I16^2),0)</f>
        <v/>
      </c>
      <c r="K16" s="9">
        <f>IFERROR(IF(H16-J16-L16&lt;=0,0,H16-J16-L16),0)</f>
        <v/>
      </c>
      <c r="L16" s="10">
        <f>J16</f>
        <v/>
      </c>
      <c r="M16" s="8">
        <f>IFERROR(IF(H16&lt;((1/2*G16*I16^2)*2),SQRT((H16/2)*2/G16),I16),0)</f>
        <v/>
      </c>
      <c r="N16" s="9">
        <f>IFERROR(K16/F16,0)</f>
        <v/>
      </c>
      <c r="O16" s="10">
        <f>M16</f>
        <v/>
      </c>
      <c r="P16" s="8">
        <f>IF(E16&gt;0,E16,SUM(M16:O16))</f>
        <v/>
      </c>
      <c r="Q16" s="32" t="n"/>
      <c r="R16" s="10">
        <f>P16*Q16</f>
        <v/>
      </c>
      <c r="T16" s="14">
        <f>T15+1</f>
        <v/>
      </c>
      <c r="U16" s="28" t="n"/>
      <c r="V16" s="30" t="n"/>
      <c r="W16" s="9">
        <f>IFERROR(VLOOKUP(U16,'Master List'!$A:$D,2,0),0)</f>
        <v/>
      </c>
      <c r="X16" s="9">
        <f>IFERROR(VLOOKUP(U16,'Master List'!$A:$D,3,0),0)</f>
        <v/>
      </c>
      <c r="Y16" s="9">
        <f>IFERROR(VLOOKUP(U16,'Master List'!$A:$D,4,0),0)</f>
        <v/>
      </c>
      <c r="Z16" s="32" t="n"/>
      <c r="AA16" s="7">
        <f>IFERROR(X16/Y16,0)</f>
        <v/>
      </c>
      <c r="AB16" s="8">
        <f>IFERROR(IF(Z16&lt;((1/2*Y16*AA16^2)*2),1/2*Y16*SQRT((Z16/2)*2/Y16)^2,1/2*Y16*AA16^2),0)</f>
        <v/>
      </c>
      <c r="AC16" s="9">
        <f>IFERROR(IF(Z16-AB16-AD16&lt;=0,0,Z16-AB16-AD16),0)</f>
        <v/>
      </c>
      <c r="AD16" s="10">
        <f>AB16</f>
        <v/>
      </c>
      <c r="AE16" s="8">
        <f>IFERROR(IF(Z16&lt;((1/2*Y16*AA16^2)*2),SQRT((Z16/2)*2/Y16),AA16),0)</f>
        <v/>
      </c>
      <c r="AF16" s="9">
        <f>IFERROR(AC16/X16,0)</f>
        <v/>
      </c>
      <c r="AG16" s="10">
        <f>AE16</f>
        <v/>
      </c>
      <c r="AH16" s="8">
        <f>IF(W16&gt;0,W16,SUM(AE16:AG16))</f>
        <v/>
      </c>
      <c r="AI16" s="32" t="n"/>
      <c r="AJ16" s="10">
        <f>AH16*AI16</f>
        <v/>
      </c>
      <c r="AL16" s="14">
        <f>AL15+1</f>
        <v/>
      </c>
      <c r="AM16" s="28" t="n"/>
      <c r="AN16" s="30" t="n"/>
      <c r="AO16" s="9">
        <f>IFERROR(VLOOKUP(AM16,'Master List'!$A:$D,2,0),0)</f>
        <v/>
      </c>
      <c r="AP16" s="9">
        <f>IFERROR(VLOOKUP(AM16,'Master List'!$A:$D,3,0),0)</f>
        <v/>
      </c>
      <c r="AQ16" s="9">
        <f>IFERROR(VLOOKUP(AM16,'Master List'!$A:$D,4,0),0)</f>
        <v/>
      </c>
      <c r="AR16" s="32" t="n"/>
      <c r="AS16" s="7">
        <f>IFERROR(AP16/AQ16,0)</f>
        <v/>
      </c>
      <c r="AT16" s="8">
        <f>IFERROR(IF(AR16&lt;((1/2*AQ16*AS16^2)*2),1/2*AQ16*SQRT((AR16/2)*2/AQ16)^2,1/2*AQ16*AS16^2),0)</f>
        <v/>
      </c>
      <c r="AU16" s="9">
        <f>IFERROR(IF(AR16-AT16-AV16&lt;=0,0,AR16-AT16-AV16),0)</f>
        <v/>
      </c>
      <c r="AV16" s="10">
        <f>AT16</f>
        <v/>
      </c>
      <c r="AW16" s="8">
        <f>IFERROR(IF(AR16&lt;((1/2*AQ16*AS16^2)*2),SQRT((AR16/2)*2/AQ16),AS16),0)</f>
        <v/>
      </c>
      <c r="AX16" s="9">
        <f>IFERROR(AU16/AP16,0)</f>
        <v/>
      </c>
      <c r="AY16" s="10">
        <f>AW16</f>
        <v/>
      </c>
      <c r="AZ16" s="8">
        <f>IF(AO16&gt;0,AO16,SUM(AW16:AY16))</f>
        <v/>
      </c>
      <c r="BA16" s="32" t="n"/>
      <c r="BB16" s="10">
        <f>AZ16*BA16</f>
        <v/>
      </c>
      <c r="BD16" s="14">
        <f>BD15+1</f>
        <v/>
      </c>
      <c r="BE16" s="28" t="n"/>
      <c r="BF16" s="30" t="n"/>
      <c r="BG16" s="9">
        <f>IFERROR(VLOOKUP(BE16,'Master List'!$A:$D,2,0),0)</f>
        <v/>
      </c>
      <c r="BH16" s="9">
        <f>IFERROR(VLOOKUP(BE16,'Master List'!$A:$D,3,0),0)</f>
        <v/>
      </c>
      <c r="BI16" s="9">
        <f>IFERROR(VLOOKUP(BE16,'Master List'!$A:$D,4,0),0)</f>
        <v/>
      </c>
      <c r="BJ16" s="32" t="n"/>
      <c r="BK16" s="7">
        <f>IFERROR(BH16/BI16,0)</f>
        <v/>
      </c>
      <c r="BL16" s="8">
        <f>IFERROR(IF(BJ16&lt;((1/2*BI16*BK16^2)*2),1/2*BI16*SQRT((BJ16/2)*2/BI16)^2,1/2*BI16*BK16^2),0)</f>
        <v/>
      </c>
      <c r="BM16" s="9">
        <f>IFERROR(IF(BJ16-BL16-BN16&lt;=0,0,BJ16-BL16-BN16),0)</f>
        <v/>
      </c>
      <c r="BN16" s="10">
        <f>BL16</f>
        <v/>
      </c>
      <c r="BO16" s="8">
        <f>IFERROR(IF(BJ16&lt;((1/2*BI16*BK16^2)*2),SQRT((BJ16/2)*2/BI16),BK16),0)</f>
        <v/>
      </c>
      <c r="BP16" s="9">
        <f>IFERROR(BM16/BH16,0)</f>
        <v/>
      </c>
      <c r="BQ16" s="10">
        <f>BO16</f>
        <v/>
      </c>
      <c r="BR16" s="8">
        <f>IF(BG16&gt;0,BG16,SUM(BO16:BQ16))</f>
        <v/>
      </c>
      <c r="BS16" s="32" t="n"/>
      <c r="BT16" s="10">
        <f>BR16*BS16</f>
        <v/>
      </c>
    </row>
    <row r="17">
      <c r="B17" s="14">
        <f>B16+1</f>
        <v/>
      </c>
      <c r="C17" s="28" t="n"/>
      <c r="D17" s="28" t="n"/>
      <c r="E17" s="9">
        <f>IFERROR(VLOOKUP(C17,'Master List'!$A:$D,2,0),0)</f>
        <v/>
      </c>
      <c r="F17" s="9">
        <f>IFERROR(VLOOKUP(C17,'Master List'!$A:$D,3,0),0)</f>
        <v/>
      </c>
      <c r="G17" s="9">
        <f>IFERROR(VLOOKUP(C17,'Master List'!$A:$D,4,0),0)</f>
        <v/>
      </c>
      <c r="H17" s="32" t="n"/>
      <c r="I17" s="7">
        <f>IFERROR(F17/G17,0)</f>
        <v/>
      </c>
      <c r="J17" s="8">
        <f>IFERROR(IF(H17&lt;((1/2*G17*I17^2)*2),1/2*G17*SQRT((H17/2)*2/G17)^2,1/2*G17*I17^2),0)</f>
        <v/>
      </c>
      <c r="K17" s="9">
        <f>IFERROR(IF(H17-J17-L17&lt;=0,0,H17-J17-L17),0)</f>
        <v/>
      </c>
      <c r="L17" s="10">
        <f>J17</f>
        <v/>
      </c>
      <c r="M17" s="8">
        <f>IFERROR(IF(H17&lt;((1/2*G17*I17^2)*2),SQRT((H17/2)*2/G17),I17),0)</f>
        <v/>
      </c>
      <c r="N17" s="9">
        <f>IFERROR(K17/F17,0)</f>
        <v/>
      </c>
      <c r="O17" s="10">
        <f>M17</f>
        <v/>
      </c>
      <c r="P17" s="8">
        <f>IF(E17&gt;0,E17,SUM(M17:O17))</f>
        <v/>
      </c>
      <c r="Q17" s="32" t="n"/>
      <c r="R17" s="10">
        <f>P17*Q17</f>
        <v/>
      </c>
      <c r="T17" s="14">
        <f>T16+1</f>
        <v/>
      </c>
      <c r="U17" s="28" t="n"/>
      <c r="V17" s="30" t="n"/>
      <c r="W17" s="9">
        <f>IFERROR(VLOOKUP(U17,'Master List'!$A:$D,2,0),0)</f>
        <v/>
      </c>
      <c r="X17" s="9">
        <f>IFERROR(VLOOKUP(U17,'Master List'!$A:$D,3,0),0)</f>
        <v/>
      </c>
      <c r="Y17" s="9">
        <f>IFERROR(VLOOKUP(U17,'Master List'!$A:$D,4,0),0)</f>
        <v/>
      </c>
      <c r="Z17" s="32" t="n"/>
      <c r="AA17" s="7">
        <f>IFERROR(X17/Y17,0)</f>
        <v/>
      </c>
      <c r="AB17" s="8">
        <f>IFERROR(IF(Z17&lt;((1/2*Y17*AA17^2)*2),1/2*Y17*SQRT((Z17/2)*2/Y17)^2,1/2*Y17*AA17^2),0)</f>
        <v/>
      </c>
      <c r="AC17" s="9">
        <f>IFERROR(IF(Z17-AB17-AD17&lt;=0,0,Z17-AB17-AD17),0)</f>
        <v/>
      </c>
      <c r="AD17" s="10">
        <f>AB17</f>
        <v/>
      </c>
      <c r="AE17" s="8">
        <f>IFERROR(IF(Z17&lt;((1/2*Y17*AA17^2)*2),SQRT((Z17/2)*2/Y17),AA17),0)</f>
        <v/>
      </c>
      <c r="AF17" s="9">
        <f>IFERROR(AC17/X17,0)</f>
        <v/>
      </c>
      <c r="AG17" s="10">
        <f>AE17</f>
        <v/>
      </c>
      <c r="AH17" s="8">
        <f>IF(W17&gt;0,W17,SUM(AE17:AG17))</f>
        <v/>
      </c>
      <c r="AI17" s="32" t="n"/>
      <c r="AJ17" s="10">
        <f>AH17*AI17</f>
        <v/>
      </c>
      <c r="AL17" s="14">
        <f>AL16+1</f>
        <v/>
      </c>
      <c r="AM17" s="28" t="n"/>
      <c r="AN17" s="30" t="n"/>
      <c r="AO17" s="9">
        <f>IFERROR(VLOOKUP(AM17,'Master List'!$A:$D,2,0),0)</f>
        <v/>
      </c>
      <c r="AP17" s="9">
        <f>IFERROR(VLOOKUP(AM17,'Master List'!$A:$D,3,0),0)</f>
        <v/>
      </c>
      <c r="AQ17" s="9">
        <f>IFERROR(VLOOKUP(AM17,'Master List'!$A:$D,4,0),0)</f>
        <v/>
      </c>
      <c r="AR17" s="32" t="n"/>
      <c r="AS17" s="7">
        <f>IFERROR(AP17/AQ17,0)</f>
        <v/>
      </c>
      <c r="AT17" s="8">
        <f>IFERROR(IF(AR17&lt;((1/2*AQ17*AS17^2)*2),1/2*AQ17*SQRT((AR17/2)*2/AQ17)^2,1/2*AQ17*AS17^2),0)</f>
        <v/>
      </c>
      <c r="AU17" s="9">
        <f>IFERROR(IF(AR17-AT17-AV17&lt;=0,0,AR17-AT17-AV17),0)</f>
        <v/>
      </c>
      <c r="AV17" s="10">
        <f>AT17</f>
        <v/>
      </c>
      <c r="AW17" s="8">
        <f>IFERROR(IF(AR17&lt;((1/2*AQ17*AS17^2)*2),SQRT((AR17/2)*2/AQ17),AS17),0)</f>
        <v/>
      </c>
      <c r="AX17" s="9">
        <f>IFERROR(AU17/AP17,0)</f>
        <v/>
      </c>
      <c r="AY17" s="10">
        <f>AW17</f>
        <v/>
      </c>
      <c r="AZ17" s="8">
        <f>IF(AO17&gt;0,AO17,SUM(AW17:AY17))</f>
        <v/>
      </c>
      <c r="BA17" s="32" t="n"/>
      <c r="BB17" s="10">
        <f>AZ17*BA17</f>
        <v/>
      </c>
      <c r="BD17" s="14">
        <f>BD16+1</f>
        <v/>
      </c>
      <c r="BE17" s="28" t="n"/>
      <c r="BF17" s="30" t="n"/>
      <c r="BG17" s="9">
        <f>IFERROR(VLOOKUP(BE17,'Master List'!$A:$D,2,0),0)</f>
        <v/>
      </c>
      <c r="BH17" s="9">
        <f>IFERROR(VLOOKUP(BE17,'Master List'!$A:$D,3,0),0)</f>
        <v/>
      </c>
      <c r="BI17" s="9">
        <f>IFERROR(VLOOKUP(BE17,'Master List'!$A:$D,4,0),0)</f>
        <v/>
      </c>
      <c r="BJ17" s="32" t="n"/>
      <c r="BK17" s="7">
        <f>IFERROR(BH17/BI17,0)</f>
        <v/>
      </c>
      <c r="BL17" s="8">
        <f>IFERROR(IF(BJ17&lt;((1/2*BI17*BK17^2)*2),1/2*BI17*SQRT((BJ17/2)*2/BI17)^2,1/2*BI17*BK17^2),0)</f>
        <v/>
      </c>
      <c r="BM17" s="9">
        <f>IFERROR(IF(BJ17-BL17-BN17&lt;=0,0,BJ17-BL17-BN17),0)</f>
        <v/>
      </c>
      <c r="BN17" s="10">
        <f>BL17</f>
        <v/>
      </c>
      <c r="BO17" s="8">
        <f>IFERROR(IF(BJ17&lt;((1/2*BI17*BK17^2)*2),SQRT((BJ17/2)*2/BI17),BK17),0)</f>
        <v/>
      </c>
      <c r="BP17" s="9">
        <f>IFERROR(BM17/BH17,0)</f>
        <v/>
      </c>
      <c r="BQ17" s="10">
        <f>BO17</f>
        <v/>
      </c>
      <c r="BR17" s="8">
        <f>IF(BG17&gt;0,BG17,SUM(BO17:BQ17))</f>
        <v/>
      </c>
      <c r="BS17" s="32" t="n"/>
      <c r="BT17" s="10">
        <f>BR17*BS17</f>
        <v/>
      </c>
    </row>
    <row r="18">
      <c r="B18" s="14">
        <f>B17+1</f>
        <v/>
      </c>
      <c r="C18" s="28" t="n"/>
      <c r="D18" s="28" t="n"/>
      <c r="E18" s="9">
        <f>IFERROR(VLOOKUP(C18,'Master List'!$A:$D,2,0),0)</f>
        <v/>
      </c>
      <c r="F18" s="9">
        <f>IFERROR(VLOOKUP(C18,'Master List'!$A:$D,3,0),0)</f>
        <v/>
      </c>
      <c r="G18" s="9">
        <f>IFERROR(VLOOKUP(C18,'Master List'!$A:$D,4,0),0)</f>
        <v/>
      </c>
      <c r="H18" s="32" t="n"/>
      <c r="I18" s="7">
        <f>IFERROR(F18/G18,0)</f>
        <v/>
      </c>
      <c r="J18" s="8">
        <f>IFERROR(IF(H18&lt;((1/2*G18*I18^2)*2),1/2*G18*SQRT((H18/2)*2/G18)^2,1/2*G18*I18^2),0)</f>
        <v/>
      </c>
      <c r="K18" s="9">
        <f>IFERROR(IF(H18-J18-L18&lt;=0,0,H18-J18-L18),0)</f>
        <v/>
      </c>
      <c r="L18" s="10">
        <f>J18</f>
        <v/>
      </c>
      <c r="M18" s="8">
        <f>IFERROR(IF(H18&lt;((1/2*G18*I18^2)*2),SQRT((H18/2)*2/G18),I18),0)</f>
        <v/>
      </c>
      <c r="N18" s="9">
        <f>IFERROR(K18/F18,0)</f>
        <v/>
      </c>
      <c r="O18" s="10">
        <f>M18</f>
        <v/>
      </c>
      <c r="P18" s="8">
        <f>IF(E18&gt;0,E18,SUM(M18:O18))</f>
        <v/>
      </c>
      <c r="Q18" s="32" t="n"/>
      <c r="R18" s="10">
        <f>P18*Q18</f>
        <v/>
      </c>
      <c r="T18" s="14">
        <f>T17+1</f>
        <v/>
      </c>
      <c r="U18" s="28" t="n"/>
      <c r="V18" s="30" t="n"/>
      <c r="W18" s="9">
        <f>IFERROR(VLOOKUP(U18,'Master List'!$A:$D,2,0),0)</f>
        <v/>
      </c>
      <c r="X18" s="9">
        <f>IFERROR(VLOOKUP(U18,'Master List'!$A:$D,3,0),0)</f>
        <v/>
      </c>
      <c r="Y18" s="9">
        <f>IFERROR(VLOOKUP(U18,'Master List'!$A:$D,4,0),0)</f>
        <v/>
      </c>
      <c r="Z18" s="32" t="n"/>
      <c r="AA18" s="7">
        <f>IFERROR(X18/Y18,0)</f>
        <v/>
      </c>
      <c r="AB18" s="8">
        <f>IFERROR(IF(Z18&lt;((1/2*Y18*AA18^2)*2),1/2*Y18*SQRT((Z18/2)*2/Y18)^2,1/2*Y18*AA18^2),0)</f>
        <v/>
      </c>
      <c r="AC18" s="9">
        <f>IFERROR(IF(Z18-AB18-AD18&lt;=0,0,Z18-AB18-AD18),0)</f>
        <v/>
      </c>
      <c r="AD18" s="10">
        <f>AB18</f>
        <v/>
      </c>
      <c r="AE18" s="8">
        <f>IFERROR(IF(Z18&lt;((1/2*Y18*AA18^2)*2),SQRT((Z18/2)*2/Y18),AA18),0)</f>
        <v/>
      </c>
      <c r="AF18" s="9">
        <f>IFERROR(AC18/X18,0)</f>
        <v/>
      </c>
      <c r="AG18" s="10">
        <f>AE18</f>
        <v/>
      </c>
      <c r="AH18" s="8">
        <f>IF(W18&gt;0,W18,SUM(AE18:AG18))</f>
        <v/>
      </c>
      <c r="AI18" s="32" t="n"/>
      <c r="AJ18" s="10">
        <f>AH18*AI18</f>
        <v/>
      </c>
      <c r="AL18" s="14">
        <f>AL17+1</f>
        <v/>
      </c>
      <c r="AM18" s="28" t="n"/>
      <c r="AN18" s="30" t="n"/>
      <c r="AO18" s="9">
        <f>IFERROR(VLOOKUP(AM18,'Master List'!$A:$D,2,0),0)</f>
        <v/>
      </c>
      <c r="AP18" s="9">
        <f>IFERROR(VLOOKUP(AM18,'Master List'!$A:$D,3,0),0)</f>
        <v/>
      </c>
      <c r="AQ18" s="9">
        <f>IFERROR(VLOOKUP(AM18,'Master List'!$A:$D,4,0),0)</f>
        <v/>
      </c>
      <c r="AR18" s="32" t="n"/>
      <c r="AS18" s="7">
        <f>IFERROR(AP18/AQ18,0)</f>
        <v/>
      </c>
      <c r="AT18" s="8">
        <f>IFERROR(IF(AR18&lt;((1/2*AQ18*AS18^2)*2),1/2*AQ18*SQRT((AR18/2)*2/AQ18)^2,1/2*AQ18*AS18^2),0)</f>
        <v/>
      </c>
      <c r="AU18" s="9">
        <f>IFERROR(IF(AR18-AT18-AV18&lt;=0,0,AR18-AT18-AV18),0)</f>
        <v/>
      </c>
      <c r="AV18" s="10">
        <f>AT18</f>
        <v/>
      </c>
      <c r="AW18" s="8">
        <f>IFERROR(IF(AR18&lt;((1/2*AQ18*AS18^2)*2),SQRT((AR18/2)*2/AQ18),AS18),0)</f>
        <v/>
      </c>
      <c r="AX18" s="9">
        <f>IFERROR(AU18/AP18,0)</f>
        <v/>
      </c>
      <c r="AY18" s="10">
        <f>AW18</f>
        <v/>
      </c>
      <c r="AZ18" s="8">
        <f>IF(AO18&gt;0,AO18,SUM(AW18:AY18))</f>
        <v/>
      </c>
      <c r="BA18" s="32" t="n"/>
      <c r="BB18" s="10">
        <f>AZ18*BA18</f>
        <v/>
      </c>
      <c r="BD18" s="14">
        <f>BD17+1</f>
        <v/>
      </c>
      <c r="BE18" s="28" t="n"/>
      <c r="BF18" s="30" t="n"/>
      <c r="BG18" s="9">
        <f>IFERROR(VLOOKUP(BE18,'Master List'!$A:$D,2,0),0)</f>
        <v/>
      </c>
      <c r="BH18" s="9">
        <f>IFERROR(VLOOKUP(BE18,'Master List'!$A:$D,3,0),0)</f>
        <v/>
      </c>
      <c r="BI18" s="9">
        <f>IFERROR(VLOOKUP(BE18,'Master List'!$A:$D,4,0),0)</f>
        <v/>
      </c>
      <c r="BJ18" s="32" t="n"/>
      <c r="BK18" s="7">
        <f>IFERROR(BH18/BI18,0)</f>
        <v/>
      </c>
      <c r="BL18" s="8">
        <f>IFERROR(IF(BJ18&lt;((1/2*BI18*BK18^2)*2),1/2*BI18*SQRT((BJ18/2)*2/BI18)^2,1/2*BI18*BK18^2),0)</f>
        <v/>
      </c>
      <c r="BM18" s="9">
        <f>IFERROR(IF(BJ18-BL18-BN18&lt;=0,0,BJ18-BL18-BN18),0)</f>
        <v/>
      </c>
      <c r="BN18" s="10">
        <f>BL18</f>
        <v/>
      </c>
      <c r="BO18" s="8">
        <f>IFERROR(IF(BJ18&lt;((1/2*BI18*BK18^2)*2),SQRT((BJ18/2)*2/BI18),BK18),0)</f>
        <v/>
      </c>
      <c r="BP18" s="9">
        <f>IFERROR(BM18/BH18,0)</f>
        <v/>
      </c>
      <c r="BQ18" s="10">
        <f>BO18</f>
        <v/>
      </c>
      <c r="BR18" s="8">
        <f>IF(BG18&gt;0,BG18,SUM(BO18:BQ18))</f>
        <v/>
      </c>
      <c r="BS18" s="32" t="n"/>
      <c r="BT18" s="10">
        <f>BR18*BS18</f>
        <v/>
      </c>
    </row>
    <row r="19">
      <c r="B19" s="14">
        <f>B18+1</f>
        <v/>
      </c>
      <c r="C19" s="28" t="n"/>
      <c r="D19" s="28" t="n"/>
      <c r="E19" s="9">
        <f>IFERROR(VLOOKUP(C19,'Master List'!$A:$D,2,0),0)</f>
        <v/>
      </c>
      <c r="F19" s="9">
        <f>IFERROR(VLOOKUP(C19,'Master List'!$A:$D,3,0),0)</f>
        <v/>
      </c>
      <c r="G19" s="9">
        <f>IFERROR(VLOOKUP(C19,'Master List'!$A:$D,4,0),0)</f>
        <v/>
      </c>
      <c r="H19" s="32" t="n"/>
      <c r="I19" s="7">
        <f>IFERROR(F19/G19,0)</f>
        <v/>
      </c>
      <c r="J19" s="8">
        <f>IFERROR(IF(H19&lt;((1/2*G19*I19^2)*2),1/2*G19*SQRT((H19/2)*2/G19)^2,1/2*G19*I19^2),0)</f>
        <v/>
      </c>
      <c r="K19" s="9">
        <f>IFERROR(IF(H19-J19-L19&lt;=0,0,H19-J19-L19),0)</f>
        <v/>
      </c>
      <c r="L19" s="10">
        <f>J19</f>
        <v/>
      </c>
      <c r="M19" s="8">
        <f>IFERROR(IF(H19&lt;((1/2*G19*I19^2)*2),SQRT((H19/2)*2/G19),I19),0)</f>
        <v/>
      </c>
      <c r="N19" s="9">
        <f>IFERROR(K19/F19,0)</f>
        <v/>
      </c>
      <c r="O19" s="10">
        <f>M19</f>
        <v/>
      </c>
      <c r="P19" s="8">
        <f>IF(E19&gt;0,E19,SUM(M19:O19))</f>
        <v/>
      </c>
      <c r="Q19" s="32" t="n"/>
      <c r="R19" s="10">
        <f>P19*Q19</f>
        <v/>
      </c>
      <c r="T19" s="14">
        <f>T18+1</f>
        <v/>
      </c>
      <c r="U19" s="28" t="n"/>
      <c r="V19" s="30" t="n"/>
      <c r="W19" s="9">
        <f>IFERROR(VLOOKUP(U19,'Master List'!$A:$D,2,0),0)</f>
        <v/>
      </c>
      <c r="X19" s="9">
        <f>IFERROR(VLOOKUP(U19,'Master List'!$A:$D,3,0),0)</f>
        <v/>
      </c>
      <c r="Y19" s="9">
        <f>IFERROR(VLOOKUP(U19,'Master List'!$A:$D,4,0),0)</f>
        <v/>
      </c>
      <c r="Z19" s="32" t="n"/>
      <c r="AA19" s="7">
        <f>IFERROR(X19/Y19,0)</f>
        <v/>
      </c>
      <c r="AB19" s="8">
        <f>IFERROR(IF(Z19&lt;((1/2*Y19*AA19^2)*2),1/2*Y19*SQRT((Z19/2)*2/Y19)^2,1/2*Y19*AA19^2),0)</f>
        <v/>
      </c>
      <c r="AC19" s="9">
        <f>IFERROR(IF(Z19-AB19-AD19&lt;=0,0,Z19-AB19-AD19),0)</f>
        <v/>
      </c>
      <c r="AD19" s="10">
        <f>AB19</f>
        <v/>
      </c>
      <c r="AE19" s="8">
        <f>IFERROR(IF(Z19&lt;((1/2*Y19*AA19^2)*2),SQRT((Z19/2)*2/Y19),AA19),0)</f>
        <v/>
      </c>
      <c r="AF19" s="9">
        <f>IFERROR(AC19/X19,0)</f>
        <v/>
      </c>
      <c r="AG19" s="10">
        <f>AE19</f>
        <v/>
      </c>
      <c r="AH19" s="8">
        <f>IF(W19&gt;0,W19,SUM(AE19:AG19))</f>
        <v/>
      </c>
      <c r="AI19" s="32" t="n"/>
      <c r="AJ19" s="10">
        <f>AH19*AI19</f>
        <v/>
      </c>
      <c r="AL19" s="14">
        <f>AL18+1</f>
        <v/>
      </c>
      <c r="AM19" s="28" t="n"/>
      <c r="AN19" s="30" t="n"/>
      <c r="AO19" s="9">
        <f>IFERROR(VLOOKUP(AM19,'Master List'!$A:$D,2,0),0)</f>
        <v/>
      </c>
      <c r="AP19" s="9">
        <f>IFERROR(VLOOKUP(AM19,'Master List'!$A:$D,3,0),0)</f>
        <v/>
      </c>
      <c r="AQ19" s="9">
        <f>IFERROR(VLOOKUP(AM19,'Master List'!$A:$D,4,0),0)</f>
        <v/>
      </c>
      <c r="AR19" s="32" t="n"/>
      <c r="AS19" s="7">
        <f>IFERROR(AP19/AQ19,0)</f>
        <v/>
      </c>
      <c r="AT19" s="8">
        <f>IFERROR(IF(AR19&lt;((1/2*AQ19*AS19^2)*2),1/2*AQ19*SQRT((AR19/2)*2/AQ19)^2,1/2*AQ19*AS19^2),0)</f>
        <v/>
      </c>
      <c r="AU19" s="9">
        <f>IFERROR(IF(AR19-AT19-AV19&lt;=0,0,AR19-AT19-AV19),0)</f>
        <v/>
      </c>
      <c r="AV19" s="10">
        <f>AT19</f>
        <v/>
      </c>
      <c r="AW19" s="8">
        <f>IFERROR(IF(AR19&lt;((1/2*AQ19*AS19^2)*2),SQRT((AR19/2)*2/AQ19),AS19),0)</f>
        <v/>
      </c>
      <c r="AX19" s="9">
        <f>IFERROR(AU19/AP19,0)</f>
        <v/>
      </c>
      <c r="AY19" s="10">
        <f>AW19</f>
        <v/>
      </c>
      <c r="AZ19" s="8">
        <f>IF(AO19&gt;0,AO19,SUM(AW19:AY19))</f>
        <v/>
      </c>
      <c r="BA19" s="32" t="n"/>
      <c r="BB19" s="10">
        <f>AZ19*BA19</f>
        <v/>
      </c>
      <c r="BD19" s="14">
        <f>BD18+1</f>
        <v/>
      </c>
      <c r="BE19" s="28" t="n"/>
      <c r="BF19" s="30" t="n"/>
      <c r="BG19" s="9">
        <f>IFERROR(VLOOKUP(BE19,'Master List'!$A:$D,2,0),0)</f>
        <v/>
      </c>
      <c r="BH19" s="9">
        <f>IFERROR(VLOOKUP(BE19,'Master List'!$A:$D,3,0),0)</f>
        <v/>
      </c>
      <c r="BI19" s="9">
        <f>IFERROR(VLOOKUP(BE19,'Master List'!$A:$D,4,0),0)</f>
        <v/>
      </c>
      <c r="BJ19" s="32" t="n"/>
      <c r="BK19" s="7">
        <f>IFERROR(BH19/BI19,0)</f>
        <v/>
      </c>
      <c r="BL19" s="8">
        <f>IFERROR(IF(BJ19&lt;((1/2*BI19*BK19^2)*2),1/2*BI19*SQRT((BJ19/2)*2/BI19)^2,1/2*BI19*BK19^2),0)</f>
        <v/>
      </c>
      <c r="BM19" s="9">
        <f>IFERROR(IF(BJ19-BL19-BN19&lt;=0,0,BJ19-BL19-BN19),0)</f>
        <v/>
      </c>
      <c r="BN19" s="10">
        <f>BL19</f>
        <v/>
      </c>
      <c r="BO19" s="8">
        <f>IFERROR(IF(BJ19&lt;((1/2*BI19*BK19^2)*2),SQRT((BJ19/2)*2/BI19),BK19),0)</f>
        <v/>
      </c>
      <c r="BP19" s="9">
        <f>IFERROR(BM19/BH19,0)</f>
        <v/>
      </c>
      <c r="BQ19" s="10">
        <f>BO19</f>
        <v/>
      </c>
      <c r="BR19" s="8">
        <f>IF(BG19&gt;0,BG19,SUM(BO19:BQ19))</f>
        <v/>
      </c>
      <c r="BS19" s="32" t="n"/>
      <c r="BT19" s="10">
        <f>BR19*BS19</f>
        <v/>
      </c>
    </row>
    <row r="20">
      <c r="B20" s="14">
        <f>B19+1</f>
        <v/>
      </c>
      <c r="C20" s="28" t="n"/>
      <c r="D20" s="30" t="n"/>
      <c r="E20" s="9">
        <f>IFERROR(VLOOKUP(C20,'Master List'!$A:$D,2,0),0)</f>
        <v/>
      </c>
      <c r="F20" s="9">
        <f>IFERROR(VLOOKUP(C20,'Master List'!$A:$D,3,0),0)</f>
        <v/>
      </c>
      <c r="G20" s="9">
        <f>IFERROR(VLOOKUP(C20,'Master List'!$A:$D,4,0),0)</f>
        <v/>
      </c>
      <c r="H20" s="32" t="n"/>
      <c r="I20" s="7">
        <f>IFERROR(F20/G20,0)</f>
        <v/>
      </c>
      <c r="J20" s="8">
        <f>IFERROR(IF(H20&lt;((1/2*G20*I20^2)*2),1/2*G20*SQRT((H20/2)*2/G20)^2,1/2*G20*I20^2),0)</f>
        <v/>
      </c>
      <c r="K20" s="9">
        <f>IFERROR(IF(H20-J20-L20&lt;=0,0,H20-J20-L20),0)</f>
        <v/>
      </c>
      <c r="L20" s="10">
        <f>J20</f>
        <v/>
      </c>
      <c r="M20" s="8">
        <f>IFERROR(IF(H20&lt;((1/2*G20*I20^2)*2),SQRT((H20/2)*2/G20),I20),0)</f>
        <v/>
      </c>
      <c r="N20" s="9">
        <f>IFERROR(K20/F20,0)</f>
        <v/>
      </c>
      <c r="O20" s="10">
        <f>M20</f>
        <v/>
      </c>
      <c r="P20" s="8">
        <f>IF(E20&gt;0,E20,SUM(M20:O20))</f>
        <v/>
      </c>
      <c r="Q20" s="32" t="n"/>
      <c r="R20" s="10">
        <f>P20*Q20</f>
        <v/>
      </c>
      <c r="T20" s="14">
        <f>T19+1</f>
        <v/>
      </c>
      <c r="U20" s="28" t="n"/>
      <c r="V20" s="30" t="n"/>
      <c r="W20" s="9">
        <f>IFERROR(VLOOKUP(U20,'Master List'!$A:$D,2,0),0)</f>
        <v/>
      </c>
      <c r="X20" s="9">
        <f>IFERROR(VLOOKUP(U20,'Master List'!$A:$D,3,0),0)</f>
        <v/>
      </c>
      <c r="Y20" s="9">
        <f>IFERROR(VLOOKUP(U20,'Master List'!$A:$D,4,0),0)</f>
        <v/>
      </c>
      <c r="Z20" s="32" t="n"/>
      <c r="AA20" s="7">
        <f>IFERROR(X20/Y20,0)</f>
        <v/>
      </c>
      <c r="AB20" s="8">
        <f>IFERROR(IF(Z20&lt;((1/2*Y20*AA20^2)*2),1/2*Y20*SQRT((Z20/2)*2/Y20)^2,1/2*Y20*AA20^2),0)</f>
        <v/>
      </c>
      <c r="AC20" s="9">
        <f>IFERROR(IF(Z20-AB20-AD20&lt;=0,0,Z20-AB20-AD20),0)</f>
        <v/>
      </c>
      <c r="AD20" s="10">
        <f>AB20</f>
        <v/>
      </c>
      <c r="AE20" s="8">
        <f>IFERROR(IF(Z20&lt;((1/2*Y20*AA20^2)*2),SQRT((Z20/2)*2/Y20),AA20),0)</f>
        <v/>
      </c>
      <c r="AF20" s="9">
        <f>IFERROR(AC20/X20,0)</f>
        <v/>
      </c>
      <c r="AG20" s="10">
        <f>AE20</f>
        <v/>
      </c>
      <c r="AH20" s="8">
        <f>IF(W20&gt;0,W20,SUM(AE20:AG20))</f>
        <v/>
      </c>
      <c r="AI20" s="32" t="n"/>
      <c r="AJ20" s="10">
        <f>AH20*AI20</f>
        <v/>
      </c>
      <c r="AL20" s="14">
        <f>AL19+1</f>
        <v/>
      </c>
      <c r="AM20" s="28" t="n"/>
      <c r="AN20" s="30" t="n"/>
      <c r="AO20" s="9">
        <f>IFERROR(VLOOKUP(AM20,'Master List'!$A:$D,2,0),0)</f>
        <v/>
      </c>
      <c r="AP20" s="9">
        <f>IFERROR(VLOOKUP(AM20,'Master List'!$A:$D,3,0),0)</f>
        <v/>
      </c>
      <c r="AQ20" s="9">
        <f>IFERROR(VLOOKUP(AM20,'Master List'!$A:$D,4,0),0)</f>
        <v/>
      </c>
      <c r="AR20" s="32" t="n"/>
      <c r="AS20" s="7">
        <f>IFERROR(AP20/AQ20,0)</f>
        <v/>
      </c>
      <c r="AT20" s="8">
        <f>IFERROR(IF(AR20&lt;((1/2*AQ20*AS20^2)*2),1/2*AQ20*SQRT((AR20/2)*2/AQ20)^2,1/2*AQ20*AS20^2),0)</f>
        <v/>
      </c>
      <c r="AU20" s="9">
        <f>IFERROR(IF(AR20-AT20-AV20&lt;=0,0,AR20-AT20-AV20),0)</f>
        <v/>
      </c>
      <c r="AV20" s="10">
        <f>AT20</f>
        <v/>
      </c>
      <c r="AW20" s="8">
        <f>IFERROR(IF(AR20&lt;((1/2*AQ20*AS20^2)*2),SQRT((AR20/2)*2/AQ20),AS20),0)</f>
        <v/>
      </c>
      <c r="AX20" s="9">
        <f>IFERROR(AU20/AP20,0)</f>
        <v/>
      </c>
      <c r="AY20" s="10">
        <f>AW20</f>
        <v/>
      </c>
      <c r="AZ20" s="8">
        <f>IF(AO20&gt;0,AO20,SUM(AW20:AY20))</f>
        <v/>
      </c>
      <c r="BA20" s="32" t="n"/>
      <c r="BB20" s="10">
        <f>AZ20*BA20</f>
        <v/>
      </c>
      <c r="BD20" s="14">
        <f>BD19+1</f>
        <v/>
      </c>
      <c r="BE20" s="28" t="n"/>
      <c r="BF20" s="30" t="n"/>
      <c r="BG20" s="9">
        <f>IFERROR(VLOOKUP(BE20,'Master List'!$A:$D,2,0),0)</f>
        <v/>
      </c>
      <c r="BH20" s="9">
        <f>IFERROR(VLOOKUP(BE20,'Master List'!$A:$D,3,0),0)</f>
        <v/>
      </c>
      <c r="BI20" s="9">
        <f>IFERROR(VLOOKUP(BE20,'Master List'!$A:$D,4,0),0)</f>
        <v/>
      </c>
      <c r="BJ20" s="32" t="n"/>
      <c r="BK20" s="7">
        <f>IFERROR(BH20/BI20,0)</f>
        <v/>
      </c>
      <c r="BL20" s="8">
        <f>IFERROR(IF(BJ20&lt;((1/2*BI20*BK20^2)*2),1/2*BI20*SQRT((BJ20/2)*2/BI20)^2,1/2*BI20*BK20^2),0)</f>
        <v/>
      </c>
      <c r="BM20" s="9">
        <f>IFERROR(IF(BJ20-BL20-BN20&lt;=0,0,BJ20-BL20-BN20),0)</f>
        <v/>
      </c>
      <c r="BN20" s="10">
        <f>BL20</f>
        <v/>
      </c>
      <c r="BO20" s="8">
        <f>IFERROR(IF(BJ20&lt;((1/2*BI20*BK20^2)*2),SQRT((BJ20/2)*2/BI20),BK20),0)</f>
        <v/>
      </c>
      <c r="BP20" s="9">
        <f>IFERROR(BM20/BH20,0)</f>
        <v/>
      </c>
      <c r="BQ20" s="10">
        <f>BO20</f>
        <v/>
      </c>
      <c r="BR20" s="8">
        <f>IF(BG20&gt;0,BG20,SUM(BO20:BQ20))</f>
        <v/>
      </c>
      <c r="BS20" s="32" t="n"/>
      <c r="BT20" s="10">
        <f>BR20*BS20</f>
        <v/>
      </c>
    </row>
    <row r="21">
      <c r="B21" s="14">
        <f>B20+1</f>
        <v/>
      </c>
      <c r="C21" s="28" t="n"/>
      <c r="D21" s="30" t="n"/>
      <c r="E21" s="9">
        <f>IFERROR(VLOOKUP(C21,'Master List'!$A:$D,2,0),0)</f>
        <v/>
      </c>
      <c r="F21" s="9">
        <f>IFERROR(VLOOKUP(C21,'Master List'!$A:$D,3,0),0)</f>
        <v/>
      </c>
      <c r="G21" s="9">
        <f>IFERROR(VLOOKUP(C21,'Master List'!$A:$D,4,0),0)</f>
        <v/>
      </c>
      <c r="H21" s="32" t="n"/>
      <c r="I21" s="7">
        <f>IFERROR(F21/G21,0)</f>
        <v/>
      </c>
      <c r="J21" s="8">
        <f>IFERROR(IF(H21&lt;((1/2*G21*I21^2)*2),1/2*G21*SQRT((H21/2)*2/G21)^2,1/2*G21*I21^2),0)</f>
        <v/>
      </c>
      <c r="K21" s="9">
        <f>IFERROR(IF(H21-J21-L21&lt;=0,0,H21-J21-L21),0)</f>
        <v/>
      </c>
      <c r="L21" s="10">
        <f>J21</f>
        <v/>
      </c>
      <c r="M21" s="8">
        <f>IFERROR(IF(H21&lt;((1/2*G21*I21^2)*2),SQRT((H21/2)*2/G21),I21),0)</f>
        <v/>
      </c>
      <c r="N21" s="9">
        <f>IFERROR(K21/F21,0)</f>
        <v/>
      </c>
      <c r="O21" s="10">
        <f>M21</f>
        <v/>
      </c>
      <c r="P21" s="8">
        <f>IF(E21&gt;0,E21,SUM(M21:O21))</f>
        <v/>
      </c>
      <c r="Q21" s="32" t="n"/>
      <c r="R21" s="10">
        <f>P21*Q21</f>
        <v/>
      </c>
      <c r="T21" s="14">
        <f>T20+1</f>
        <v/>
      </c>
      <c r="U21" s="28" t="n"/>
      <c r="V21" s="30" t="n"/>
      <c r="W21" s="9">
        <f>IFERROR(VLOOKUP(U21,'Master List'!$A:$D,2,0),0)</f>
        <v/>
      </c>
      <c r="X21" s="9">
        <f>IFERROR(VLOOKUP(U21,'Master List'!$A:$D,3,0),0)</f>
        <v/>
      </c>
      <c r="Y21" s="9">
        <f>IFERROR(VLOOKUP(U21,'Master List'!$A:$D,4,0),0)</f>
        <v/>
      </c>
      <c r="Z21" s="32" t="n"/>
      <c r="AA21" s="7">
        <f>IFERROR(X21/Y21,0)</f>
        <v/>
      </c>
      <c r="AB21" s="8">
        <f>IFERROR(IF(Z21&lt;((1/2*Y21*AA21^2)*2),1/2*Y21*SQRT((Z21/2)*2/Y21)^2,1/2*Y21*AA21^2),0)</f>
        <v/>
      </c>
      <c r="AC21" s="9">
        <f>IFERROR(IF(Z21-AB21-AD21&lt;=0,0,Z21-AB21-AD21),0)</f>
        <v/>
      </c>
      <c r="AD21" s="10">
        <f>AB21</f>
        <v/>
      </c>
      <c r="AE21" s="8">
        <f>IFERROR(IF(Z21&lt;((1/2*Y21*AA21^2)*2),SQRT((Z21/2)*2/Y21),AA21),0)</f>
        <v/>
      </c>
      <c r="AF21" s="9">
        <f>IFERROR(AC21/X21,0)</f>
        <v/>
      </c>
      <c r="AG21" s="10">
        <f>AE21</f>
        <v/>
      </c>
      <c r="AH21" s="8">
        <f>IF(W21&gt;0,W21,SUM(AE21:AG21))</f>
        <v/>
      </c>
      <c r="AI21" s="32" t="n"/>
      <c r="AJ21" s="10">
        <f>AH21*AI21</f>
        <v/>
      </c>
      <c r="AL21" s="14">
        <f>AL20+1</f>
        <v/>
      </c>
      <c r="AM21" s="28" t="n"/>
      <c r="AN21" s="30" t="n"/>
      <c r="AO21" s="9">
        <f>IFERROR(VLOOKUP(AM21,'Master List'!$A:$D,2,0),0)</f>
        <v/>
      </c>
      <c r="AP21" s="9">
        <f>IFERROR(VLOOKUP(AM21,'Master List'!$A:$D,3,0),0)</f>
        <v/>
      </c>
      <c r="AQ21" s="9">
        <f>IFERROR(VLOOKUP(AM21,'Master List'!$A:$D,4,0),0)</f>
        <v/>
      </c>
      <c r="AR21" s="32" t="n"/>
      <c r="AS21" s="7">
        <f>IFERROR(AP21/AQ21,0)</f>
        <v/>
      </c>
      <c r="AT21" s="8">
        <f>IFERROR(IF(AR21&lt;((1/2*AQ21*AS21^2)*2),1/2*AQ21*SQRT((AR21/2)*2/AQ21)^2,1/2*AQ21*AS21^2),0)</f>
        <v/>
      </c>
      <c r="AU21" s="9">
        <f>IFERROR(IF(AR21-AT21-AV21&lt;=0,0,AR21-AT21-AV21),0)</f>
        <v/>
      </c>
      <c r="AV21" s="10">
        <f>AT21</f>
        <v/>
      </c>
      <c r="AW21" s="8">
        <f>IFERROR(IF(AR21&lt;((1/2*AQ21*AS21^2)*2),SQRT((AR21/2)*2/AQ21),AS21),0)</f>
        <v/>
      </c>
      <c r="AX21" s="9">
        <f>IFERROR(AU21/AP21,0)</f>
        <v/>
      </c>
      <c r="AY21" s="10">
        <f>AW21</f>
        <v/>
      </c>
      <c r="AZ21" s="8">
        <f>IF(AO21&gt;0,AO21,SUM(AW21:AY21))</f>
        <v/>
      </c>
      <c r="BA21" s="32" t="n"/>
      <c r="BB21" s="10">
        <f>AZ21*BA21</f>
        <v/>
      </c>
      <c r="BD21" s="14">
        <f>BD20+1</f>
        <v/>
      </c>
      <c r="BE21" s="28" t="n"/>
      <c r="BF21" s="30" t="n"/>
      <c r="BG21" s="9">
        <f>IFERROR(VLOOKUP(BE21,'Master List'!$A:$D,2,0),0)</f>
        <v/>
      </c>
      <c r="BH21" s="9">
        <f>IFERROR(VLOOKUP(BE21,'Master List'!$A:$D,3,0),0)</f>
        <v/>
      </c>
      <c r="BI21" s="9">
        <f>IFERROR(VLOOKUP(BE21,'Master List'!$A:$D,4,0),0)</f>
        <v/>
      </c>
      <c r="BJ21" s="32" t="n"/>
      <c r="BK21" s="7">
        <f>IFERROR(BH21/BI21,0)</f>
        <v/>
      </c>
      <c r="BL21" s="8">
        <f>IFERROR(IF(BJ21&lt;((1/2*BI21*BK21^2)*2),1/2*BI21*SQRT((BJ21/2)*2/BI21)^2,1/2*BI21*BK21^2),0)</f>
        <v/>
      </c>
      <c r="BM21" s="9">
        <f>IFERROR(IF(BJ21-BL21-BN21&lt;=0,0,BJ21-BL21-BN21),0)</f>
        <v/>
      </c>
      <c r="BN21" s="10">
        <f>BL21</f>
        <v/>
      </c>
      <c r="BO21" s="8">
        <f>IFERROR(IF(BJ21&lt;((1/2*BI21*BK21^2)*2),SQRT((BJ21/2)*2/BI21),BK21),0)</f>
        <v/>
      </c>
      <c r="BP21" s="9">
        <f>IFERROR(BM21/BH21,0)</f>
        <v/>
      </c>
      <c r="BQ21" s="10">
        <f>BO21</f>
        <v/>
      </c>
      <c r="BR21" s="8">
        <f>IF(BG21&gt;0,BG21,SUM(BO21:BQ21))</f>
        <v/>
      </c>
      <c r="BS21" s="32" t="n"/>
      <c r="BT21" s="10">
        <f>BR21*BS21</f>
        <v/>
      </c>
    </row>
    <row r="22">
      <c r="B22" s="14">
        <f>B21+1</f>
        <v/>
      </c>
      <c r="C22" s="28" t="n"/>
      <c r="D22" s="30" t="n"/>
      <c r="E22" s="9">
        <f>IFERROR(VLOOKUP(C22,'Master List'!$A:$D,2,0),0)</f>
        <v/>
      </c>
      <c r="F22" s="9">
        <f>IFERROR(VLOOKUP(C22,'Master List'!$A:$D,3,0),0)</f>
        <v/>
      </c>
      <c r="G22" s="9">
        <f>IFERROR(VLOOKUP(C22,'Master List'!$A:$D,4,0),0)</f>
        <v/>
      </c>
      <c r="H22" s="32" t="n"/>
      <c r="I22" s="7">
        <f>IFERROR(F22/G22,0)</f>
        <v/>
      </c>
      <c r="J22" s="8">
        <f>IFERROR(IF(H22&lt;((1/2*G22*I22^2)*2),1/2*G22*SQRT((H22/2)*2/G22)^2,1/2*G22*I22^2),0)</f>
        <v/>
      </c>
      <c r="K22" s="9">
        <f>IFERROR(IF(H22-J22-L22&lt;=0,0,H22-J22-L22),0)</f>
        <v/>
      </c>
      <c r="L22" s="10">
        <f>J22</f>
        <v/>
      </c>
      <c r="M22" s="8">
        <f>IFERROR(IF(H22&lt;((1/2*G22*I22^2)*2),SQRT((H22/2)*2/G22),I22),0)</f>
        <v/>
      </c>
      <c r="N22" s="9">
        <f>IFERROR(K22/F22,0)</f>
        <v/>
      </c>
      <c r="O22" s="10">
        <f>M22</f>
        <v/>
      </c>
      <c r="P22" s="8">
        <f>IF(E22&gt;0,E22,SUM(M22:O22))</f>
        <v/>
      </c>
      <c r="Q22" s="32" t="n"/>
      <c r="R22" s="10">
        <f>P22*Q22</f>
        <v/>
      </c>
      <c r="T22" s="14">
        <f>T21+1</f>
        <v/>
      </c>
      <c r="U22" s="28" t="n"/>
      <c r="V22" s="30" t="n"/>
      <c r="W22" s="9">
        <f>IFERROR(VLOOKUP(U22,'Master List'!$A:$D,2,0),0)</f>
        <v/>
      </c>
      <c r="X22" s="9">
        <f>IFERROR(VLOOKUP(U22,'Master List'!$A:$D,3,0),0)</f>
        <v/>
      </c>
      <c r="Y22" s="9">
        <f>IFERROR(VLOOKUP(U22,'Master List'!$A:$D,4,0),0)</f>
        <v/>
      </c>
      <c r="Z22" s="32" t="n"/>
      <c r="AA22" s="7">
        <f>IFERROR(X22/Y22,0)</f>
        <v/>
      </c>
      <c r="AB22" s="8">
        <f>IFERROR(IF(Z22&lt;((1/2*Y22*AA22^2)*2),1/2*Y22*SQRT((Z22/2)*2/Y22)^2,1/2*Y22*AA22^2),0)</f>
        <v/>
      </c>
      <c r="AC22" s="9">
        <f>IFERROR(IF(Z22-AB22-AD22&lt;=0,0,Z22-AB22-AD22),0)</f>
        <v/>
      </c>
      <c r="AD22" s="10">
        <f>AB22</f>
        <v/>
      </c>
      <c r="AE22" s="8">
        <f>IFERROR(IF(Z22&lt;((1/2*Y22*AA22^2)*2),SQRT((Z22/2)*2/Y22),AA22),0)</f>
        <v/>
      </c>
      <c r="AF22" s="9">
        <f>IFERROR(AC22/X22,0)</f>
        <v/>
      </c>
      <c r="AG22" s="10">
        <f>AE22</f>
        <v/>
      </c>
      <c r="AH22" s="8">
        <f>IF(W22&gt;0,W22,SUM(AE22:AG22))</f>
        <v/>
      </c>
      <c r="AI22" s="32" t="n"/>
      <c r="AJ22" s="10">
        <f>AH22*AI22</f>
        <v/>
      </c>
      <c r="AL22" s="14">
        <f>AL21+1</f>
        <v/>
      </c>
      <c r="AM22" s="28" t="n"/>
      <c r="AN22" s="30" t="n"/>
      <c r="AO22" s="9">
        <f>IFERROR(VLOOKUP(AM22,'Master List'!$A:$D,2,0),0)</f>
        <v/>
      </c>
      <c r="AP22" s="9">
        <f>IFERROR(VLOOKUP(AM22,'Master List'!$A:$D,3,0),0)</f>
        <v/>
      </c>
      <c r="AQ22" s="9">
        <f>IFERROR(VLOOKUP(AM22,'Master List'!$A:$D,4,0),0)</f>
        <v/>
      </c>
      <c r="AR22" s="32" t="n"/>
      <c r="AS22" s="7">
        <f>IFERROR(AP22/AQ22,0)</f>
        <v/>
      </c>
      <c r="AT22" s="8">
        <f>IFERROR(IF(AR22&lt;((1/2*AQ22*AS22^2)*2),1/2*AQ22*SQRT((AR22/2)*2/AQ22)^2,1/2*AQ22*AS22^2),0)</f>
        <v/>
      </c>
      <c r="AU22" s="9">
        <f>IFERROR(IF(AR22-AT22-AV22&lt;=0,0,AR22-AT22-AV22),0)</f>
        <v/>
      </c>
      <c r="AV22" s="10">
        <f>AT22</f>
        <v/>
      </c>
      <c r="AW22" s="8">
        <f>IFERROR(IF(AR22&lt;((1/2*AQ22*AS22^2)*2),SQRT((AR22/2)*2/AQ22),AS22),0)</f>
        <v/>
      </c>
      <c r="AX22" s="9">
        <f>IFERROR(AU22/AP22,0)</f>
        <v/>
      </c>
      <c r="AY22" s="10">
        <f>AW22</f>
        <v/>
      </c>
      <c r="AZ22" s="8">
        <f>IF(AO22&gt;0,AO22,SUM(AW22:AY22))</f>
        <v/>
      </c>
      <c r="BA22" s="32" t="n"/>
      <c r="BB22" s="10">
        <f>AZ22*BA22</f>
        <v/>
      </c>
      <c r="BD22" s="14">
        <f>BD21+1</f>
        <v/>
      </c>
      <c r="BE22" s="28" t="n"/>
      <c r="BF22" s="30" t="n"/>
      <c r="BG22" s="9">
        <f>IFERROR(VLOOKUP(BE22,'Master List'!$A:$D,2,0),0)</f>
        <v/>
      </c>
      <c r="BH22" s="9">
        <f>IFERROR(VLOOKUP(BE22,'Master List'!$A:$D,3,0),0)</f>
        <v/>
      </c>
      <c r="BI22" s="9">
        <f>IFERROR(VLOOKUP(BE22,'Master List'!$A:$D,4,0),0)</f>
        <v/>
      </c>
      <c r="BJ22" s="32" t="n"/>
      <c r="BK22" s="7">
        <f>IFERROR(BH22/BI22,0)</f>
        <v/>
      </c>
      <c r="BL22" s="8">
        <f>IFERROR(IF(BJ22&lt;((1/2*BI22*BK22^2)*2),1/2*BI22*SQRT((BJ22/2)*2/BI22)^2,1/2*BI22*BK22^2),0)</f>
        <v/>
      </c>
      <c r="BM22" s="9">
        <f>IFERROR(IF(BJ22-BL22-BN22&lt;=0,0,BJ22-BL22-BN22),0)</f>
        <v/>
      </c>
      <c r="BN22" s="10">
        <f>BL22</f>
        <v/>
      </c>
      <c r="BO22" s="8">
        <f>IFERROR(IF(BJ22&lt;((1/2*BI22*BK22^2)*2),SQRT((BJ22/2)*2/BI22),BK22),0)</f>
        <v/>
      </c>
      <c r="BP22" s="9">
        <f>IFERROR(BM22/BH22,0)</f>
        <v/>
      </c>
      <c r="BQ22" s="10">
        <f>BO22</f>
        <v/>
      </c>
      <c r="BR22" s="8">
        <f>IF(BG22&gt;0,BG22,SUM(BO22:BQ22))</f>
        <v/>
      </c>
      <c r="BS22" s="32" t="n"/>
      <c r="BT22" s="10">
        <f>BR22*BS22</f>
        <v/>
      </c>
    </row>
    <row r="23">
      <c r="B23" s="14">
        <f>B22+1</f>
        <v/>
      </c>
      <c r="C23" s="28" t="n"/>
      <c r="D23" s="30" t="n"/>
      <c r="E23" s="9">
        <f>IFERROR(VLOOKUP(C23,'Master List'!$A:$D,2,0),0)</f>
        <v/>
      </c>
      <c r="F23" s="9">
        <f>IFERROR(VLOOKUP(C23,'Master List'!$A:$D,3,0),0)</f>
        <v/>
      </c>
      <c r="G23" s="9">
        <f>IFERROR(VLOOKUP(C23,'Master List'!$A:$D,4,0),0)</f>
        <v/>
      </c>
      <c r="H23" s="32" t="n"/>
      <c r="I23" s="7">
        <f>IFERROR(F23/G23,0)</f>
        <v/>
      </c>
      <c r="J23" s="8">
        <f>IFERROR(IF(H23&lt;((1/2*G23*I23^2)*2),1/2*G23*SQRT((H23/2)*2/G23)^2,1/2*G23*I23^2),0)</f>
        <v/>
      </c>
      <c r="K23" s="9">
        <f>IFERROR(IF(H23-J23-L23&lt;=0,0,H23-J23-L23),0)</f>
        <v/>
      </c>
      <c r="L23" s="10">
        <f>J23</f>
        <v/>
      </c>
      <c r="M23" s="8">
        <f>IFERROR(IF(H23&lt;((1/2*G23*I23^2)*2),SQRT((H23/2)*2/G23),I23),0)</f>
        <v/>
      </c>
      <c r="N23" s="9">
        <f>IFERROR(K23/F23,0)</f>
        <v/>
      </c>
      <c r="O23" s="10">
        <f>M23</f>
        <v/>
      </c>
      <c r="P23" s="8">
        <f>IF(E23&gt;0,E23,SUM(M23:O23))</f>
        <v/>
      </c>
      <c r="Q23" s="32" t="n"/>
      <c r="R23" s="10">
        <f>P23*Q23</f>
        <v/>
      </c>
      <c r="T23" s="14">
        <f>T22+1</f>
        <v/>
      </c>
      <c r="U23" s="28" t="n"/>
      <c r="V23" s="30" t="n"/>
      <c r="W23" s="9">
        <f>IFERROR(VLOOKUP(U23,'Master List'!$A:$D,2,0),0)</f>
        <v/>
      </c>
      <c r="X23" s="9">
        <f>IFERROR(VLOOKUP(U23,'Master List'!$A:$D,3,0),0)</f>
        <v/>
      </c>
      <c r="Y23" s="9">
        <f>IFERROR(VLOOKUP(U23,'Master List'!$A:$D,4,0),0)</f>
        <v/>
      </c>
      <c r="Z23" s="32" t="n"/>
      <c r="AA23" s="7">
        <f>IFERROR(X23/Y23,0)</f>
        <v/>
      </c>
      <c r="AB23" s="8">
        <f>IFERROR(IF(Z23&lt;((1/2*Y23*AA23^2)*2),1/2*Y23*SQRT((Z23/2)*2/Y23)^2,1/2*Y23*AA23^2),0)</f>
        <v/>
      </c>
      <c r="AC23" s="9">
        <f>IFERROR(IF(Z23-AB23-AD23&lt;=0,0,Z23-AB23-AD23),0)</f>
        <v/>
      </c>
      <c r="AD23" s="10">
        <f>AB23</f>
        <v/>
      </c>
      <c r="AE23" s="8">
        <f>IFERROR(IF(Z23&lt;((1/2*Y23*AA23^2)*2),SQRT((Z23/2)*2/Y23),AA23),0)</f>
        <v/>
      </c>
      <c r="AF23" s="9">
        <f>IFERROR(AC23/X23,0)</f>
        <v/>
      </c>
      <c r="AG23" s="10">
        <f>AE23</f>
        <v/>
      </c>
      <c r="AH23" s="8">
        <f>IF(W23&gt;0,W23,SUM(AE23:AG23))</f>
        <v/>
      </c>
      <c r="AI23" s="32" t="n"/>
      <c r="AJ23" s="10">
        <f>AH23*AI23</f>
        <v/>
      </c>
      <c r="AL23" s="14">
        <f>AL22+1</f>
        <v/>
      </c>
      <c r="AM23" s="28" t="n"/>
      <c r="AN23" s="30" t="n"/>
      <c r="AO23" s="9">
        <f>IFERROR(VLOOKUP(AM23,'Master List'!$A:$D,2,0),0)</f>
        <v/>
      </c>
      <c r="AP23" s="9">
        <f>IFERROR(VLOOKUP(AM23,'Master List'!$A:$D,3,0),0)</f>
        <v/>
      </c>
      <c r="AQ23" s="9">
        <f>IFERROR(VLOOKUP(AM23,'Master List'!$A:$D,4,0),0)</f>
        <v/>
      </c>
      <c r="AR23" s="32" t="n"/>
      <c r="AS23" s="7">
        <f>IFERROR(AP23/AQ23,0)</f>
        <v/>
      </c>
      <c r="AT23" s="8">
        <f>IFERROR(IF(AR23&lt;((1/2*AQ23*AS23^2)*2),1/2*AQ23*SQRT((AR23/2)*2/AQ23)^2,1/2*AQ23*AS23^2),0)</f>
        <v/>
      </c>
      <c r="AU23" s="9">
        <f>IFERROR(IF(AR23-AT23-AV23&lt;=0,0,AR23-AT23-AV23),0)</f>
        <v/>
      </c>
      <c r="AV23" s="10">
        <f>AT23</f>
        <v/>
      </c>
      <c r="AW23" s="8">
        <f>IFERROR(IF(AR23&lt;((1/2*AQ23*AS23^2)*2),SQRT((AR23/2)*2/AQ23),AS23),0)</f>
        <v/>
      </c>
      <c r="AX23" s="9">
        <f>IFERROR(AU23/AP23,0)</f>
        <v/>
      </c>
      <c r="AY23" s="10">
        <f>AW23</f>
        <v/>
      </c>
      <c r="AZ23" s="8">
        <f>IF(AO23&gt;0,AO23,SUM(AW23:AY23))</f>
        <v/>
      </c>
      <c r="BA23" s="32" t="n"/>
      <c r="BB23" s="10">
        <f>AZ23*BA23</f>
        <v/>
      </c>
      <c r="BD23" s="14">
        <f>BD22+1</f>
        <v/>
      </c>
      <c r="BE23" s="28" t="n"/>
      <c r="BF23" s="30" t="n"/>
      <c r="BG23" s="9">
        <f>IFERROR(VLOOKUP(BE23,'Master List'!$A:$D,2,0),0)</f>
        <v/>
      </c>
      <c r="BH23" s="9">
        <f>IFERROR(VLOOKUP(BE23,'Master List'!$A:$D,3,0),0)</f>
        <v/>
      </c>
      <c r="BI23" s="9">
        <f>IFERROR(VLOOKUP(BE23,'Master List'!$A:$D,4,0),0)</f>
        <v/>
      </c>
      <c r="BJ23" s="32" t="n"/>
      <c r="BK23" s="7">
        <f>IFERROR(BH23/BI23,0)</f>
        <v/>
      </c>
      <c r="BL23" s="8">
        <f>IFERROR(IF(BJ23&lt;((1/2*BI23*BK23^2)*2),1/2*BI23*SQRT((BJ23/2)*2/BI23)^2,1/2*BI23*BK23^2),0)</f>
        <v/>
      </c>
      <c r="BM23" s="9">
        <f>IFERROR(IF(BJ23-BL23-BN23&lt;=0,0,BJ23-BL23-BN23),0)</f>
        <v/>
      </c>
      <c r="BN23" s="10">
        <f>BL23</f>
        <v/>
      </c>
      <c r="BO23" s="8">
        <f>IFERROR(IF(BJ23&lt;((1/2*BI23*BK23^2)*2),SQRT((BJ23/2)*2/BI23),BK23),0)</f>
        <v/>
      </c>
      <c r="BP23" s="9">
        <f>IFERROR(BM23/BH23,0)</f>
        <v/>
      </c>
      <c r="BQ23" s="10">
        <f>BO23</f>
        <v/>
      </c>
      <c r="BR23" s="8">
        <f>IF(BG23&gt;0,BG23,SUM(BO23:BQ23))</f>
        <v/>
      </c>
      <c r="BS23" s="32" t="n"/>
      <c r="BT23" s="10">
        <f>BR23*BS23</f>
        <v/>
      </c>
    </row>
    <row r="24">
      <c r="B24" s="14">
        <f>B23+1</f>
        <v/>
      </c>
      <c r="C24" s="28" t="n"/>
      <c r="D24" s="30" t="n"/>
      <c r="E24" s="9">
        <f>IFERROR(VLOOKUP(C24,'Master List'!$A:$D,2,0),0)</f>
        <v/>
      </c>
      <c r="F24" s="9">
        <f>IFERROR(VLOOKUP(C24,'Master List'!$A:$D,3,0),0)</f>
        <v/>
      </c>
      <c r="G24" s="9">
        <f>IFERROR(VLOOKUP(C24,'Master List'!$A:$D,4,0),0)</f>
        <v/>
      </c>
      <c r="H24" s="32" t="n"/>
      <c r="I24" s="7">
        <f>IFERROR(F24/G24,0)</f>
        <v/>
      </c>
      <c r="J24" s="8">
        <f>IFERROR(IF(H24&lt;((1/2*G24*I24^2)*2),1/2*G24*SQRT((H24/2)*2/G24)^2,1/2*G24*I24^2),0)</f>
        <v/>
      </c>
      <c r="K24" s="9">
        <f>IFERROR(IF(H24-J24-L24&lt;=0,0,H24-J24-L24),0)</f>
        <v/>
      </c>
      <c r="L24" s="10">
        <f>J24</f>
        <v/>
      </c>
      <c r="M24" s="8">
        <f>IFERROR(IF(H24&lt;((1/2*G24*I24^2)*2),SQRT((H24/2)*2/G24),I24),0)</f>
        <v/>
      </c>
      <c r="N24" s="9">
        <f>IFERROR(K24/F24,0)</f>
        <v/>
      </c>
      <c r="O24" s="10">
        <f>M24</f>
        <v/>
      </c>
      <c r="P24" s="8">
        <f>IF(E24&gt;0,E24,SUM(M24:O24))</f>
        <v/>
      </c>
      <c r="Q24" s="32" t="n"/>
      <c r="R24" s="10">
        <f>P24*Q24</f>
        <v/>
      </c>
      <c r="T24" s="14">
        <f>T23+1</f>
        <v/>
      </c>
      <c r="U24" s="28" t="n"/>
      <c r="V24" s="30" t="n"/>
      <c r="W24" s="9">
        <f>IFERROR(VLOOKUP(U24,'Master List'!$A:$D,2,0),0)</f>
        <v/>
      </c>
      <c r="X24" s="9">
        <f>IFERROR(VLOOKUP(U24,'Master List'!$A:$D,3,0),0)</f>
        <v/>
      </c>
      <c r="Y24" s="9">
        <f>IFERROR(VLOOKUP(U24,'Master List'!$A:$D,4,0),0)</f>
        <v/>
      </c>
      <c r="Z24" s="32" t="n"/>
      <c r="AA24" s="7">
        <f>IFERROR(X24/Y24,0)</f>
        <v/>
      </c>
      <c r="AB24" s="8">
        <f>IFERROR(IF(Z24&lt;((1/2*Y24*AA24^2)*2),1/2*Y24*SQRT((Z24/2)*2/Y24)^2,1/2*Y24*AA24^2),0)</f>
        <v/>
      </c>
      <c r="AC24" s="9">
        <f>IFERROR(IF(Z24-AB24-AD24&lt;=0,0,Z24-AB24-AD24),0)</f>
        <v/>
      </c>
      <c r="AD24" s="10">
        <f>AB24</f>
        <v/>
      </c>
      <c r="AE24" s="8">
        <f>IFERROR(IF(Z24&lt;((1/2*Y24*AA24^2)*2),SQRT((Z24/2)*2/Y24),AA24),0)</f>
        <v/>
      </c>
      <c r="AF24" s="9">
        <f>IFERROR(AC24/X24,0)</f>
        <v/>
      </c>
      <c r="AG24" s="10">
        <f>AE24</f>
        <v/>
      </c>
      <c r="AH24" s="8">
        <f>IF(W24&gt;0,W24,SUM(AE24:AG24))</f>
        <v/>
      </c>
      <c r="AI24" s="32" t="n"/>
      <c r="AJ24" s="10">
        <f>AH24*AI24</f>
        <v/>
      </c>
      <c r="AL24" s="14">
        <f>AL23+1</f>
        <v/>
      </c>
      <c r="AM24" s="28" t="n"/>
      <c r="AN24" s="30" t="n"/>
      <c r="AO24" s="9">
        <f>IFERROR(VLOOKUP(AM24,'Master List'!$A:$D,2,0),0)</f>
        <v/>
      </c>
      <c r="AP24" s="9">
        <f>IFERROR(VLOOKUP(AM24,'Master List'!$A:$D,3,0),0)</f>
        <v/>
      </c>
      <c r="AQ24" s="9">
        <f>IFERROR(VLOOKUP(AM24,'Master List'!$A:$D,4,0),0)</f>
        <v/>
      </c>
      <c r="AR24" s="32" t="n"/>
      <c r="AS24" s="7">
        <f>IFERROR(AP24/AQ24,0)</f>
        <v/>
      </c>
      <c r="AT24" s="8">
        <f>IFERROR(IF(AR24&lt;((1/2*AQ24*AS24^2)*2),1/2*AQ24*SQRT((AR24/2)*2/AQ24)^2,1/2*AQ24*AS24^2),0)</f>
        <v/>
      </c>
      <c r="AU24" s="9">
        <f>IFERROR(IF(AR24-AT24-AV24&lt;=0,0,AR24-AT24-AV24),0)</f>
        <v/>
      </c>
      <c r="AV24" s="10">
        <f>AT24</f>
        <v/>
      </c>
      <c r="AW24" s="8">
        <f>IFERROR(IF(AR24&lt;((1/2*AQ24*AS24^2)*2),SQRT((AR24/2)*2/AQ24),AS24),0)</f>
        <v/>
      </c>
      <c r="AX24" s="9">
        <f>IFERROR(AU24/AP24,0)</f>
        <v/>
      </c>
      <c r="AY24" s="10">
        <f>AW24</f>
        <v/>
      </c>
      <c r="AZ24" s="8">
        <f>IF(AO24&gt;0,AO24,SUM(AW24:AY24))</f>
        <v/>
      </c>
      <c r="BA24" s="32" t="n"/>
      <c r="BB24" s="10">
        <f>AZ24*BA24</f>
        <v/>
      </c>
      <c r="BD24" s="14">
        <f>BD23+1</f>
        <v/>
      </c>
      <c r="BE24" s="28" t="n"/>
      <c r="BF24" s="30" t="n"/>
      <c r="BG24" s="9">
        <f>IFERROR(VLOOKUP(BE24,'Master List'!$A:$D,2,0),0)</f>
        <v/>
      </c>
      <c r="BH24" s="9">
        <f>IFERROR(VLOOKUP(BE24,'Master List'!$A:$D,3,0),0)</f>
        <v/>
      </c>
      <c r="BI24" s="9">
        <f>IFERROR(VLOOKUP(BE24,'Master List'!$A:$D,4,0),0)</f>
        <v/>
      </c>
      <c r="BJ24" s="32" t="n"/>
      <c r="BK24" s="7">
        <f>IFERROR(BH24/BI24,0)</f>
        <v/>
      </c>
      <c r="BL24" s="8">
        <f>IFERROR(IF(BJ24&lt;((1/2*BI24*BK24^2)*2),1/2*BI24*SQRT((BJ24/2)*2/BI24)^2,1/2*BI24*BK24^2),0)</f>
        <v/>
      </c>
      <c r="BM24" s="9">
        <f>IFERROR(IF(BJ24-BL24-BN24&lt;=0,0,BJ24-BL24-BN24),0)</f>
        <v/>
      </c>
      <c r="BN24" s="10">
        <f>BL24</f>
        <v/>
      </c>
      <c r="BO24" s="8">
        <f>IFERROR(IF(BJ24&lt;((1/2*BI24*BK24^2)*2),SQRT((BJ24/2)*2/BI24),BK24),0)</f>
        <v/>
      </c>
      <c r="BP24" s="9">
        <f>IFERROR(BM24/BH24,0)</f>
        <v/>
      </c>
      <c r="BQ24" s="10">
        <f>BO24</f>
        <v/>
      </c>
      <c r="BR24" s="8">
        <f>IF(BG24&gt;0,BG24,SUM(BO24:BQ24))</f>
        <v/>
      </c>
      <c r="BS24" s="32" t="n"/>
      <c r="BT24" s="10">
        <f>BR24*BS24</f>
        <v/>
      </c>
    </row>
    <row r="25">
      <c r="B25" s="14">
        <f>B24+1</f>
        <v/>
      </c>
      <c r="C25" s="28" t="n"/>
      <c r="D25" s="30" t="n"/>
      <c r="E25" s="9">
        <f>IFERROR(VLOOKUP(C25,'Master List'!$A:$D,2,0),0)</f>
        <v/>
      </c>
      <c r="F25" s="9">
        <f>IFERROR(VLOOKUP(C25,'Master List'!$A:$D,3,0),0)</f>
        <v/>
      </c>
      <c r="G25" s="9">
        <f>IFERROR(VLOOKUP(C25,'Master List'!$A:$D,4,0),0)</f>
        <v/>
      </c>
      <c r="H25" s="32" t="n"/>
      <c r="I25" s="7">
        <f>IFERROR(F25/G25,0)</f>
        <v/>
      </c>
      <c r="J25" s="8">
        <f>IFERROR(IF(H25&lt;((1/2*G25*I25^2)*2),1/2*G25*SQRT((H25/2)*2/G25)^2,1/2*G25*I25^2),0)</f>
        <v/>
      </c>
      <c r="K25" s="9">
        <f>IFERROR(IF(H25-J25-L25&lt;=0,0,H25-J25-L25),0)</f>
        <v/>
      </c>
      <c r="L25" s="10">
        <f>J25</f>
        <v/>
      </c>
      <c r="M25" s="8">
        <f>IFERROR(IF(H25&lt;((1/2*G25*I25^2)*2),SQRT((H25/2)*2/G25),I25),0)</f>
        <v/>
      </c>
      <c r="N25" s="9">
        <f>IFERROR(K25/F25,0)</f>
        <v/>
      </c>
      <c r="O25" s="10">
        <f>M25</f>
        <v/>
      </c>
      <c r="P25" s="8">
        <f>IF(E25&gt;0,E25,SUM(M25:O25))</f>
        <v/>
      </c>
      <c r="Q25" s="32" t="n"/>
      <c r="R25" s="10">
        <f>P25*Q25</f>
        <v/>
      </c>
      <c r="T25" s="14">
        <f>T24+1</f>
        <v/>
      </c>
      <c r="U25" s="28" t="n"/>
      <c r="V25" s="30" t="n"/>
      <c r="W25" s="9">
        <f>IFERROR(VLOOKUP(U25,'Master List'!$A:$D,2,0),0)</f>
        <v/>
      </c>
      <c r="X25" s="9">
        <f>IFERROR(VLOOKUP(U25,'Master List'!$A:$D,3,0),0)</f>
        <v/>
      </c>
      <c r="Y25" s="9">
        <f>IFERROR(VLOOKUP(U25,'Master List'!$A:$D,4,0),0)</f>
        <v/>
      </c>
      <c r="Z25" s="32" t="n"/>
      <c r="AA25" s="7">
        <f>IFERROR(X25/Y25,0)</f>
        <v/>
      </c>
      <c r="AB25" s="8">
        <f>IFERROR(IF(Z25&lt;((1/2*Y25*AA25^2)*2),1/2*Y25*SQRT((Z25/2)*2/Y25)^2,1/2*Y25*AA25^2),0)</f>
        <v/>
      </c>
      <c r="AC25" s="9">
        <f>IFERROR(IF(Z25-AB25-AD25&lt;=0,0,Z25-AB25-AD25),0)</f>
        <v/>
      </c>
      <c r="AD25" s="10">
        <f>AB25</f>
        <v/>
      </c>
      <c r="AE25" s="8">
        <f>IFERROR(IF(Z25&lt;((1/2*Y25*AA25^2)*2),SQRT((Z25/2)*2/Y25),AA25),0)</f>
        <v/>
      </c>
      <c r="AF25" s="9">
        <f>IFERROR(AC25/X25,0)</f>
        <v/>
      </c>
      <c r="AG25" s="10">
        <f>AE25</f>
        <v/>
      </c>
      <c r="AH25" s="8">
        <f>IF(W25&gt;0,W25,SUM(AE25:AG25))</f>
        <v/>
      </c>
      <c r="AI25" s="32" t="n"/>
      <c r="AJ25" s="10">
        <f>AH25*AI25</f>
        <v/>
      </c>
      <c r="AL25" s="14">
        <f>AL24+1</f>
        <v/>
      </c>
      <c r="AM25" s="28" t="n"/>
      <c r="AN25" s="30" t="n"/>
      <c r="AO25" s="9">
        <f>IFERROR(VLOOKUP(AM25,'Master List'!$A:$D,2,0),0)</f>
        <v/>
      </c>
      <c r="AP25" s="9">
        <f>IFERROR(VLOOKUP(AM25,'Master List'!$A:$D,3,0),0)</f>
        <v/>
      </c>
      <c r="AQ25" s="9">
        <f>IFERROR(VLOOKUP(AM25,'Master List'!$A:$D,4,0),0)</f>
        <v/>
      </c>
      <c r="AR25" s="32" t="n"/>
      <c r="AS25" s="7">
        <f>IFERROR(AP25/AQ25,0)</f>
        <v/>
      </c>
      <c r="AT25" s="8">
        <f>IFERROR(IF(AR25&lt;((1/2*AQ25*AS25^2)*2),1/2*AQ25*SQRT((AR25/2)*2/AQ25)^2,1/2*AQ25*AS25^2),0)</f>
        <v/>
      </c>
      <c r="AU25" s="9">
        <f>IFERROR(IF(AR25-AT25-AV25&lt;=0,0,AR25-AT25-AV25),0)</f>
        <v/>
      </c>
      <c r="AV25" s="10">
        <f>AT25</f>
        <v/>
      </c>
      <c r="AW25" s="8">
        <f>IFERROR(IF(AR25&lt;((1/2*AQ25*AS25^2)*2),SQRT((AR25/2)*2/AQ25),AS25),0)</f>
        <v/>
      </c>
      <c r="AX25" s="9">
        <f>IFERROR(AU25/AP25,0)</f>
        <v/>
      </c>
      <c r="AY25" s="10">
        <f>AW25</f>
        <v/>
      </c>
      <c r="AZ25" s="8">
        <f>IF(AO25&gt;0,AO25,SUM(AW25:AY25))</f>
        <v/>
      </c>
      <c r="BA25" s="32" t="n"/>
      <c r="BB25" s="10">
        <f>AZ25*BA25</f>
        <v/>
      </c>
      <c r="BD25" s="14">
        <f>BD24+1</f>
        <v/>
      </c>
      <c r="BE25" s="28" t="n"/>
      <c r="BF25" s="30" t="n"/>
      <c r="BG25" s="9">
        <f>IFERROR(VLOOKUP(BE25,'Master List'!$A:$D,2,0),0)</f>
        <v/>
      </c>
      <c r="BH25" s="9">
        <f>IFERROR(VLOOKUP(BE25,'Master List'!$A:$D,3,0),0)</f>
        <v/>
      </c>
      <c r="BI25" s="9">
        <f>IFERROR(VLOOKUP(BE25,'Master List'!$A:$D,4,0),0)</f>
        <v/>
      </c>
      <c r="BJ25" s="32" t="n"/>
      <c r="BK25" s="7">
        <f>IFERROR(BH25/BI25,0)</f>
        <v/>
      </c>
      <c r="BL25" s="8">
        <f>IFERROR(IF(BJ25&lt;((1/2*BI25*BK25^2)*2),1/2*BI25*SQRT((BJ25/2)*2/BI25)^2,1/2*BI25*BK25^2),0)</f>
        <v/>
      </c>
      <c r="BM25" s="9">
        <f>IFERROR(IF(BJ25-BL25-BN25&lt;=0,0,BJ25-BL25-BN25),0)</f>
        <v/>
      </c>
      <c r="BN25" s="10">
        <f>BL25</f>
        <v/>
      </c>
      <c r="BO25" s="8">
        <f>IFERROR(IF(BJ25&lt;((1/2*BI25*BK25^2)*2),SQRT((BJ25/2)*2/BI25),BK25),0)</f>
        <v/>
      </c>
      <c r="BP25" s="9">
        <f>IFERROR(BM25/BH25,0)</f>
        <v/>
      </c>
      <c r="BQ25" s="10">
        <f>BO25</f>
        <v/>
      </c>
      <c r="BR25" s="8">
        <f>IF(BG25&gt;0,BG25,SUM(BO25:BQ25))</f>
        <v/>
      </c>
      <c r="BS25" s="32" t="n"/>
      <c r="BT25" s="10">
        <f>BR25*BS25</f>
        <v/>
      </c>
    </row>
    <row r="26">
      <c r="B26" s="14">
        <f>B25+1</f>
        <v/>
      </c>
      <c r="C26" s="28" t="n"/>
      <c r="D26" s="30" t="n"/>
      <c r="E26" s="9">
        <f>IFERROR(VLOOKUP(C26,'Master List'!$A:$D,2,0),0)</f>
        <v/>
      </c>
      <c r="F26" s="9">
        <f>IFERROR(VLOOKUP(C26,'Master List'!$A:$D,3,0),0)</f>
        <v/>
      </c>
      <c r="G26" s="9">
        <f>IFERROR(VLOOKUP(C26,'Master List'!$A:$D,4,0),0)</f>
        <v/>
      </c>
      <c r="H26" s="32" t="n"/>
      <c r="I26" s="7">
        <f>IFERROR(F26/G26,0)</f>
        <v/>
      </c>
      <c r="J26" s="8">
        <f>IFERROR(IF(H26&lt;((1/2*G26*I26^2)*2),1/2*G26*SQRT((H26/2)*2/G26)^2,1/2*G26*I26^2),0)</f>
        <v/>
      </c>
      <c r="K26" s="9">
        <f>IFERROR(IF(H26-J26-L26&lt;=0,0,H26-J26-L26),0)</f>
        <v/>
      </c>
      <c r="L26" s="10">
        <f>J26</f>
        <v/>
      </c>
      <c r="M26" s="8">
        <f>IFERROR(IF(H26&lt;((1/2*G26*I26^2)*2),SQRT((H26/2)*2/G26),I26),0)</f>
        <v/>
      </c>
      <c r="N26" s="9">
        <f>IFERROR(K26/F26,0)</f>
        <v/>
      </c>
      <c r="O26" s="10">
        <f>M26</f>
        <v/>
      </c>
      <c r="P26" s="8">
        <f>IF(E26&gt;0,E26,SUM(M26:O26))</f>
        <v/>
      </c>
      <c r="Q26" s="32" t="n"/>
      <c r="R26" s="10">
        <f>P26*Q26</f>
        <v/>
      </c>
      <c r="T26" s="14">
        <f>T25+1</f>
        <v/>
      </c>
      <c r="U26" s="28" t="n"/>
      <c r="V26" s="30" t="n"/>
      <c r="W26" s="9">
        <f>IFERROR(VLOOKUP(U26,'Master List'!$A:$D,2,0),0)</f>
        <v/>
      </c>
      <c r="X26" s="9">
        <f>IFERROR(VLOOKUP(U26,'Master List'!$A:$D,3,0),0)</f>
        <v/>
      </c>
      <c r="Y26" s="9">
        <f>IFERROR(VLOOKUP(U26,'Master List'!$A:$D,4,0),0)</f>
        <v/>
      </c>
      <c r="Z26" s="32" t="n"/>
      <c r="AA26" s="7">
        <f>IFERROR(X26/Y26,0)</f>
        <v/>
      </c>
      <c r="AB26" s="8">
        <f>IFERROR(IF(Z26&lt;((1/2*Y26*AA26^2)*2),1/2*Y26*SQRT((Z26/2)*2/Y26)^2,1/2*Y26*AA26^2),0)</f>
        <v/>
      </c>
      <c r="AC26" s="9">
        <f>IFERROR(IF(Z26-AB26-AD26&lt;=0,0,Z26-AB26-AD26),0)</f>
        <v/>
      </c>
      <c r="AD26" s="10">
        <f>AB26</f>
        <v/>
      </c>
      <c r="AE26" s="8">
        <f>IFERROR(IF(Z26&lt;((1/2*Y26*AA26^2)*2),SQRT((Z26/2)*2/Y26),AA26),0)</f>
        <v/>
      </c>
      <c r="AF26" s="9">
        <f>IFERROR(AC26/X26,0)</f>
        <v/>
      </c>
      <c r="AG26" s="10">
        <f>AE26</f>
        <v/>
      </c>
      <c r="AH26" s="8">
        <f>IF(W26&gt;0,W26,SUM(AE26:AG26))</f>
        <v/>
      </c>
      <c r="AI26" s="32" t="n"/>
      <c r="AJ26" s="10">
        <f>AH26*AI26</f>
        <v/>
      </c>
      <c r="AL26" s="14">
        <f>AL25+1</f>
        <v/>
      </c>
      <c r="AM26" s="28" t="n"/>
      <c r="AN26" s="30" t="n"/>
      <c r="AO26" s="9">
        <f>IFERROR(VLOOKUP(AM26,'Master List'!$A:$D,2,0),0)</f>
        <v/>
      </c>
      <c r="AP26" s="9">
        <f>IFERROR(VLOOKUP(AM26,'Master List'!$A:$D,3,0),0)</f>
        <v/>
      </c>
      <c r="AQ26" s="9">
        <f>IFERROR(VLOOKUP(AM26,'Master List'!$A:$D,4,0),0)</f>
        <v/>
      </c>
      <c r="AR26" s="32" t="n"/>
      <c r="AS26" s="7">
        <f>IFERROR(AP26/AQ26,0)</f>
        <v/>
      </c>
      <c r="AT26" s="8">
        <f>IFERROR(IF(AR26&lt;((1/2*AQ26*AS26^2)*2),1/2*AQ26*SQRT((AR26/2)*2/AQ26)^2,1/2*AQ26*AS26^2),0)</f>
        <v/>
      </c>
      <c r="AU26" s="9">
        <f>IFERROR(IF(AR26-AT26-AV26&lt;=0,0,AR26-AT26-AV26),0)</f>
        <v/>
      </c>
      <c r="AV26" s="10">
        <f>AT26</f>
        <v/>
      </c>
      <c r="AW26" s="8">
        <f>IFERROR(IF(AR26&lt;((1/2*AQ26*AS26^2)*2),SQRT((AR26/2)*2/AQ26),AS26),0)</f>
        <v/>
      </c>
      <c r="AX26" s="9">
        <f>IFERROR(AU26/AP26,0)</f>
        <v/>
      </c>
      <c r="AY26" s="10">
        <f>AW26</f>
        <v/>
      </c>
      <c r="AZ26" s="8">
        <f>IF(AO26&gt;0,AO26,SUM(AW26:AY26))</f>
        <v/>
      </c>
      <c r="BA26" s="32" t="n"/>
      <c r="BB26" s="10">
        <f>AZ26*BA26</f>
        <v/>
      </c>
      <c r="BD26" s="14">
        <f>BD25+1</f>
        <v/>
      </c>
      <c r="BE26" s="28" t="n"/>
      <c r="BF26" s="30" t="n"/>
      <c r="BG26" s="9">
        <f>IFERROR(VLOOKUP(BE26,'Master List'!$A:$D,2,0),0)</f>
        <v/>
      </c>
      <c r="BH26" s="9">
        <f>IFERROR(VLOOKUP(BE26,'Master List'!$A:$D,3,0),0)</f>
        <v/>
      </c>
      <c r="BI26" s="9">
        <f>IFERROR(VLOOKUP(BE26,'Master List'!$A:$D,4,0),0)</f>
        <v/>
      </c>
      <c r="BJ26" s="32" t="n"/>
      <c r="BK26" s="7">
        <f>IFERROR(BH26/BI26,0)</f>
        <v/>
      </c>
      <c r="BL26" s="8">
        <f>IFERROR(IF(BJ26&lt;((1/2*BI26*BK26^2)*2),1/2*BI26*SQRT((BJ26/2)*2/BI26)^2,1/2*BI26*BK26^2),0)</f>
        <v/>
      </c>
      <c r="BM26" s="9">
        <f>IFERROR(IF(BJ26-BL26-BN26&lt;=0,0,BJ26-BL26-BN26),0)</f>
        <v/>
      </c>
      <c r="BN26" s="10">
        <f>BL26</f>
        <v/>
      </c>
      <c r="BO26" s="8">
        <f>IFERROR(IF(BJ26&lt;((1/2*BI26*BK26^2)*2),SQRT((BJ26/2)*2/BI26),BK26),0)</f>
        <v/>
      </c>
      <c r="BP26" s="9">
        <f>IFERROR(BM26/BH26,0)</f>
        <v/>
      </c>
      <c r="BQ26" s="10">
        <f>BO26</f>
        <v/>
      </c>
      <c r="BR26" s="8">
        <f>IF(BG26&gt;0,BG26,SUM(BO26:BQ26))</f>
        <v/>
      </c>
      <c r="BS26" s="32" t="n"/>
      <c r="BT26" s="10">
        <f>BR26*BS26</f>
        <v/>
      </c>
    </row>
    <row r="27">
      <c r="B27" s="14">
        <f>B26+1</f>
        <v/>
      </c>
      <c r="C27" s="28" t="n"/>
      <c r="D27" s="30" t="n"/>
      <c r="E27" s="9">
        <f>IFERROR(VLOOKUP(C27,'Master List'!$A:$D,2,0),0)</f>
        <v/>
      </c>
      <c r="F27" s="9">
        <f>IFERROR(VLOOKUP(C27,'Master List'!$A:$D,3,0),0)</f>
        <v/>
      </c>
      <c r="G27" s="9">
        <f>IFERROR(VLOOKUP(C27,'Master List'!$A:$D,4,0),0)</f>
        <v/>
      </c>
      <c r="H27" s="32" t="n"/>
      <c r="I27" s="7">
        <f>IFERROR(F27/G27,0)</f>
        <v/>
      </c>
      <c r="J27" s="8">
        <f>IFERROR(IF(H27&lt;((1/2*G27*I27^2)*2),1/2*G27*SQRT((H27/2)*2/G27)^2,1/2*G27*I27^2),0)</f>
        <v/>
      </c>
      <c r="K27" s="9">
        <f>IFERROR(IF(H27-J27-L27&lt;=0,0,H27-J27-L27),0)</f>
        <v/>
      </c>
      <c r="L27" s="10">
        <f>J27</f>
        <v/>
      </c>
      <c r="M27" s="8">
        <f>IFERROR(IF(H27&lt;((1/2*G27*I27^2)*2),SQRT((H27/2)*2/G27),I27),0)</f>
        <v/>
      </c>
      <c r="N27" s="9">
        <f>IFERROR(K27/F27,0)</f>
        <v/>
      </c>
      <c r="O27" s="10">
        <f>M27</f>
        <v/>
      </c>
      <c r="P27" s="8">
        <f>IF(E27&gt;0,E27,SUM(M27:O27))</f>
        <v/>
      </c>
      <c r="Q27" s="32" t="n"/>
      <c r="R27" s="10">
        <f>P27*Q27</f>
        <v/>
      </c>
      <c r="T27" s="14">
        <f>T26+1</f>
        <v/>
      </c>
      <c r="U27" s="28" t="n"/>
      <c r="V27" s="30" t="n"/>
      <c r="W27" s="9">
        <f>IFERROR(VLOOKUP(U27,'Master List'!$A:$D,2,0),0)</f>
        <v/>
      </c>
      <c r="X27" s="9">
        <f>IFERROR(VLOOKUP(U27,'Master List'!$A:$D,3,0),0)</f>
        <v/>
      </c>
      <c r="Y27" s="9">
        <f>IFERROR(VLOOKUP(U27,'Master List'!$A:$D,4,0),0)</f>
        <v/>
      </c>
      <c r="Z27" s="32" t="n"/>
      <c r="AA27" s="7">
        <f>IFERROR(X27/Y27,0)</f>
        <v/>
      </c>
      <c r="AB27" s="8">
        <f>IFERROR(IF(Z27&lt;((1/2*Y27*AA27^2)*2),1/2*Y27*SQRT((Z27/2)*2/Y27)^2,1/2*Y27*AA27^2),0)</f>
        <v/>
      </c>
      <c r="AC27" s="9">
        <f>IFERROR(IF(Z27-AB27-AD27&lt;=0,0,Z27-AB27-AD27),0)</f>
        <v/>
      </c>
      <c r="AD27" s="10">
        <f>AB27</f>
        <v/>
      </c>
      <c r="AE27" s="8">
        <f>IFERROR(IF(Z27&lt;((1/2*Y27*AA27^2)*2),SQRT((Z27/2)*2/Y27),AA27),0)</f>
        <v/>
      </c>
      <c r="AF27" s="9">
        <f>IFERROR(AC27/X27,0)</f>
        <v/>
      </c>
      <c r="AG27" s="10">
        <f>AE27</f>
        <v/>
      </c>
      <c r="AH27" s="8">
        <f>IF(W27&gt;0,W27,SUM(AE27:AG27))</f>
        <v/>
      </c>
      <c r="AI27" s="32" t="n"/>
      <c r="AJ27" s="10">
        <f>AH27*AI27</f>
        <v/>
      </c>
      <c r="AL27" s="14">
        <f>AL26+1</f>
        <v/>
      </c>
      <c r="AM27" s="28" t="n"/>
      <c r="AN27" s="30" t="n"/>
      <c r="AO27" s="9">
        <f>IFERROR(VLOOKUP(AM27,'Master List'!$A:$D,2,0),0)</f>
        <v/>
      </c>
      <c r="AP27" s="9">
        <f>IFERROR(VLOOKUP(AM27,'Master List'!$A:$D,3,0),0)</f>
        <v/>
      </c>
      <c r="AQ27" s="9">
        <f>IFERROR(VLOOKUP(AM27,'Master List'!$A:$D,4,0),0)</f>
        <v/>
      </c>
      <c r="AR27" s="32" t="n"/>
      <c r="AS27" s="7">
        <f>IFERROR(AP27/AQ27,0)</f>
        <v/>
      </c>
      <c r="AT27" s="8">
        <f>IFERROR(IF(AR27&lt;((1/2*AQ27*AS27^2)*2),1/2*AQ27*SQRT((AR27/2)*2/AQ27)^2,1/2*AQ27*AS27^2),0)</f>
        <v/>
      </c>
      <c r="AU27" s="9">
        <f>IFERROR(IF(AR27-AT27-AV27&lt;=0,0,AR27-AT27-AV27),0)</f>
        <v/>
      </c>
      <c r="AV27" s="10">
        <f>AT27</f>
        <v/>
      </c>
      <c r="AW27" s="8">
        <f>IFERROR(IF(AR27&lt;((1/2*AQ27*AS27^2)*2),SQRT((AR27/2)*2/AQ27),AS27),0)</f>
        <v/>
      </c>
      <c r="AX27" s="9">
        <f>IFERROR(AU27/AP27,0)</f>
        <v/>
      </c>
      <c r="AY27" s="10">
        <f>AW27</f>
        <v/>
      </c>
      <c r="AZ27" s="8">
        <f>IF(AO27&gt;0,AO27,SUM(AW27:AY27))</f>
        <v/>
      </c>
      <c r="BA27" s="32" t="n"/>
      <c r="BB27" s="10">
        <f>AZ27*BA27</f>
        <v/>
      </c>
      <c r="BD27" s="14">
        <f>BD26+1</f>
        <v/>
      </c>
      <c r="BE27" s="28" t="n"/>
      <c r="BF27" s="30" t="n"/>
      <c r="BG27" s="9">
        <f>IFERROR(VLOOKUP(BE27,'Master List'!$A:$D,2,0),0)</f>
        <v/>
      </c>
      <c r="BH27" s="9">
        <f>IFERROR(VLOOKUP(BE27,'Master List'!$A:$D,3,0),0)</f>
        <v/>
      </c>
      <c r="BI27" s="9">
        <f>IFERROR(VLOOKUP(BE27,'Master List'!$A:$D,4,0),0)</f>
        <v/>
      </c>
      <c r="BJ27" s="32" t="n"/>
      <c r="BK27" s="7">
        <f>IFERROR(BH27/BI27,0)</f>
        <v/>
      </c>
      <c r="BL27" s="8">
        <f>IFERROR(IF(BJ27&lt;((1/2*BI27*BK27^2)*2),1/2*BI27*SQRT((BJ27/2)*2/BI27)^2,1/2*BI27*BK27^2),0)</f>
        <v/>
      </c>
      <c r="BM27" s="9">
        <f>IFERROR(IF(BJ27-BL27-BN27&lt;=0,0,BJ27-BL27-BN27),0)</f>
        <v/>
      </c>
      <c r="BN27" s="10">
        <f>BL27</f>
        <v/>
      </c>
      <c r="BO27" s="8">
        <f>IFERROR(IF(BJ27&lt;((1/2*BI27*BK27^2)*2),SQRT((BJ27/2)*2/BI27),BK27),0)</f>
        <v/>
      </c>
      <c r="BP27" s="9">
        <f>IFERROR(BM27/BH27,0)</f>
        <v/>
      </c>
      <c r="BQ27" s="10">
        <f>BO27</f>
        <v/>
      </c>
      <c r="BR27" s="8">
        <f>IF(BG27&gt;0,BG27,SUM(BO27:BQ27))</f>
        <v/>
      </c>
      <c r="BS27" s="32" t="n"/>
      <c r="BT27" s="10">
        <f>BR27*BS27</f>
        <v/>
      </c>
    </row>
    <row r="28">
      <c r="B28" s="14">
        <f>B27+1</f>
        <v/>
      </c>
      <c r="C28" s="28" t="n"/>
      <c r="D28" s="30" t="n"/>
      <c r="E28" s="9">
        <f>IFERROR(VLOOKUP(C28,'Master List'!$A:$D,2,0),0)</f>
        <v/>
      </c>
      <c r="F28" s="9">
        <f>IFERROR(VLOOKUP(C28,'Master List'!$A:$D,3,0),0)</f>
        <v/>
      </c>
      <c r="G28" s="9">
        <f>IFERROR(VLOOKUP(C28,'Master List'!$A:$D,4,0),0)</f>
        <v/>
      </c>
      <c r="H28" s="32" t="n"/>
      <c r="I28" s="7">
        <f>IFERROR(F28/G28,0)</f>
        <v/>
      </c>
      <c r="J28" s="8">
        <f>IFERROR(IF(H28&lt;((1/2*G28*I28^2)*2),1/2*G28*SQRT((H28/2)*2/G28)^2,1/2*G28*I28^2),0)</f>
        <v/>
      </c>
      <c r="K28" s="9">
        <f>IFERROR(IF(H28-J28-L28&lt;=0,0,H28-J28-L28),0)</f>
        <v/>
      </c>
      <c r="L28" s="10">
        <f>J28</f>
        <v/>
      </c>
      <c r="M28" s="8">
        <f>IFERROR(IF(H28&lt;((1/2*G28*I28^2)*2),SQRT((H28/2)*2/G28),I28),0)</f>
        <v/>
      </c>
      <c r="N28" s="9">
        <f>IFERROR(K28/F28,0)</f>
        <v/>
      </c>
      <c r="O28" s="10">
        <f>M28</f>
        <v/>
      </c>
      <c r="P28" s="8">
        <f>IF(E28&gt;0,E28,SUM(M28:O28))</f>
        <v/>
      </c>
      <c r="Q28" s="32" t="n"/>
      <c r="R28" s="10">
        <f>P28*Q28</f>
        <v/>
      </c>
      <c r="T28" s="14">
        <f>T27+1</f>
        <v/>
      </c>
      <c r="U28" s="28" t="n"/>
      <c r="V28" s="30" t="n"/>
      <c r="W28" s="9">
        <f>IFERROR(VLOOKUP(U28,'Master List'!$A:$D,2,0),0)</f>
        <v/>
      </c>
      <c r="X28" s="9">
        <f>IFERROR(VLOOKUP(U28,'Master List'!$A:$D,3,0),0)</f>
        <v/>
      </c>
      <c r="Y28" s="9">
        <f>IFERROR(VLOOKUP(U28,'Master List'!$A:$D,4,0),0)</f>
        <v/>
      </c>
      <c r="Z28" s="32" t="n"/>
      <c r="AA28" s="7">
        <f>IFERROR(X28/Y28,0)</f>
        <v/>
      </c>
      <c r="AB28" s="8">
        <f>IFERROR(IF(Z28&lt;((1/2*Y28*AA28^2)*2),1/2*Y28*SQRT((Z28/2)*2/Y28)^2,1/2*Y28*AA28^2),0)</f>
        <v/>
      </c>
      <c r="AC28" s="9">
        <f>IFERROR(IF(Z28-AB28-AD28&lt;=0,0,Z28-AB28-AD28),0)</f>
        <v/>
      </c>
      <c r="AD28" s="10">
        <f>AB28</f>
        <v/>
      </c>
      <c r="AE28" s="8">
        <f>IFERROR(IF(Z28&lt;((1/2*Y28*AA28^2)*2),SQRT((Z28/2)*2/Y28),AA28),0)</f>
        <v/>
      </c>
      <c r="AF28" s="9">
        <f>IFERROR(AC28/X28,0)</f>
        <v/>
      </c>
      <c r="AG28" s="10">
        <f>AE28</f>
        <v/>
      </c>
      <c r="AH28" s="8">
        <f>IF(W28&gt;0,W28,SUM(AE28:AG28))</f>
        <v/>
      </c>
      <c r="AI28" s="32" t="n"/>
      <c r="AJ28" s="10">
        <f>AH28*AI28</f>
        <v/>
      </c>
      <c r="AL28" s="14">
        <f>AL27+1</f>
        <v/>
      </c>
      <c r="AM28" s="28" t="n"/>
      <c r="AN28" s="30" t="n"/>
      <c r="AO28" s="9">
        <f>IFERROR(VLOOKUP(AM28,'Master List'!$A:$D,2,0),0)</f>
        <v/>
      </c>
      <c r="AP28" s="9">
        <f>IFERROR(VLOOKUP(AM28,'Master List'!$A:$D,3,0),0)</f>
        <v/>
      </c>
      <c r="AQ28" s="9">
        <f>IFERROR(VLOOKUP(AM28,'Master List'!$A:$D,4,0),0)</f>
        <v/>
      </c>
      <c r="AR28" s="32" t="n"/>
      <c r="AS28" s="7">
        <f>IFERROR(AP28/AQ28,0)</f>
        <v/>
      </c>
      <c r="AT28" s="8">
        <f>IFERROR(IF(AR28&lt;((1/2*AQ28*AS28^2)*2),1/2*AQ28*SQRT((AR28/2)*2/AQ28)^2,1/2*AQ28*AS28^2),0)</f>
        <v/>
      </c>
      <c r="AU28" s="9">
        <f>IFERROR(IF(AR28-AT28-AV28&lt;=0,0,AR28-AT28-AV28),0)</f>
        <v/>
      </c>
      <c r="AV28" s="10">
        <f>AT28</f>
        <v/>
      </c>
      <c r="AW28" s="8">
        <f>IFERROR(IF(AR28&lt;((1/2*AQ28*AS28^2)*2),SQRT((AR28/2)*2/AQ28),AS28),0)</f>
        <v/>
      </c>
      <c r="AX28" s="9">
        <f>IFERROR(AU28/AP28,0)</f>
        <v/>
      </c>
      <c r="AY28" s="10">
        <f>AW28</f>
        <v/>
      </c>
      <c r="AZ28" s="8">
        <f>IF(AO28&gt;0,AO28,SUM(AW28:AY28))</f>
        <v/>
      </c>
      <c r="BA28" s="32" t="n"/>
      <c r="BB28" s="10">
        <f>AZ28*BA28</f>
        <v/>
      </c>
      <c r="BD28" s="14">
        <f>BD27+1</f>
        <v/>
      </c>
      <c r="BE28" s="28" t="n"/>
      <c r="BF28" s="30" t="n"/>
      <c r="BG28" s="9">
        <f>IFERROR(VLOOKUP(BE28,'Master List'!$A:$D,2,0),0)</f>
        <v/>
      </c>
      <c r="BH28" s="9">
        <f>IFERROR(VLOOKUP(BE28,'Master List'!$A:$D,3,0),0)</f>
        <v/>
      </c>
      <c r="BI28" s="9">
        <f>IFERROR(VLOOKUP(BE28,'Master List'!$A:$D,4,0),0)</f>
        <v/>
      </c>
      <c r="BJ28" s="32" t="n"/>
      <c r="BK28" s="7">
        <f>IFERROR(BH28/BI28,0)</f>
        <v/>
      </c>
      <c r="BL28" s="8">
        <f>IFERROR(IF(BJ28&lt;((1/2*BI28*BK28^2)*2),1/2*BI28*SQRT((BJ28/2)*2/BI28)^2,1/2*BI28*BK28^2),0)</f>
        <v/>
      </c>
      <c r="BM28" s="9">
        <f>IFERROR(IF(BJ28-BL28-BN28&lt;=0,0,BJ28-BL28-BN28),0)</f>
        <v/>
      </c>
      <c r="BN28" s="10">
        <f>BL28</f>
        <v/>
      </c>
      <c r="BO28" s="8">
        <f>IFERROR(IF(BJ28&lt;((1/2*BI28*BK28^2)*2),SQRT((BJ28/2)*2/BI28),BK28),0)</f>
        <v/>
      </c>
      <c r="BP28" s="9">
        <f>IFERROR(BM28/BH28,0)</f>
        <v/>
      </c>
      <c r="BQ28" s="10">
        <f>BO28</f>
        <v/>
      </c>
      <c r="BR28" s="8">
        <f>IF(BG28&gt;0,BG28,SUM(BO28:BQ28))</f>
        <v/>
      </c>
      <c r="BS28" s="32" t="n"/>
      <c r="BT28" s="10">
        <f>BR28*BS28</f>
        <v/>
      </c>
    </row>
    <row r="29">
      <c r="B29" s="14">
        <f>B28+1</f>
        <v/>
      </c>
      <c r="C29" s="28" t="n"/>
      <c r="D29" s="30" t="n"/>
      <c r="E29" s="9">
        <f>IFERROR(VLOOKUP(C29,'Master List'!$A:$D,2,0),0)</f>
        <v/>
      </c>
      <c r="F29" s="9">
        <f>IFERROR(VLOOKUP(C29,'Master List'!$A:$D,3,0),0)</f>
        <v/>
      </c>
      <c r="G29" s="9">
        <f>IFERROR(VLOOKUP(C29,'Master List'!$A:$D,4,0),0)</f>
        <v/>
      </c>
      <c r="H29" s="32" t="n"/>
      <c r="I29" s="7">
        <f>IFERROR(F29/G29,0)</f>
        <v/>
      </c>
      <c r="J29" s="8">
        <f>IFERROR(IF(H29&lt;((1/2*G29*I29^2)*2),1/2*G29*SQRT((H29/2)*2/G29)^2,1/2*G29*I29^2),0)</f>
        <v/>
      </c>
      <c r="K29" s="9">
        <f>IFERROR(IF(H29-J29-L29&lt;=0,0,H29-J29-L29),0)</f>
        <v/>
      </c>
      <c r="L29" s="10">
        <f>J29</f>
        <v/>
      </c>
      <c r="M29" s="8">
        <f>IFERROR(IF(H29&lt;((1/2*G29*I29^2)*2),SQRT((H29/2)*2/G29),I29),0)</f>
        <v/>
      </c>
      <c r="N29" s="9">
        <f>IFERROR(K29/F29,0)</f>
        <v/>
      </c>
      <c r="O29" s="10">
        <f>M29</f>
        <v/>
      </c>
      <c r="P29" s="8">
        <f>IF(E29&gt;0,E29,SUM(M29:O29))</f>
        <v/>
      </c>
      <c r="Q29" s="32" t="n"/>
      <c r="R29" s="10">
        <f>P29*Q29</f>
        <v/>
      </c>
      <c r="T29" s="14">
        <f>T28+1</f>
        <v/>
      </c>
      <c r="U29" s="28" t="n"/>
      <c r="V29" s="30" t="n"/>
      <c r="W29" s="9">
        <f>IFERROR(VLOOKUP(U29,'Master List'!$A:$D,2,0),0)</f>
        <v/>
      </c>
      <c r="X29" s="9">
        <f>IFERROR(VLOOKUP(U29,'Master List'!$A:$D,3,0),0)</f>
        <v/>
      </c>
      <c r="Y29" s="9">
        <f>IFERROR(VLOOKUP(U29,'Master List'!$A:$D,4,0),0)</f>
        <v/>
      </c>
      <c r="Z29" s="32" t="n"/>
      <c r="AA29" s="7">
        <f>IFERROR(X29/Y29,0)</f>
        <v/>
      </c>
      <c r="AB29" s="8">
        <f>IFERROR(IF(Z29&lt;((1/2*Y29*AA29^2)*2),1/2*Y29*SQRT((Z29/2)*2/Y29)^2,1/2*Y29*AA29^2),0)</f>
        <v/>
      </c>
      <c r="AC29" s="9">
        <f>IFERROR(IF(Z29-AB29-AD29&lt;=0,0,Z29-AB29-AD29),0)</f>
        <v/>
      </c>
      <c r="AD29" s="10">
        <f>AB29</f>
        <v/>
      </c>
      <c r="AE29" s="8">
        <f>IFERROR(IF(Z29&lt;((1/2*Y29*AA29^2)*2),SQRT((Z29/2)*2/Y29),AA29),0)</f>
        <v/>
      </c>
      <c r="AF29" s="9">
        <f>IFERROR(AC29/X29,0)</f>
        <v/>
      </c>
      <c r="AG29" s="10">
        <f>AE29</f>
        <v/>
      </c>
      <c r="AH29" s="8">
        <f>IF(W29&gt;0,W29,SUM(AE29:AG29))</f>
        <v/>
      </c>
      <c r="AI29" s="32" t="n"/>
      <c r="AJ29" s="10">
        <f>AH29*AI29</f>
        <v/>
      </c>
      <c r="AL29" s="14">
        <f>AL28+1</f>
        <v/>
      </c>
      <c r="AM29" s="28" t="n"/>
      <c r="AN29" s="30" t="n"/>
      <c r="AO29" s="9">
        <f>IFERROR(VLOOKUP(AM29,'Master List'!$A:$D,2,0),0)</f>
        <v/>
      </c>
      <c r="AP29" s="9">
        <f>IFERROR(VLOOKUP(AM29,'Master List'!$A:$D,3,0),0)</f>
        <v/>
      </c>
      <c r="AQ29" s="9">
        <f>IFERROR(VLOOKUP(AM29,'Master List'!$A:$D,4,0),0)</f>
        <v/>
      </c>
      <c r="AR29" s="32" t="n"/>
      <c r="AS29" s="7">
        <f>IFERROR(AP29/AQ29,0)</f>
        <v/>
      </c>
      <c r="AT29" s="8">
        <f>IFERROR(IF(AR29&lt;((1/2*AQ29*AS29^2)*2),1/2*AQ29*SQRT((AR29/2)*2/AQ29)^2,1/2*AQ29*AS29^2),0)</f>
        <v/>
      </c>
      <c r="AU29" s="9">
        <f>IFERROR(IF(AR29-AT29-AV29&lt;=0,0,AR29-AT29-AV29),0)</f>
        <v/>
      </c>
      <c r="AV29" s="10">
        <f>AT29</f>
        <v/>
      </c>
      <c r="AW29" s="8">
        <f>IFERROR(IF(AR29&lt;((1/2*AQ29*AS29^2)*2),SQRT((AR29/2)*2/AQ29),AS29),0)</f>
        <v/>
      </c>
      <c r="AX29" s="9">
        <f>IFERROR(AU29/AP29,0)</f>
        <v/>
      </c>
      <c r="AY29" s="10">
        <f>AW29</f>
        <v/>
      </c>
      <c r="AZ29" s="8">
        <f>IF(AO29&gt;0,AO29,SUM(AW29:AY29))</f>
        <v/>
      </c>
      <c r="BA29" s="32" t="n"/>
      <c r="BB29" s="10">
        <f>AZ29*BA29</f>
        <v/>
      </c>
      <c r="BD29" s="14">
        <f>BD28+1</f>
        <v/>
      </c>
      <c r="BE29" s="28" t="n"/>
      <c r="BF29" s="30" t="n"/>
      <c r="BG29" s="9">
        <f>IFERROR(VLOOKUP(BE29,'Master List'!$A:$D,2,0),0)</f>
        <v/>
      </c>
      <c r="BH29" s="9">
        <f>IFERROR(VLOOKUP(BE29,'Master List'!$A:$D,3,0),0)</f>
        <v/>
      </c>
      <c r="BI29" s="9">
        <f>IFERROR(VLOOKUP(BE29,'Master List'!$A:$D,4,0),0)</f>
        <v/>
      </c>
      <c r="BJ29" s="32" t="n"/>
      <c r="BK29" s="7">
        <f>IFERROR(BH29/BI29,0)</f>
        <v/>
      </c>
      <c r="BL29" s="8">
        <f>IFERROR(IF(BJ29&lt;((1/2*BI29*BK29^2)*2),1/2*BI29*SQRT((BJ29/2)*2/BI29)^2,1/2*BI29*BK29^2),0)</f>
        <v/>
      </c>
      <c r="BM29" s="9">
        <f>IFERROR(IF(BJ29-BL29-BN29&lt;=0,0,BJ29-BL29-BN29),0)</f>
        <v/>
      </c>
      <c r="BN29" s="10">
        <f>BL29</f>
        <v/>
      </c>
      <c r="BO29" s="8">
        <f>IFERROR(IF(BJ29&lt;((1/2*BI29*BK29^2)*2),SQRT((BJ29/2)*2/BI29),BK29),0)</f>
        <v/>
      </c>
      <c r="BP29" s="9">
        <f>IFERROR(BM29/BH29,0)</f>
        <v/>
      </c>
      <c r="BQ29" s="10">
        <f>BO29</f>
        <v/>
      </c>
      <c r="BR29" s="8">
        <f>IF(BG29&gt;0,BG29,SUM(BO29:BQ29))</f>
        <v/>
      </c>
      <c r="BS29" s="32" t="n"/>
      <c r="BT29" s="10">
        <f>BR29*BS29</f>
        <v/>
      </c>
    </row>
    <row r="30">
      <c r="B30" s="15" t="n"/>
      <c r="T30" s="14" t="n"/>
      <c r="BJ30" s="32" t="n"/>
    </row>
    <row r="45">
      <c r="B45" s="31" t="n"/>
    </row>
  </sheetData>
  <mergeCells count="24">
    <mergeCell ref="BE4:BS4"/>
    <mergeCell ref="T3:AJ3"/>
    <mergeCell ref="BD4:BD8"/>
    <mergeCell ref="B3:R3"/>
    <mergeCell ref="AM5:BA5"/>
    <mergeCell ref="AL4:AL8"/>
    <mergeCell ref="U7:AI7"/>
    <mergeCell ref="BD3:BT3"/>
    <mergeCell ref="B4:B8"/>
    <mergeCell ref="AM4:BA4"/>
    <mergeCell ref="C7:Q7"/>
    <mergeCell ref="AM7:BA7"/>
    <mergeCell ref="BE7:BS7"/>
    <mergeCell ref="AM6:BA6"/>
    <mergeCell ref="AL3:BB3"/>
    <mergeCell ref="U5:AI5"/>
    <mergeCell ref="U4:AI4"/>
    <mergeCell ref="T4:T8"/>
    <mergeCell ref="C6:Q6"/>
    <mergeCell ref="U6:AI6"/>
    <mergeCell ref="BE6:BS6"/>
    <mergeCell ref="C5:Q5"/>
    <mergeCell ref="BE5:BS5"/>
    <mergeCell ref="C4:Q4"/>
  </mergeCells>
  <pageMargins left="0.7" right="0.7" top="0.75" bottom="0.75" header="0.3" footer="0.3"/>
  <pageSetup orientation="portrait"/>
  <drawing r:id="rId1"/>
</worksheet>
</file>

<file path=xl/worksheets/sheet31.xml><?xml version="1.0" encoding="utf-8"?>
<worksheet xmlns:r="http://schemas.openxmlformats.org/officeDocument/2006/relationships" xmlns="http://schemas.openxmlformats.org/spreadsheetml/2006/main">
  <sheetPr codeName="Sheet30">
    <tabColor rgb="FF0070C0"/>
    <outlinePr summaryBelow="1" summaryRight="1"/>
    <pageSetUpPr/>
  </sheetPr>
  <dimension ref="A1:CE62"/>
  <sheetViews>
    <sheetView showGridLines="0" zoomScale="70" zoomScaleNormal="70" workbookViewId="0">
      <selection activeCell="F32" sqref="F32"/>
    </sheetView>
  </sheetViews>
  <sheetFormatPr baseColWidth="10" defaultColWidth="8.6640625" defaultRowHeight="15"/>
  <cols>
    <col width="59.5" bestFit="1" customWidth="1" style="1" min="1" max="1"/>
    <col width="24.5" customWidth="1" style="1" min="2" max="2"/>
    <col width="46.33203125" bestFit="1" customWidth="1" style="1" min="3" max="3"/>
    <col width="17.1640625" customWidth="1" style="1" min="4" max="6"/>
    <col width="17.1640625" customWidth="1" style="516" min="7" max="7"/>
    <col width="8.5" customWidth="1" style="1" min="8" max="8"/>
    <col width="31.33203125" bestFit="1" customWidth="1" style="31" min="9" max="9"/>
    <col width="63.33203125" bestFit="1" customWidth="1" style="31" min="10" max="10"/>
    <col width="11.5" customWidth="1" style="1" min="11" max="11"/>
    <col width="6.5" customWidth="1" style="1" min="12" max="12"/>
    <col width="11.6640625" customWidth="1" style="1" min="13" max="13"/>
    <col width="9.33203125" customWidth="1" style="31" min="14" max="14"/>
    <col hidden="1" width="10.6640625" customWidth="1" style="1" min="15" max="15"/>
    <col hidden="1" width="12.5" customWidth="1" style="1" min="16" max="16"/>
    <col hidden="1" width="9.5" customWidth="1" style="1" min="17" max="17"/>
    <col hidden="1" width="11.6640625" customWidth="1" style="1" min="18" max="18"/>
    <col hidden="1" width="11.5" customWidth="1" style="1" min="19" max="19"/>
    <col hidden="1" width="8.6640625" customWidth="1" style="1" min="20" max="20"/>
    <col hidden="1" width="11.33203125" customWidth="1" style="1" min="21" max="21"/>
    <col width="8.6640625" customWidth="1" style="1" min="22" max="22"/>
    <col width="9.33203125" bestFit="1" customWidth="1" style="31" min="23" max="23"/>
    <col width="14.33203125" bestFit="1" customWidth="1" style="1" min="24" max="24"/>
    <col width="8.6640625" customWidth="1" style="1" min="25" max="26"/>
    <col width="24.6640625" bestFit="1" customWidth="1" style="31" min="27" max="27"/>
    <col width="27.6640625" customWidth="1" style="31" min="28" max="28"/>
    <col width="8.6640625" customWidth="1" style="1" min="29" max="31"/>
    <col width="8.6640625" customWidth="1" style="31" min="32" max="32"/>
    <col hidden="1" width="13" customWidth="1" style="1" min="33" max="39"/>
    <col width="8.6640625" customWidth="1" style="1" min="40" max="40"/>
    <col width="8.6640625" customWidth="1" style="31" min="41" max="41"/>
    <col width="8.6640625" customWidth="1" style="1" min="42" max="44"/>
    <col width="24.6640625" bestFit="1" customWidth="1" style="31" min="45" max="45"/>
    <col width="32.6640625" customWidth="1" style="31" min="46" max="46"/>
    <col width="8.6640625" customWidth="1" style="1" min="47" max="49"/>
    <col width="8.6640625" customWidth="1" style="31" min="50" max="50"/>
    <col hidden="1" width="13" customWidth="1" style="1" min="51" max="57"/>
    <col width="8.6640625" customWidth="1" style="1" min="58" max="58"/>
    <col width="8.6640625" customWidth="1" style="31" min="59" max="59"/>
    <col width="8.6640625" customWidth="1" style="1" min="60" max="62"/>
    <col width="24.6640625" customWidth="1" style="31" min="63" max="63"/>
    <col width="23.83203125" customWidth="1" style="31" min="64" max="64"/>
    <col width="8.6640625" customWidth="1" style="1" min="65" max="67"/>
    <col width="8.6640625" customWidth="1" style="31" min="68" max="68"/>
    <col hidden="1" width="8.6640625" customWidth="1" style="1" min="69" max="75"/>
    <col width="8.6640625" customWidth="1" style="1" min="76" max="76"/>
    <col width="8.6640625" customWidth="1" style="31" min="77" max="77"/>
    <col width="8.6640625" customWidth="1" style="1" min="78" max="81"/>
    <col width="12.6640625" bestFit="1" customWidth="1" style="1" min="82" max="82"/>
    <col width="10.5" bestFit="1" customWidth="1" style="1" min="83" max="83"/>
    <col width="8.6640625" customWidth="1" style="1" min="84" max="84"/>
    <col width="8.6640625" customWidth="1" style="1" min="85" max="16384"/>
  </cols>
  <sheetData>
    <row r="1" ht="47" customFormat="1" customHeight="1" s="24">
      <c r="E1" s="1">
        <f>'Master List'!$F$2</f>
        <v/>
      </c>
      <c r="I1" s="23" t="n"/>
    </row>
    <row r="2" ht="20" customHeight="1" s="516">
      <c r="A2" s="180" t="inlineStr">
        <is>
          <t>Project name</t>
        </is>
      </c>
      <c r="B2" s="408" t="n"/>
      <c r="H2" s="22" t="n"/>
      <c r="I2" s="22" t="n"/>
      <c r="J2" s="22" t="n"/>
      <c r="K2" s="22" t="n"/>
      <c r="L2" s="22" t="n"/>
      <c r="M2" s="22" t="n"/>
      <c r="N2" s="22" t="n"/>
      <c r="O2" s="22" t="n"/>
      <c r="P2" s="22" t="n"/>
      <c r="Q2" s="22" t="n"/>
      <c r="R2" s="22" t="n"/>
      <c r="S2" s="22" t="n"/>
      <c r="T2" s="22" t="n"/>
      <c r="U2" s="22" t="n"/>
      <c r="V2" s="22" t="n"/>
      <c r="W2" s="22" t="n"/>
      <c r="X2" s="22" t="n"/>
      <c r="AA2" s="1" t="n"/>
      <c r="AB2" s="1" t="n"/>
      <c r="AF2" s="1" t="n"/>
      <c r="AO2" s="1" t="n"/>
      <c r="AS2" s="1" t="n"/>
      <c r="AT2" s="1" t="n"/>
      <c r="AX2" s="1" t="n"/>
      <c r="BG2" s="1" t="n"/>
      <c r="BK2" s="1" t="n"/>
      <c r="BL2" s="1" t="n"/>
      <c r="BP2" s="1" t="n"/>
      <c r="BY2" s="1" t="n"/>
    </row>
    <row r="3" ht="30" customHeight="1" s="516">
      <c r="A3" s="180" t="inlineStr">
        <is>
          <t>Revision</t>
        </is>
      </c>
      <c r="B3" s="408" t="n"/>
      <c r="H3" s="551">
        <f>A21</f>
        <v/>
      </c>
      <c r="I3" s="552" t="n"/>
      <c r="J3" s="552" t="n"/>
      <c r="K3" s="552" t="n"/>
      <c r="L3" s="552" t="n"/>
      <c r="M3" s="552" t="n"/>
      <c r="N3" s="552" t="n"/>
      <c r="O3" s="552" t="n"/>
      <c r="P3" s="552" t="n"/>
      <c r="Q3" s="552" t="n"/>
      <c r="R3" s="552" t="n"/>
      <c r="S3" s="552" t="n"/>
      <c r="T3" s="552" t="n"/>
      <c r="U3" s="552" t="n"/>
      <c r="V3" s="552" t="n"/>
      <c r="W3" s="552" t="n"/>
      <c r="X3" s="553" t="n"/>
      <c r="Z3" s="551">
        <f>A22</f>
        <v/>
      </c>
      <c r="AA3" s="552" t="n"/>
      <c r="AB3" s="552" t="n"/>
      <c r="AC3" s="552" t="n"/>
      <c r="AD3" s="552" t="n"/>
      <c r="AE3" s="552" t="n"/>
      <c r="AF3" s="552" t="n"/>
      <c r="AG3" s="552" t="n"/>
      <c r="AH3" s="552" t="n"/>
      <c r="AI3" s="552" t="n"/>
      <c r="AJ3" s="552" t="n"/>
      <c r="AK3" s="552" t="n"/>
      <c r="AL3" s="552" t="n"/>
      <c r="AM3" s="552" t="n"/>
      <c r="AN3" s="552" t="n"/>
      <c r="AO3" s="552" t="n"/>
      <c r="AP3" s="553" t="n"/>
      <c r="AR3" s="551">
        <f>A23</f>
        <v/>
      </c>
      <c r="AS3" s="552" t="n"/>
      <c r="AT3" s="552" t="n"/>
      <c r="AU3" s="552" t="n"/>
      <c r="AV3" s="552" t="n"/>
      <c r="AW3" s="552" t="n"/>
      <c r="AX3" s="552" t="n"/>
      <c r="AY3" s="552" t="n"/>
      <c r="AZ3" s="552" t="n"/>
      <c r="BA3" s="552" t="n"/>
      <c r="BB3" s="552" t="n"/>
      <c r="BC3" s="552" t="n"/>
      <c r="BD3" s="552" t="n"/>
      <c r="BE3" s="552" t="n"/>
      <c r="BF3" s="552" t="n"/>
      <c r="BG3" s="552" t="n"/>
      <c r="BH3" s="553" t="n"/>
      <c r="BJ3" s="551">
        <f>A24</f>
        <v/>
      </c>
      <c r="BK3" s="552" t="n"/>
      <c r="BL3" s="552" t="n"/>
      <c r="BM3" s="552" t="n"/>
      <c r="BN3" s="552" t="n"/>
      <c r="BO3" s="552" t="n"/>
      <c r="BP3" s="552" t="n"/>
      <c r="BQ3" s="552" t="n"/>
      <c r="BR3" s="552" t="n"/>
      <c r="BS3" s="552" t="n"/>
      <c r="BT3" s="552" t="n"/>
      <c r="BU3" s="552" t="n"/>
      <c r="BV3" s="552" t="n"/>
      <c r="BW3" s="552" t="n"/>
      <c r="BX3" s="552" t="n"/>
      <c r="BY3" s="552" t="n"/>
      <c r="BZ3" s="553" t="n"/>
    </row>
    <row r="4" ht="18" customHeight="1" s="516">
      <c r="H4" s="554" t="inlineStr">
        <is>
          <t>S.No</t>
        </is>
      </c>
      <c r="I4" s="533" t="inlineStr">
        <is>
          <t>Cycles / Hour</t>
        </is>
      </c>
      <c r="J4" s="546" t="n"/>
      <c r="K4" s="546" t="n"/>
      <c r="L4" s="546" t="n"/>
      <c r="M4" s="546" t="n"/>
      <c r="N4" s="546" t="n"/>
      <c r="O4" s="546" t="n"/>
      <c r="P4" s="546" t="n"/>
      <c r="Q4" s="546" t="n"/>
      <c r="R4" s="546" t="n"/>
      <c r="S4" s="546" t="n"/>
      <c r="T4" s="546" t="n"/>
      <c r="U4" s="546" t="n"/>
      <c r="V4" s="546" t="n"/>
      <c r="W4" s="534" t="n"/>
      <c r="X4" s="27">
        <f>(3600-SUM(X30:X35,X37:X43))/X5</f>
        <v/>
      </c>
      <c r="Z4" s="554" t="inlineStr">
        <is>
          <t>S.No</t>
        </is>
      </c>
      <c r="AA4" s="533" t="inlineStr">
        <is>
          <t>Cycles / Hour</t>
        </is>
      </c>
      <c r="AB4" s="546" t="n"/>
      <c r="AC4" s="546" t="n"/>
      <c r="AD4" s="546" t="n"/>
      <c r="AE4" s="546" t="n"/>
      <c r="AF4" s="546" t="n"/>
      <c r="AG4" s="546" t="n"/>
      <c r="AH4" s="546" t="n"/>
      <c r="AI4" s="546" t="n"/>
      <c r="AJ4" s="546" t="n"/>
      <c r="AK4" s="546" t="n"/>
      <c r="AL4" s="546" t="n"/>
      <c r="AM4" s="546" t="n"/>
      <c r="AN4" s="546" t="n"/>
      <c r="AO4" s="534" t="n"/>
      <c r="AP4" s="27">
        <f>(3600-SUM(AP30:AP35,AP37:AP43))/AP5</f>
        <v/>
      </c>
      <c r="AR4" s="554" t="inlineStr">
        <is>
          <t>S.No</t>
        </is>
      </c>
      <c r="AS4" s="533" t="inlineStr">
        <is>
          <t>Cycles / Hour</t>
        </is>
      </c>
      <c r="AT4" s="546" t="n"/>
      <c r="AU4" s="546" t="n"/>
      <c r="AV4" s="546" t="n"/>
      <c r="AW4" s="546" t="n"/>
      <c r="AX4" s="546" t="n"/>
      <c r="AY4" s="546" t="n"/>
      <c r="AZ4" s="546" t="n"/>
      <c r="BA4" s="546" t="n"/>
      <c r="BB4" s="546" t="n"/>
      <c r="BC4" s="546" t="n"/>
      <c r="BD4" s="546" t="n"/>
      <c r="BE4" s="546" t="n"/>
      <c r="BF4" s="546" t="n"/>
      <c r="BG4" s="534" t="n"/>
      <c r="BH4" s="27">
        <f>(3600-SUM(BH30:BH35,BH37:BH43))/BH5</f>
        <v/>
      </c>
      <c r="BJ4" s="554" t="inlineStr">
        <is>
          <t>S.No</t>
        </is>
      </c>
      <c r="BK4" s="533" t="inlineStr">
        <is>
          <t>Cycles / Hour</t>
        </is>
      </c>
      <c r="BL4" s="546" t="n"/>
      <c r="BM4" s="546" t="n"/>
      <c r="BN4" s="546" t="n"/>
      <c r="BO4" s="546" t="n"/>
      <c r="BP4" s="546" t="n"/>
      <c r="BQ4" s="546" t="n"/>
      <c r="BR4" s="546" t="n"/>
      <c r="BS4" s="546" t="n"/>
      <c r="BT4" s="546" t="n"/>
      <c r="BU4" s="546" t="n"/>
      <c r="BV4" s="546" t="n"/>
      <c r="BW4" s="546" t="n"/>
      <c r="BX4" s="546" t="n"/>
      <c r="BY4" s="534" t="n"/>
      <c r="BZ4" s="27">
        <f>(3600-SUM(BZ21:BZ26,BZ28:BZ34))/BZ5</f>
        <v/>
      </c>
    </row>
    <row r="5" ht="18" customHeight="1" s="516">
      <c r="H5" s="555" t="n"/>
      <c r="I5" s="533" t="inlineStr">
        <is>
          <t>Effective Cycle Time</t>
        </is>
      </c>
      <c r="J5" s="546" t="n"/>
      <c r="K5" s="546" t="n"/>
      <c r="L5" s="546" t="n"/>
      <c r="M5" s="546" t="n"/>
      <c r="N5" s="546" t="n"/>
      <c r="O5" s="546" t="n"/>
      <c r="P5" s="546" t="n"/>
      <c r="Q5" s="546" t="n"/>
      <c r="R5" s="546" t="n"/>
      <c r="S5" s="546" t="n"/>
      <c r="T5" s="546" t="n"/>
      <c r="U5" s="546" t="n"/>
      <c r="V5" s="546" t="n"/>
      <c r="W5" s="534" t="n"/>
      <c r="X5" s="11">
        <f>X7/X6</f>
        <v/>
      </c>
      <c r="Z5" s="555" t="n"/>
      <c r="AA5" s="533" t="inlineStr">
        <is>
          <t>Effective Cycle Time</t>
        </is>
      </c>
      <c r="AB5" s="546" t="n"/>
      <c r="AC5" s="546" t="n"/>
      <c r="AD5" s="546" t="n"/>
      <c r="AE5" s="546" t="n"/>
      <c r="AF5" s="546" t="n"/>
      <c r="AG5" s="546" t="n"/>
      <c r="AH5" s="546" t="n"/>
      <c r="AI5" s="546" t="n"/>
      <c r="AJ5" s="546" t="n"/>
      <c r="AK5" s="546" t="n"/>
      <c r="AL5" s="546" t="n"/>
      <c r="AM5" s="546" t="n"/>
      <c r="AN5" s="546" t="n"/>
      <c r="AO5" s="534" t="n"/>
      <c r="AP5" s="11">
        <f>AP7/AP6</f>
        <v/>
      </c>
      <c r="AR5" s="555" t="n"/>
      <c r="AS5" s="533" t="inlineStr">
        <is>
          <t>Effective Cycle Time</t>
        </is>
      </c>
      <c r="AT5" s="546" t="n"/>
      <c r="AU5" s="546" t="n"/>
      <c r="AV5" s="546" t="n"/>
      <c r="AW5" s="546" t="n"/>
      <c r="AX5" s="546" t="n"/>
      <c r="AY5" s="546" t="n"/>
      <c r="AZ5" s="546" t="n"/>
      <c r="BA5" s="546" t="n"/>
      <c r="BB5" s="546" t="n"/>
      <c r="BC5" s="546" t="n"/>
      <c r="BD5" s="546" t="n"/>
      <c r="BE5" s="546" t="n"/>
      <c r="BF5" s="546" t="n"/>
      <c r="BG5" s="534" t="n"/>
      <c r="BH5" s="11">
        <f>BH7/BH6</f>
        <v/>
      </c>
      <c r="BJ5" s="555" t="n"/>
      <c r="BK5" s="533" t="inlineStr">
        <is>
          <t>Effective Cycle Time</t>
        </is>
      </c>
      <c r="BL5" s="546" t="n"/>
      <c r="BM5" s="546" t="n"/>
      <c r="BN5" s="546" t="n"/>
      <c r="BO5" s="546" t="n"/>
      <c r="BP5" s="546" t="n"/>
      <c r="BQ5" s="546" t="n"/>
      <c r="BR5" s="546" t="n"/>
      <c r="BS5" s="546" t="n"/>
      <c r="BT5" s="546" t="n"/>
      <c r="BU5" s="546" t="n"/>
      <c r="BV5" s="546" t="n"/>
      <c r="BW5" s="546" t="n"/>
      <c r="BX5" s="546" t="n"/>
      <c r="BY5" s="534" t="n"/>
      <c r="BZ5" s="11">
        <f>BZ7/BZ6</f>
        <v/>
      </c>
    </row>
    <row r="6" ht="18" customHeight="1" s="516">
      <c r="H6" s="555" t="n"/>
      <c r="I6" s="533" t="inlineStr">
        <is>
          <t>Equipment Utilization</t>
        </is>
      </c>
      <c r="J6" s="546" t="n"/>
      <c r="K6" s="546" t="n"/>
      <c r="L6" s="546" t="n"/>
      <c r="M6" s="546" t="n"/>
      <c r="N6" s="546" t="n"/>
      <c r="O6" s="546" t="n"/>
      <c r="P6" s="546" t="n"/>
      <c r="Q6" s="546" t="n"/>
      <c r="R6" s="546" t="n"/>
      <c r="S6" s="546" t="n"/>
      <c r="T6" s="546" t="n"/>
      <c r="U6" s="546" t="n"/>
      <c r="V6" s="546" t="n"/>
      <c r="W6" s="534" t="n"/>
      <c r="X6" s="12">
        <f>'Master List'!G1</f>
        <v/>
      </c>
      <c r="Z6" s="555" t="n"/>
      <c r="AA6" s="533" t="inlineStr">
        <is>
          <t>Equipment Utilization</t>
        </is>
      </c>
      <c r="AB6" s="546" t="n"/>
      <c r="AC6" s="546" t="n"/>
      <c r="AD6" s="546" t="n"/>
      <c r="AE6" s="546" t="n"/>
      <c r="AF6" s="546" t="n"/>
      <c r="AG6" s="546" t="n"/>
      <c r="AH6" s="546" t="n"/>
      <c r="AI6" s="546" t="n"/>
      <c r="AJ6" s="546" t="n"/>
      <c r="AK6" s="546" t="n"/>
      <c r="AL6" s="546" t="n"/>
      <c r="AM6" s="546" t="n"/>
      <c r="AN6" s="546" t="n"/>
      <c r="AO6" s="534" t="n"/>
      <c r="AP6" s="12">
        <f>X6</f>
        <v/>
      </c>
      <c r="AR6" s="555" t="n"/>
      <c r="AS6" s="533" t="inlineStr">
        <is>
          <t>Equipment Utilization</t>
        </is>
      </c>
      <c r="AT6" s="546" t="n"/>
      <c r="AU6" s="546" t="n"/>
      <c r="AV6" s="546" t="n"/>
      <c r="AW6" s="546" t="n"/>
      <c r="AX6" s="546" t="n"/>
      <c r="AY6" s="546" t="n"/>
      <c r="AZ6" s="546" t="n"/>
      <c r="BA6" s="546" t="n"/>
      <c r="BB6" s="546" t="n"/>
      <c r="BC6" s="546" t="n"/>
      <c r="BD6" s="546" t="n"/>
      <c r="BE6" s="546" t="n"/>
      <c r="BF6" s="546" t="n"/>
      <c r="BG6" s="534" t="n"/>
      <c r="BH6" s="12">
        <f>AP6</f>
        <v/>
      </c>
      <c r="BJ6" s="555" t="n"/>
      <c r="BK6" s="533" t="inlineStr">
        <is>
          <t>Equipment Utilization</t>
        </is>
      </c>
      <c r="BL6" s="546" t="n"/>
      <c r="BM6" s="546" t="n"/>
      <c r="BN6" s="546" t="n"/>
      <c r="BO6" s="546" t="n"/>
      <c r="BP6" s="546" t="n"/>
      <c r="BQ6" s="546" t="n"/>
      <c r="BR6" s="546" t="n"/>
      <c r="BS6" s="546" t="n"/>
      <c r="BT6" s="546" t="n"/>
      <c r="BU6" s="546" t="n"/>
      <c r="BV6" s="546" t="n"/>
      <c r="BW6" s="546" t="n"/>
      <c r="BX6" s="546" t="n"/>
      <c r="BY6" s="534" t="n"/>
      <c r="BZ6" s="12">
        <f>BH6</f>
        <v/>
      </c>
      <c r="CE6" s="66" t="n"/>
    </row>
    <row r="7" ht="18" customHeight="1" s="516">
      <c r="A7" s="35" t="inlineStr">
        <is>
          <t>Cycles/ Hr</t>
        </is>
      </c>
      <c r="B7" s="53">
        <f>SUMPRODUCT(D21:D24,E21:E24)</f>
        <v/>
      </c>
      <c r="C7" s="6" t="n"/>
      <c r="D7" s="6" t="n"/>
      <c r="E7" s="6" t="n"/>
      <c r="F7" s="6" t="n"/>
      <c r="H7" s="555" t="n"/>
      <c r="I7" s="533" t="inlineStr">
        <is>
          <t>Cycle Time</t>
        </is>
      </c>
      <c r="J7" s="546" t="n"/>
      <c r="K7" s="546" t="n"/>
      <c r="L7" s="546" t="n"/>
      <c r="M7" s="546" t="n"/>
      <c r="N7" s="546" t="n"/>
      <c r="O7" s="546" t="n"/>
      <c r="P7" s="546" t="n"/>
      <c r="Q7" s="546" t="n"/>
      <c r="R7" s="546" t="n"/>
      <c r="S7" s="546" t="n"/>
      <c r="T7" s="546" t="n"/>
      <c r="U7" s="546" t="n"/>
      <c r="V7" s="546" t="n"/>
      <c r="W7" s="534" t="n"/>
      <c r="X7" s="13">
        <f>SUM(X9:X28)</f>
        <v/>
      </c>
      <c r="Z7" s="555" t="n"/>
      <c r="AA7" s="533" t="inlineStr">
        <is>
          <t>Cycle Time</t>
        </is>
      </c>
      <c r="AB7" s="546" t="n"/>
      <c r="AC7" s="546" t="n"/>
      <c r="AD7" s="546" t="n"/>
      <c r="AE7" s="546" t="n"/>
      <c r="AF7" s="546" t="n"/>
      <c r="AG7" s="546" t="n"/>
      <c r="AH7" s="546" t="n"/>
      <c r="AI7" s="546" t="n"/>
      <c r="AJ7" s="546" t="n"/>
      <c r="AK7" s="546" t="n"/>
      <c r="AL7" s="546" t="n"/>
      <c r="AM7" s="546" t="n"/>
      <c r="AN7" s="546" t="n"/>
      <c r="AO7" s="534" t="n"/>
      <c r="AP7" s="13">
        <f>SUM(AP9:AP28)</f>
        <v/>
      </c>
      <c r="AR7" s="555" t="n"/>
      <c r="AS7" s="533" t="inlineStr">
        <is>
          <t>Cycle Time</t>
        </is>
      </c>
      <c r="AT7" s="546" t="n"/>
      <c r="AU7" s="546" t="n"/>
      <c r="AV7" s="546" t="n"/>
      <c r="AW7" s="546" t="n"/>
      <c r="AX7" s="546" t="n"/>
      <c r="AY7" s="546" t="n"/>
      <c r="AZ7" s="546" t="n"/>
      <c r="BA7" s="546" t="n"/>
      <c r="BB7" s="546" t="n"/>
      <c r="BC7" s="546" t="n"/>
      <c r="BD7" s="546" t="n"/>
      <c r="BE7" s="546" t="n"/>
      <c r="BF7" s="546" t="n"/>
      <c r="BG7" s="534" t="n"/>
      <c r="BH7" s="13">
        <f>SUM(BH9:BH28)</f>
        <v/>
      </c>
      <c r="BJ7" s="555" t="n"/>
      <c r="BK7" s="533" t="inlineStr">
        <is>
          <t>Cycle Time</t>
        </is>
      </c>
      <c r="BL7" s="546" t="n"/>
      <c r="BM7" s="546" t="n"/>
      <c r="BN7" s="546" t="n"/>
      <c r="BO7" s="546" t="n"/>
      <c r="BP7" s="546" t="n"/>
      <c r="BQ7" s="546" t="n"/>
      <c r="BR7" s="546" t="n"/>
      <c r="BS7" s="546" t="n"/>
      <c r="BT7" s="546" t="n"/>
      <c r="BU7" s="546" t="n"/>
      <c r="BV7" s="546" t="n"/>
      <c r="BW7" s="546" t="n"/>
      <c r="BX7" s="546" t="n"/>
      <c r="BY7" s="534" t="n"/>
      <c r="BZ7" s="13">
        <f>SUM(BZ9:BZ19)</f>
        <v/>
      </c>
    </row>
    <row r="8" ht="84" customFormat="1" customHeight="1" s="6">
      <c r="A8" s="35" t="inlineStr">
        <is>
          <t>Pallets/ Hr</t>
        </is>
      </c>
      <c r="B8" s="53">
        <f>SUMPRODUCT(E21:E24,F21:F24)</f>
        <v/>
      </c>
      <c r="C8" s="1" t="n"/>
      <c r="D8" s="1" t="n"/>
      <c r="E8" s="1" t="n"/>
      <c r="F8" s="1" t="n"/>
      <c r="H8" s="556" t="n"/>
      <c r="I8" s="16" t="inlineStr">
        <is>
          <t>Activity Type</t>
        </is>
      </c>
      <c r="J8" s="2" t="inlineStr">
        <is>
          <t>Steps</t>
        </is>
      </c>
      <c r="K8" s="21" t="inlineStr">
        <is>
          <t>Time to consider in absence of data (sec)</t>
        </is>
      </c>
      <c r="L8" s="21" t="inlineStr">
        <is>
          <t>Speed (m / sec)</t>
        </is>
      </c>
      <c r="M8" s="21" t="inlineStr">
        <is>
          <t>Acceleration (m / sec^2)</t>
        </is>
      </c>
      <c r="N8" s="18" t="inlineStr">
        <is>
          <t>Total Distance (m)</t>
        </is>
      </c>
      <c r="O8" s="3" t="inlineStr">
        <is>
          <t>Time to Reach Max Speed (sec)</t>
        </is>
      </c>
      <c r="P8" s="4" t="inlineStr">
        <is>
          <t>Distance in accerlaration (m)</t>
        </is>
      </c>
      <c r="Q8" s="2" t="inlineStr">
        <is>
          <t>Distance in Max speed (m)</t>
        </is>
      </c>
      <c r="R8" s="5" t="inlineStr">
        <is>
          <t>Distance in de-acceleration (m)</t>
        </is>
      </c>
      <c r="S8" s="4" t="inlineStr">
        <is>
          <t>Time in acceleration (sec)</t>
        </is>
      </c>
      <c r="T8" s="2" t="inlineStr">
        <is>
          <t>Time in full speed (sec)</t>
        </is>
      </c>
      <c r="U8" s="5" t="inlineStr">
        <is>
          <t>Time in de-acceleration (sec)</t>
        </is>
      </c>
      <c r="V8" s="19" t="inlineStr">
        <is>
          <t>Time (sec)</t>
        </is>
      </c>
      <c r="W8" s="18" t="inlineStr">
        <is>
          <t>Units</t>
        </is>
      </c>
      <c r="X8" s="20" t="inlineStr">
        <is>
          <t>Total Time</t>
        </is>
      </c>
      <c r="Z8" s="556" t="n"/>
      <c r="AA8" s="16" t="inlineStr">
        <is>
          <t>Activity Type</t>
        </is>
      </c>
      <c r="AB8" s="2" t="inlineStr">
        <is>
          <t>Steps</t>
        </is>
      </c>
      <c r="AC8" s="21" t="inlineStr">
        <is>
          <t>Time to consider in absence of data (sec)</t>
        </is>
      </c>
      <c r="AD8" s="21" t="inlineStr">
        <is>
          <t>Speed (m / sec)</t>
        </is>
      </c>
      <c r="AE8" s="21" t="inlineStr">
        <is>
          <t>Acceleration (m / sec^2)</t>
        </is>
      </c>
      <c r="AF8" s="18" t="inlineStr">
        <is>
          <t>Total Distance (m)</t>
        </is>
      </c>
      <c r="AG8" s="3" t="inlineStr">
        <is>
          <t>Time to Reach Max Speed (sec)</t>
        </is>
      </c>
      <c r="AH8" s="4" t="inlineStr">
        <is>
          <t>Distance in accerlaration (m)</t>
        </is>
      </c>
      <c r="AI8" s="2" t="inlineStr">
        <is>
          <t>Distance in Max speed (m)</t>
        </is>
      </c>
      <c r="AJ8" s="5" t="inlineStr">
        <is>
          <t>Distance in de-acceleration (m)</t>
        </is>
      </c>
      <c r="AK8" s="4" t="inlineStr">
        <is>
          <t>Time in acceleration (sec)</t>
        </is>
      </c>
      <c r="AL8" s="2" t="inlineStr">
        <is>
          <t>Time in full speed (sec)</t>
        </is>
      </c>
      <c r="AM8" s="5" t="inlineStr">
        <is>
          <t>Time in de-acceleration (sec)</t>
        </is>
      </c>
      <c r="AN8" s="19" t="inlineStr">
        <is>
          <t>Time (sec)</t>
        </is>
      </c>
      <c r="AO8" s="18" t="inlineStr">
        <is>
          <t>Units</t>
        </is>
      </c>
      <c r="AP8" s="20" t="inlineStr">
        <is>
          <t>Total Time</t>
        </is>
      </c>
      <c r="AR8" s="556" t="n"/>
      <c r="AS8" s="16" t="inlineStr">
        <is>
          <t>Activity Type</t>
        </is>
      </c>
      <c r="AT8" s="2" t="inlineStr">
        <is>
          <t>Steps</t>
        </is>
      </c>
      <c r="AU8" s="21" t="inlineStr">
        <is>
          <t>Time to consider in absence of data (sec)</t>
        </is>
      </c>
      <c r="AV8" s="21" t="inlineStr">
        <is>
          <t>Speed (m / sec)</t>
        </is>
      </c>
      <c r="AW8" s="21" t="inlineStr">
        <is>
          <t>Acceleration (m / sec^2)</t>
        </is>
      </c>
      <c r="AX8" s="18" t="inlineStr">
        <is>
          <t>Total Distance (m)</t>
        </is>
      </c>
      <c r="AY8" s="3" t="inlineStr">
        <is>
          <t>Time to Reach Max Speed (sec)</t>
        </is>
      </c>
      <c r="AZ8" s="4" t="inlineStr">
        <is>
          <t>Distance in accerlaration (m)</t>
        </is>
      </c>
      <c r="BA8" s="2" t="inlineStr">
        <is>
          <t>Distance in Max speed (m)</t>
        </is>
      </c>
      <c r="BB8" s="5" t="inlineStr">
        <is>
          <t>Distance in de-acceleration (m)</t>
        </is>
      </c>
      <c r="BC8" s="4" t="inlineStr">
        <is>
          <t>Time in acceleration (sec)</t>
        </is>
      </c>
      <c r="BD8" s="2" t="inlineStr">
        <is>
          <t>Time in full speed (sec)</t>
        </is>
      </c>
      <c r="BE8" s="5" t="inlineStr">
        <is>
          <t>Time in de-acceleration (sec)</t>
        </is>
      </c>
      <c r="BF8" s="19" t="inlineStr">
        <is>
          <t>Time (sec)</t>
        </is>
      </c>
      <c r="BG8" s="18" t="inlineStr">
        <is>
          <t>Units</t>
        </is>
      </c>
      <c r="BH8" s="20" t="inlineStr">
        <is>
          <t>Total Time</t>
        </is>
      </c>
      <c r="BJ8" s="556" t="n"/>
      <c r="BK8" s="16" t="inlineStr">
        <is>
          <t>Activity Type</t>
        </is>
      </c>
      <c r="BL8" s="2" t="inlineStr">
        <is>
          <t>Steps</t>
        </is>
      </c>
      <c r="BM8" s="21" t="inlineStr">
        <is>
          <t>Time to consider in absence of data (sec)</t>
        </is>
      </c>
      <c r="BN8" s="21" t="inlineStr">
        <is>
          <t>Speed (m / sec)</t>
        </is>
      </c>
      <c r="BO8" s="21" t="inlineStr">
        <is>
          <t>Acceleration (m / sec^2)</t>
        </is>
      </c>
      <c r="BP8" s="18" t="inlineStr">
        <is>
          <t>Total Distance (m)</t>
        </is>
      </c>
      <c r="BQ8" s="3" t="inlineStr">
        <is>
          <t>Time to Reach Max Speed (sec)</t>
        </is>
      </c>
      <c r="BR8" s="4" t="inlineStr">
        <is>
          <t>Distance in accerlaration (m)</t>
        </is>
      </c>
      <c r="BS8" s="2" t="inlineStr">
        <is>
          <t>Distance in Max speed (m)</t>
        </is>
      </c>
      <c r="BT8" s="5" t="inlineStr">
        <is>
          <t>Distance in de-acceleration (m)</t>
        </is>
      </c>
      <c r="BU8" s="4" t="inlineStr">
        <is>
          <t>Time in acceleration (sec)</t>
        </is>
      </c>
      <c r="BV8" s="2" t="inlineStr">
        <is>
          <t>Time in full speed (sec)</t>
        </is>
      </c>
      <c r="BW8" s="5" t="inlineStr">
        <is>
          <t>Time in de-acceleration (sec)</t>
        </is>
      </c>
      <c r="BX8" s="19" t="inlineStr">
        <is>
          <t>Time (sec)</t>
        </is>
      </c>
      <c r="BY8" s="18" t="inlineStr">
        <is>
          <t>Units</t>
        </is>
      </c>
      <c r="BZ8" s="20" t="inlineStr">
        <is>
          <t>Total Time</t>
        </is>
      </c>
    </row>
    <row r="9" ht="19" customHeight="1" s="516">
      <c r="A9" s="63" t="inlineStr">
        <is>
          <t>4 Way shuttles required</t>
        </is>
      </c>
      <c r="B9" s="242">
        <f>ROUNDUP(B14/B8,0)</f>
        <v/>
      </c>
      <c r="H9" s="14" t="n">
        <v>1</v>
      </c>
      <c r="I9" s="492" t="inlineStr">
        <is>
          <t>4 way shuttle_Lifting time</t>
        </is>
      </c>
      <c r="J9" s="28" t="inlineStr">
        <is>
          <t>Pick pallet from buffer conveyor</t>
        </is>
      </c>
      <c r="K9" s="9">
        <f>IFERROR(VLOOKUP(I9,'Master List'!$A:$D,2,0),0)</f>
        <v/>
      </c>
      <c r="L9" s="9">
        <f>IFERROR(VLOOKUP(I9,'Master List'!$A:$D,3,0),0)</f>
        <v/>
      </c>
      <c r="M9" s="9">
        <f>IFERROR(VLOOKUP(I9,'Master List'!$A:$D,4,0),0)</f>
        <v/>
      </c>
      <c r="N9" s="32" t="n"/>
      <c r="O9" s="7">
        <f>IFERROR(L9/M9,0)</f>
        <v/>
      </c>
      <c r="P9" s="8">
        <f>IFERROR(IF(N9&lt;((1/2*M9*O9^2)*2),1/2*M9*SQRT((N9/2)*2/M9)^2,1/2*M9*O9^2),0)</f>
        <v/>
      </c>
      <c r="Q9" s="9">
        <f>IFERROR(IF(N9-P9-R9&lt;=0,0,N9-P9-R9),0)</f>
        <v/>
      </c>
      <c r="R9" s="10">
        <f>P9</f>
        <v/>
      </c>
      <c r="S9" s="8">
        <f>IFERROR(IF(N9&lt;((1/2*M9*O9^2)*2),SQRT((N9/2)*2/M9),O9),0)</f>
        <v/>
      </c>
      <c r="T9" s="9">
        <f>IFERROR(Q9/L9,0)</f>
        <v/>
      </c>
      <c r="U9" s="10">
        <f>S9</f>
        <v/>
      </c>
      <c r="V9" s="8">
        <f>IF(K9&gt;0,K9,SUM(S9:U9))</f>
        <v/>
      </c>
      <c r="W9" s="32" t="n">
        <v>1</v>
      </c>
      <c r="X9" s="10">
        <f>V9*W9</f>
        <v/>
      </c>
      <c r="Z9" s="14" t="n">
        <v>1</v>
      </c>
      <c r="AA9" s="492" t="inlineStr">
        <is>
          <t>4 way shuttle_Lifting time</t>
        </is>
      </c>
      <c r="AB9" s="28" t="inlineStr">
        <is>
          <t>Pick pallet from buffer conveyor</t>
        </is>
      </c>
      <c r="AC9" s="9">
        <f>IFERROR(VLOOKUP(AA9,'Master List'!$A:$D,2,0),0)</f>
        <v/>
      </c>
      <c r="AD9" s="9">
        <f>IFERROR(VLOOKUP(AA9,'Master List'!$A:$D,3,0),0)</f>
        <v/>
      </c>
      <c r="AE9" s="9">
        <f>IFERROR(VLOOKUP(AA9,'Master List'!$A:$D,4,0),0)</f>
        <v/>
      </c>
      <c r="AF9" s="32">
        <f>N9</f>
        <v/>
      </c>
      <c r="AG9" s="7">
        <f>IFERROR(AD9/AE9,0)</f>
        <v/>
      </c>
      <c r="AH9" s="8">
        <f>IFERROR(IF(AF9&lt;((1/2*AE9*AG9^2)*2),1/2*AE9*SQRT((AF9/2)*2/AE9)^2,1/2*AE9*AG9^2),0)</f>
        <v/>
      </c>
      <c r="AI9" s="9">
        <f>IFERROR(IF(AF9-AH9-AJ9&lt;=0,0,AF9-AH9-AJ9),0)</f>
        <v/>
      </c>
      <c r="AJ9" s="10">
        <f>AH9</f>
        <v/>
      </c>
      <c r="AK9" s="8">
        <f>IFERROR(IF(AF9&lt;((1/2*AE9*AG9^2)*2),SQRT((AF9/2)*2/AE9),AG9),0)</f>
        <v/>
      </c>
      <c r="AL9" s="9">
        <f>IFERROR(AI9/AD9,0)</f>
        <v/>
      </c>
      <c r="AM9" s="10">
        <f>AK9</f>
        <v/>
      </c>
      <c r="AN9" s="8">
        <f>IF(AC9&gt;0,AC9,SUM(AK9:AM9))</f>
        <v/>
      </c>
      <c r="AO9" s="32" t="n">
        <v>1</v>
      </c>
      <c r="AP9" s="10">
        <f>AN9*AO9</f>
        <v/>
      </c>
      <c r="AR9" s="14" t="n">
        <v>1</v>
      </c>
      <c r="AS9" s="492" t="inlineStr">
        <is>
          <t>4 way shuttle_Lifting time</t>
        </is>
      </c>
      <c r="AT9" s="28" t="inlineStr">
        <is>
          <t>Pick pallet from buffer conveyor</t>
        </is>
      </c>
      <c r="AU9" s="9">
        <f>IFERROR(VLOOKUP(AS9,'Master List'!$A:$D,2,0),0)</f>
        <v/>
      </c>
      <c r="AV9" s="9">
        <f>IFERROR(VLOOKUP(AS9,'Master List'!$A:$D,3,0),0)</f>
        <v/>
      </c>
      <c r="AW9" s="9">
        <f>IFERROR(VLOOKUP(AS9,'Master List'!$A:$D,4,0),0)</f>
        <v/>
      </c>
      <c r="AX9" s="32">
        <f>AF9</f>
        <v/>
      </c>
      <c r="AY9" s="7">
        <f>IFERROR(AV9/AW9,0)</f>
        <v/>
      </c>
      <c r="AZ9" s="8">
        <f>IFERROR(IF(AX9&lt;((1/2*AW9*AY9^2)*2),1/2*AW9*SQRT((AX9/2)*2/AW9)^2,1/2*AW9*AY9^2),0)</f>
        <v/>
      </c>
      <c r="BA9" s="9">
        <f>IFERROR(IF(AX9-AZ9-BB9&lt;=0,0,AX9-AZ9-BB9),0)</f>
        <v/>
      </c>
      <c r="BB9" s="10">
        <f>AZ9</f>
        <v/>
      </c>
      <c r="BC9" s="8">
        <f>IFERROR(IF(AX9&lt;((1/2*AW9*AY9^2)*2),SQRT((AX9/2)*2/AW9),AY9),0)</f>
        <v/>
      </c>
      <c r="BD9" s="9">
        <f>IFERROR(BA9/AV9,0)</f>
        <v/>
      </c>
      <c r="BE9" s="10">
        <f>BC9</f>
        <v/>
      </c>
      <c r="BF9" s="8">
        <f>IF(AU9&gt;0,AU9,SUM(BC9:BE9))</f>
        <v/>
      </c>
      <c r="BG9" s="32" t="n">
        <v>1</v>
      </c>
      <c r="BH9" s="10">
        <f>BF9*BG9</f>
        <v/>
      </c>
      <c r="BJ9" s="14" t="n">
        <v>1</v>
      </c>
      <c r="BK9" s="492" t="inlineStr">
        <is>
          <t>4 way shuttle_Lifting time</t>
        </is>
      </c>
      <c r="BL9" s="28" t="inlineStr">
        <is>
          <t>Pick pallet from buffer conveyor</t>
        </is>
      </c>
      <c r="BM9" s="9">
        <f>IFERROR(VLOOKUP(BK9,'Master List'!$A:$D,2,0),0)</f>
        <v/>
      </c>
      <c r="BN9" s="9">
        <f>IFERROR(VLOOKUP(BK9,'Master List'!$A:$D,3,0),0)</f>
        <v/>
      </c>
      <c r="BO9" s="9">
        <f>IFERROR(VLOOKUP(BK9,'Master List'!$A:$D,4,0),0)</f>
        <v/>
      </c>
      <c r="BP9" s="32" t="n"/>
      <c r="BQ9" s="7">
        <f>IFERROR(BN9/BO9,0)</f>
        <v/>
      </c>
      <c r="BR9" s="8">
        <f>IFERROR(IF(BP9&lt;((1/2*BO9*BQ9^2)*2),1/2*BO9*SQRT((BP9/2)*2/BO9)^2,1/2*BO9*BQ9^2),0)</f>
        <v/>
      </c>
      <c r="BS9" s="9">
        <f>IFERROR(IF(BP9-BR9-BT9&lt;=0,0,BP9-BR9-BT9),0)</f>
        <v/>
      </c>
      <c r="BT9" s="10">
        <f>BR9</f>
        <v/>
      </c>
      <c r="BU9" s="8">
        <f>IFERROR(IF(BP9&lt;((1/2*BO9*BQ9^2)*2),SQRT((BP9/2)*2/BO9),BQ9),0)</f>
        <v/>
      </c>
      <c r="BV9" s="9">
        <f>IFERROR(BS9/BN9,0)</f>
        <v/>
      </c>
      <c r="BW9" s="10">
        <f>BU9</f>
        <v/>
      </c>
      <c r="BX9" s="8">
        <f>IF(BM9&gt;0,BM9,SUM(BU9:BW9))</f>
        <v/>
      </c>
      <c r="BY9" s="32" t="n">
        <v>1</v>
      </c>
      <c r="BZ9" s="10">
        <f>BX9*BY9</f>
        <v/>
      </c>
    </row>
    <row r="10" ht="16" customHeight="1" s="516" thickBot="1">
      <c r="H10" s="14">
        <f>H9+1</f>
        <v/>
      </c>
      <c r="I10" s="492" t="inlineStr">
        <is>
          <t>4 way shuttle_Loaded</t>
        </is>
      </c>
      <c r="J10" s="28" t="inlineStr">
        <is>
          <t>Move to highway aisle from outbound buffer conveyor</t>
        </is>
      </c>
      <c r="K10" s="9">
        <f>IFERROR(VLOOKUP(I10,'Master List'!$A:$D,2,0),0)</f>
        <v/>
      </c>
      <c r="L10" s="9">
        <f>IFERROR(VLOOKUP(I10,'Master List'!$A:$D,3,0),0)</f>
        <v/>
      </c>
      <c r="M10" s="9">
        <f>IFERROR(VLOOKUP(I10,'Master List'!$A:$D,4,0),0)</f>
        <v/>
      </c>
      <c r="N10" s="32">
        <f>B34</f>
        <v/>
      </c>
      <c r="O10" s="7">
        <f>IFERROR(L10/M10,0)</f>
        <v/>
      </c>
      <c r="P10" s="8">
        <f>IFERROR(IF(N10&lt;((1/2*M10*O10^2)*2),1/2*M10*SQRT((N10/2)*2/M10)^2,1/2*M10*O10^2),0)</f>
        <v/>
      </c>
      <c r="Q10" s="9">
        <f>IFERROR(IF(N10-P10-R10&lt;=0,0,N10-P10-R10),0)</f>
        <v/>
      </c>
      <c r="R10" s="10">
        <f>P10</f>
        <v/>
      </c>
      <c r="S10" s="8">
        <f>IFERROR(IF(N10&lt;((1/2*M10*O10^2)*2),SQRT((N10/2)*2/M10),O10),0)</f>
        <v/>
      </c>
      <c r="T10" s="9">
        <f>IFERROR(Q10/L10,0)</f>
        <v/>
      </c>
      <c r="U10" s="10">
        <f>S10</f>
        <v/>
      </c>
      <c r="V10" s="8">
        <f>IF(K10&gt;0,K10,SUM(S10:U10))</f>
        <v/>
      </c>
      <c r="W10" s="32" t="n">
        <v>1</v>
      </c>
      <c r="X10" s="10">
        <f>V10*W10</f>
        <v/>
      </c>
      <c r="Z10" s="14">
        <f>Z9+1</f>
        <v/>
      </c>
      <c r="AA10" s="492" t="inlineStr">
        <is>
          <t>4 way shuttle_Loaded</t>
        </is>
      </c>
      <c r="AB10" s="28" t="inlineStr">
        <is>
          <t>Move to highway aisle from outbound buffer conveyor</t>
        </is>
      </c>
      <c r="AC10" s="9">
        <f>IFERROR(VLOOKUP(AA10,'Master List'!$A:$D,2,0),0)</f>
        <v/>
      </c>
      <c r="AD10" s="9">
        <f>IFERROR(VLOOKUP(AA10,'Master List'!$A:$D,3,0),0)</f>
        <v/>
      </c>
      <c r="AE10" s="9">
        <f>IFERROR(VLOOKUP(AA10,'Master List'!$A:$D,4,0),0)</f>
        <v/>
      </c>
      <c r="AF10" s="32">
        <f>N10</f>
        <v/>
      </c>
      <c r="AG10" s="7">
        <f>IFERROR(AD10/AE10,0)</f>
        <v/>
      </c>
      <c r="AH10" s="8">
        <f>IFERROR(IF(AF10&lt;((1/2*AE10*AG10^2)*2),1/2*AE10*SQRT((AF10/2)*2/AE10)^2,1/2*AE10*AG10^2),0)</f>
        <v/>
      </c>
      <c r="AI10" s="9">
        <f>IFERROR(IF(AF10-AH10-AJ10&lt;=0,0,AF10-AH10-AJ10),0)</f>
        <v/>
      </c>
      <c r="AJ10" s="10">
        <f>AH10</f>
        <v/>
      </c>
      <c r="AK10" s="8">
        <f>IFERROR(IF(AF10&lt;((1/2*AE10*AG10^2)*2),SQRT((AF10/2)*2/AE10),AG10),0)</f>
        <v/>
      </c>
      <c r="AL10" s="9">
        <f>IFERROR(AI10/AD10,0)</f>
        <v/>
      </c>
      <c r="AM10" s="10">
        <f>AK10</f>
        <v/>
      </c>
      <c r="AN10" s="8">
        <f>IF(AC10&gt;0,AC10,SUM(AK10:AM10))</f>
        <v/>
      </c>
      <c r="AO10" s="32" t="n">
        <v>1</v>
      </c>
      <c r="AP10" s="10">
        <f>AN10*AO10</f>
        <v/>
      </c>
      <c r="AR10" s="14">
        <f>AR9+1</f>
        <v/>
      </c>
      <c r="AS10" s="492" t="inlineStr">
        <is>
          <t>4 way shuttle_Loaded</t>
        </is>
      </c>
      <c r="AT10" s="28" t="inlineStr">
        <is>
          <t>Move to highway aisle from outbound buffer conveyor</t>
        </is>
      </c>
      <c r="AU10" s="9">
        <f>IFERROR(VLOOKUP(AS10,'Master List'!$A:$D,2,0),0)</f>
        <v/>
      </c>
      <c r="AV10" s="9">
        <f>IFERROR(VLOOKUP(AS10,'Master List'!$A:$D,3,0),0)</f>
        <v/>
      </c>
      <c r="AW10" s="9">
        <f>IFERROR(VLOOKUP(AS10,'Master List'!$A:$D,4,0),0)</f>
        <v/>
      </c>
      <c r="AX10" s="32">
        <f>AF10</f>
        <v/>
      </c>
      <c r="AY10" s="7">
        <f>IFERROR(AV10/AW10,0)</f>
        <v/>
      </c>
      <c r="AZ10" s="8">
        <f>IFERROR(IF(AX10&lt;((1/2*AW10*AY10^2)*2),1/2*AW10*SQRT((AX10/2)*2/AW10)^2,1/2*AW10*AY10^2),0)</f>
        <v/>
      </c>
      <c r="BA10" s="9">
        <f>IFERROR(IF(AX10-AZ10-BB10&lt;=0,0,AX10-AZ10-BB10),0)</f>
        <v/>
      </c>
      <c r="BB10" s="10">
        <f>AZ10</f>
        <v/>
      </c>
      <c r="BC10" s="8">
        <f>IFERROR(IF(AX10&lt;((1/2*AW10*AY10^2)*2),SQRT((AX10/2)*2/AW10),AY10),0)</f>
        <v/>
      </c>
      <c r="BD10" s="9">
        <f>IFERROR(BA10/AV10,0)</f>
        <v/>
      </c>
      <c r="BE10" s="10">
        <f>BC10</f>
        <v/>
      </c>
      <c r="BF10" s="8">
        <f>IF(AU10&gt;0,AU10,SUM(BC10:BE10))</f>
        <v/>
      </c>
      <c r="BG10" s="32" t="n">
        <v>1</v>
      </c>
      <c r="BH10" s="10">
        <f>BF10*BG10</f>
        <v/>
      </c>
      <c r="BJ10" s="14">
        <f>BJ9+1</f>
        <v/>
      </c>
      <c r="BK10" s="492" t="inlineStr">
        <is>
          <t>4 way shuttle_Loaded</t>
        </is>
      </c>
      <c r="BL10" s="28" t="inlineStr">
        <is>
          <t>Move to highway aisle from outbound buffer conveyor</t>
        </is>
      </c>
      <c r="BM10" s="9">
        <f>IFERROR(VLOOKUP(BK10,'Master List'!$A:$D,2,0),0)</f>
        <v/>
      </c>
      <c r="BN10" s="9">
        <f>IFERROR(VLOOKUP(BK10,'Master List'!$A:$D,3,0),0)</f>
        <v/>
      </c>
      <c r="BO10" s="9">
        <f>IFERROR(VLOOKUP(BK10,'Master List'!$A:$D,4,0),0)</f>
        <v/>
      </c>
      <c r="BP10" s="32">
        <f>B34</f>
        <v/>
      </c>
      <c r="BQ10" s="7">
        <f>IFERROR(BN10/BO10,0)</f>
        <v/>
      </c>
      <c r="BR10" s="8">
        <f>IFERROR(IF(BP10&lt;((1/2*BO10*BQ10^2)*2),1/2*BO10*SQRT((BP10/2)*2/BO10)^2,1/2*BO10*BQ10^2),0)</f>
        <v/>
      </c>
      <c r="BS10" s="9">
        <f>IFERROR(IF(BP10-BR10-BT10&lt;=0,0,BP10-BR10-BT10),0)</f>
        <v/>
      </c>
      <c r="BT10" s="10">
        <f>BR10</f>
        <v/>
      </c>
      <c r="BU10" s="8">
        <f>IFERROR(IF(BP10&lt;((1/2*BO10*BQ10^2)*2),SQRT((BP10/2)*2/BO10),BQ10),0)</f>
        <v/>
      </c>
      <c r="BV10" s="9">
        <f>IFERROR(BS10/BN10,0)</f>
        <v/>
      </c>
      <c r="BW10" s="10">
        <f>BU10</f>
        <v/>
      </c>
      <c r="BX10" s="8">
        <f>IF(BM10&gt;0,BM10,SUM(BU10:BW10))</f>
        <v/>
      </c>
      <c r="BY10" s="32" t="n">
        <v>1</v>
      </c>
      <c r="BZ10" s="10">
        <f>BX10*BY10</f>
        <v/>
      </c>
      <c r="CD10" s="1" t="inlineStr">
        <is>
          <t>Yes</t>
        </is>
      </c>
    </row>
    <row r="11">
      <c r="A11" s="346" t="inlineStr">
        <is>
          <t>Input</t>
        </is>
      </c>
      <c r="B11" s="347" t="inlineStr">
        <is>
          <t>Qty</t>
        </is>
      </c>
      <c r="C11" s="493" t="inlineStr">
        <is>
          <t>Cycles</t>
        </is>
      </c>
      <c r="D11" s="352" t="inlineStr">
        <is>
          <t>PPH</t>
        </is>
      </c>
      <c r="E11" s="347" t="inlineStr">
        <is>
          <t>%</t>
        </is>
      </c>
      <c r="H11" s="14">
        <f>H10+1</f>
        <v/>
      </c>
      <c r="I11" s="492" t="inlineStr">
        <is>
          <t>4 way shuttle_Direction change time</t>
        </is>
      </c>
      <c r="J11" s="28" t="n"/>
      <c r="K11" s="9">
        <f>IFERROR(VLOOKUP(I11,'Master List'!$A:$D,2,0),0)</f>
        <v/>
      </c>
      <c r="L11" s="9">
        <f>IFERROR(VLOOKUP(I11,'Master List'!$A:$D,3,0),0)</f>
        <v/>
      </c>
      <c r="M11" s="9">
        <f>IFERROR(VLOOKUP(I11,'Master List'!$A:$D,4,0),0)</f>
        <v/>
      </c>
      <c r="N11" s="32" t="n"/>
      <c r="O11" s="7">
        <f>IFERROR(L11/M11,0)</f>
        <v/>
      </c>
      <c r="P11" s="8">
        <f>IFERROR(IF(N11&lt;((1/2*M11*O11^2)*2),1/2*M11*SQRT((N11/2)*2/M11)^2,1/2*M11*O11^2),0)</f>
        <v/>
      </c>
      <c r="Q11" s="9">
        <f>IFERROR(IF(N11-P11-R11&lt;=0,0,N11-P11-R11),0)</f>
        <v/>
      </c>
      <c r="R11" s="10">
        <f>P11</f>
        <v/>
      </c>
      <c r="S11" s="8">
        <f>IFERROR(IF(N11&lt;((1/2*M11*O11^2)*2),SQRT((N11/2)*2/M11),O11),0)</f>
        <v/>
      </c>
      <c r="T11" s="9">
        <f>IFERROR(Q11/L11,0)</f>
        <v/>
      </c>
      <c r="U11" s="10">
        <f>S11</f>
        <v/>
      </c>
      <c r="V11" s="8">
        <f>IF(K11&gt;0,K11,SUM(S11:U11))</f>
        <v/>
      </c>
      <c r="W11" s="32" t="n">
        <v>1</v>
      </c>
      <c r="X11" s="10">
        <f>V11*W11</f>
        <v/>
      </c>
      <c r="Z11" s="14">
        <f>Z10+1</f>
        <v/>
      </c>
      <c r="AA11" s="492" t="inlineStr">
        <is>
          <t>4 way shuttle_Direction change time</t>
        </is>
      </c>
      <c r="AB11" s="28" t="n"/>
      <c r="AC11" s="9">
        <f>IFERROR(VLOOKUP(AA11,'Master List'!$A:$D,2,0),0)</f>
        <v/>
      </c>
      <c r="AD11" s="9">
        <f>IFERROR(VLOOKUP(AA11,'Master List'!$A:$D,3,0),0)</f>
        <v/>
      </c>
      <c r="AE11" s="9">
        <f>IFERROR(VLOOKUP(AA11,'Master List'!$A:$D,4,0),0)</f>
        <v/>
      </c>
      <c r="AF11" s="32">
        <f>N11</f>
        <v/>
      </c>
      <c r="AG11" s="7">
        <f>IFERROR(AD11/AE11,0)</f>
        <v/>
      </c>
      <c r="AH11" s="8">
        <f>IFERROR(IF(AF11&lt;((1/2*AE11*AG11^2)*2),1/2*AE11*SQRT((AF11/2)*2/AE11)^2,1/2*AE11*AG11^2),0)</f>
        <v/>
      </c>
      <c r="AI11" s="9">
        <f>IFERROR(IF(AF11-AH11-AJ11&lt;=0,0,AF11-AH11-AJ11),0)</f>
        <v/>
      </c>
      <c r="AJ11" s="10">
        <f>AH11</f>
        <v/>
      </c>
      <c r="AK11" s="8">
        <f>IFERROR(IF(AF11&lt;((1/2*AE11*AG11^2)*2),SQRT((AF11/2)*2/AE11),AG11),0)</f>
        <v/>
      </c>
      <c r="AL11" s="9">
        <f>IFERROR(AI11/AD11,0)</f>
        <v/>
      </c>
      <c r="AM11" s="10">
        <f>AK11</f>
        <v/>
      </c>
      <c r="AN11" s="8">
        <f>IF(AC11&gt;0,AC11,SUM(AK11:AM11))</f>
        <v/>
      </c>
      <c r="AO11" s="32" t="n">
        <v>1</v>
      </c>
      <c r="AP11" s="10">
        <f>AN11*AO11</f>
        <v/>
      </c>
      <c r="AR11" s="14">
        <f>AR10+1</f>
        <v/>
      </c>
      <c r="AS11" s="492" t="inlineStr">
        <is>
          <t>4 way shuttle_Direction change time</t>
        </is>
      </c>
      <c r="AT11" s="28" t="n"/>
      <c r="AU11" s="9">
        <f>IFERROR(VLOOKUP(AS11,'Master List'!$A:$D,2,0),0)</f>
        <v/>
      </c>
      <c r="AV11" s="9">
        <f>IFERROR(VLOOKUP(AS11,'Master List'!$A:$D,3,0),0)</f>
        <v/>
      </c>
      <c r="AW11" s="9">
        <f>IFERROR(VLOOKUP(AS11,'Master List'!$A:$D,4,0),0)</f>
        <v/>
      </c>
      <c r="AX11" s="32">
        <f>AF11</f>
        <v/>
      </c>
      <c r="AY11" s="7">
        <f>IFERROR(AV11/AW11,0)</f>
        <v/>
      </c>
      <c r="AZ11" s="8">
        <f>IFERROR(IF(AX11&lt;((1/2*AW11*AY11^2)*2),1/2*AW11*SQRT((AX11/2)*2/AW11)^2,1/2*AW11*AY11^2),0)</f>
        <v/>
      </c>
      <c r="BA11" s="9">
        <f>IFERROR(IF(AX11-AZ11-BB11&lt;=0,0,AX11-AZ11-BB11),0)</f>
        <v/>
      </c>
      <c r="BB11" s="10">
        <f>AZ11</f>
        <v/>
      </c>
      <c r="BC11" s="8">
        <f>IFERROR(IF(AX11&lt;((1/2*AW11*AY11^2)*2),SQRT((AX11/2)*2/AW11),AY11),0)</f>
        <v/>
      </c>
      <c r="BD11" s="9">
        <f>IFERROR(BA11/AV11,0)</f>
        <v/>
      </c>
      <c r="BE11" s="10">
        <f>BC11</f>
        <v/>
      </c>
      <c r="BF11" s="8">
        <f>IF(AU11&gt;0,AU11,SUM(BC11:BE11))</f>
        <v/>
      </c>
      <c r="BG11" s="32" t="n">
        <v>1</v>
      </c>
      <c r="BH11" s="10">
        <f>BF11*BG11</f>
        <v/>
      </c>
      <c r="BJ11" s="14">
        <f>BJ10+1</f>
        <v/>
      </c>
      <c r="BK11" s="492" t="inlineStr">
        <is>
          <t>4 way shuttle_Direction change time</t>
        </is>
      </c>
      <c r="BL11" s="28" t="n"/>
      <c r="BM11" s="9">
        <f>IFERROR(VLOOKUP(BK11,'Master List'!$A:$D,2,0),0)</f>
        <v/>
      </c>
      <c r="BN11" s="9">
        <f>IFERROR(VLOOKUP(BK11,'Master List'!$A:$D,3,0),0)</f>
        <v/>
      </c>
      <c r="BO11" s="9">
        <f>IFERROR(VLOOKUP(BK11,'Master List'!$A:$D,4,0),0)</f>
        <v/>
      </c>
      <c r="BP11" s="32" t="n"/>
      <c r="BQ11" s="7">
        <f>IFERROR(BN11/BO11,0)</f>
        <v/>
      </c>
      <c r="BR11" s="8">
        <f>IFERROR(IF(BP11&lt;((1/2*BO11*BQ11^2)*2),1/2*BO11*SQRT((BP11/2)*2/BO11)^2,1/2*BO11*BQ11^2),0)</f>
        <v/>
      </c>
      <c r="BS11" s="9">
        <f>IFERROR(IF(BP11-BR11-BT11&lt;=0,0,BP11-BR11-BT11),0)</f>
        <v/>
      </c>
      <c r="BT11" s="10">
        <f>BR11</f>
        <v/>
      </c>
      <c r="BU11" s="8">
        <f>IFERROR(IF(BP11&lt;((1/2*BO11*BQ11^2)*2),SQRT((BP11/2)*2/BO11),BQ11),0)</f>
        <v/>
      </c>
      <c r="BV11" s="9">
        <f>IFERROR(BS11/BN11,0)</f>
        <v/>
      </c>
      <c r="BW11" s="10">
        <f>BU11</f>
        <v/>
      </c>
      <c r="BX11" s="8">
        <f>IF(BM11&gt;0,BM11,SUM(BU11:BW11))</f>
        <v/>
      </c>
      <c r="BY11" s="32" t="n">
        <v>1</v>
      </c>
      <c r="BZ11" s="10">
        <f>BX11*BY11</f>
        <v/>
      </c>
      <c r="CD11" s="1" t="inlineStr">
        <is>
          <t>No</t>
        </is>
      </c>
    </row>
    <row r="12">
      <c r="A12" s="348" t="inlineStr">
        <is>
          <t>Inbound PPH</t>
        </is>
      </c>
      <c r="B12" s="349" t="n">
        <v>100</v>
      </c>
      <c r="C12" s="494" t="inlineStr">
        <is>
          <t>Pallets in combined cycle</t>
        </is>
      </c>
      <c r="D12" s="39">
        <f>MIN(B12:B13)*2</f>
        <v/>
      </c>
      <c r="E12" s="353">
        <f>D12/SUM($D$12:$D$13)</f>
        <v/>
      </c>
      <c r="H12" s="14">
        <f>H11+1</f>
        <v/>
      </c>
      <c r="I12" s="492" t="inlineStr">
        <is>
          <t>4 way shuttle_Loaded</t>
        </is>
      </c>
      <c r="J12" s="28" t="inlineStr">
        <is>
          <t>Move to location</t>
        </is>
      </c>
      <c r="K12" s="9">
        <f>IFERROR(VLOOKUP(I12,'Master List'!$A:$D,2,0),0)</f>
        <v/>
      </c>
      <c r="L12" s="9">
        <f>IFERROR(VLOOKUP(I12,'Master List'!$A:$D,3,0),0)</f>
        <v/>
      </c>
      <c r="M12" s="9">
        <f>IFERROR(VLOOKUP(I12,'Master List'!$A:$D,4,0),0)</f>
        <v/>
      </c>
      <c r="N12" s="32">
        <f>C21</f>
        <v/>
      </c>
      <c r="O12" s="7">
        <f>IFERROR(L12/M12,0)</f>
        <v/>
      </c>
      <c r="P12" s="8">
        <f>IFERROR(IF(N12&lt;((1/2*M12*O12^2)*2),1/2*M12*SQRT((N12/2)*2/M12)^2,1/2*M12*O12^2),0)</f>
        <v/>
      </c>
      <c r="Q12" s="9">
        <f>IFERROR(IF(N12-P12-R12&lt;=0,0,N12-P12-R12),0)</f>
        <v/>
      </c>
      <c r="R12" s="10">
        <f>P12</f>
        <v/>
      </c>
      <c r="S12" s="8">
        <f>IFERROR(IF(N12&lt;((1/2*M12*O12^2)*2),SQRT((N12/2)*2/M12),O12),0)</f>
        <v/>
      </c>
      <c r="T12" s="9">
        <f>IFERROR(Q12/L12,0)</f>
        <v/>
      </c>
      <c r="U12" s="10">
        <f>S12</f>
        <v/>
      </c>
      <c r="V12" s="8">
        <f>IF(K12&gt;0,K12,SUM(S12:U12))</f>
        <v/>
      </c>
      <c r="W12" s="32" t="n">
        <v>1</v>
      </c>
      <c r="X12" s="10">
        <f>V12*W12</f>
        <v/>
      </c>
      <c r="Z12" s="14">
        <f>Z11+1</f>
        <v/>
      </c>
      <c r="AA12" s="492" t="inlineStr">
        <is>
          <t>4 way shuttle_Loaded</t>
        </is>
      </c>
      <c r="AB12" s="28" t="inlineStr">
        <is>
          <t>Move to location</t>
        </is>
      </c>
      <c r="AC12" s="9">
        <f>IFERROR(VLOOKUP(AA12,'Master List'!$A:$D,2,0),0)</f>
        <v/>
      </c>
      <c r="AD12" s="9">
        <f>IFERROR(VLOOKUP(AA12,'Master List'!$A:$D,3,0),0)</f>
        <v/>
      </c>
      <c r="AE12" s="9">
        <f>IFERROR(VLOOKUP(AA12,'Master List'!$A:$D,4,0),0)</f>
        <v/>
      </c>
      <c r="AF12" s="32">
        <f>C22</f>
        <v/>
      </c>
      <c r="AG12" s="7">
        <f>IFERROR(AD12/AE12,0)</f>
        <v/>
      </c>
      <c r="AH12" s="8">
        <f>IFERROR(IF(AF12&lt;((1/2*AE12*AG12^2)*2),1/2*AE12*SQRT((AF12/2)*2/AE12)^2,1/2*AE12*AG12^2),0)</f>
        <v/>
      </c>
      <c r="AI12" s="9">
        <f>IFERROR(IF(AF12-AH12-AJ12&lt;=0,0,AF12-AH12-AJ12),0)</f>
        <v/>
      </c>
      <c r="AJ12" s="10">
        <f>AH12</f>
        <v/>
      </c>
      <c r="AK12" s="8">
        <f>IFERROR(IF(AF12&lt;((1/2*AE12*AG12^2)*2),SQRT((AF12/2)*2/AE12),AG12),0)</f>
        <v/>
      </c>
      <c r="AL12" s="9">
        <f>IFERROR(AI12/AD12,0)</f>
        <v/>
      </c>
      <c r="AM12" s="10">
        <f>AK12</f>
        <v/>
      </c>
      <c r="AN12" s="8">
        <f>IF(AC12&gt;0,AC12,SUM(AK12:AM12))</f>
        <v/>
      </c>
      <c r="AO12" s="32" t="n">
        <v>1</v>
      </c>
      <c r="AP12" s="10">
        <f>AN12*AO12</f>
        <v/>
      </c>
      <c r="AR12" s="14">
        <f>AR11+1</f>
        <v/>
      </c>
      <c r="AS12" s="492" t="inlineStr">
        <is>
          <t>4 way shuttle_Loaded</t>
        </is>
      </c>
      <c r="AT12" s="28" t="inlineStr">
        <is>
          <t>Move to location</t>
        </is>
      </c>
      <c r="AU12" s="9">
        <f>IFERROR(VLOOKUP(AS12,'Master List'!$A:$D,2,0),0)</f>
        <v/>
      </c>
      <c r="AV12" s="9">
        <f>IFERROR(VLOOKUP(AS12,'Master List'!$A:$D,3,0),0)</f>
        <v/>
      </c>
      <c r="AW12" s="9">
        <f>IFERROR(VLOOKUP(AS12,'Master List'!$A:$D,4,0),0)</f>
        <v/>
      </c>
      <c r="AX12" s="32">
        <f>C23</f>
        <v/>
      </c>
      <c r="AY12" s="7">
        <f>IFERROR(AV12/AW12,0)</f>
        <v/>
      </c>
      <c r="AZ12" s="8">
        <f>IFERROR(IF(AX12&lt;((1/2*AW12*AY12^2)*2),1/2*AW12*SQRT((AX12/2)*2/AW12)^2,1/2*AW12*AY12^2),0)</f>
        <v/>
      </c>
      <c r="BA12" s="9">
        <f>IFERROR(IF(AX12-AZ12-BB12&lt;=0,0,AX12-AZ12-BB12),0)</f>
        <v/>
      </c>
      <c r="BB12" s="10">
        <f>AZ12</f>
        <v/>
      </c>
      <c r="BC12" s="8">
        <f>IFERROR(IF(AX12&lt;((1/2*AW12*AY12^2)*2),SQRT((AX12/2)*2/AW12),AY12),0)</f>
        <v/>
      </c>
      <c r="BD12" s="9">
        <f>IFERROR(BA12/AV12,0)</f>
        <v/>
      </c>
      <c r="BE12" s="10">
        <f>BC12</f>
        <v/>
      </c>
      <c r="BF12" s="8">
        <f>IF(AU12&gt;0,AU12,SUM(BC12:BE12))</f>
        <v/>
      </c>
      <c r="BG12" s="32" t="n">
        <v>1</v>
      </c>
      <c r="BH12" s="10">
        <f>BF12*BG12</f>
        <v/>
      </c>
      <c r="BJ12" s="14">
        <f>BJ11+1</f>
        <v/>
      </c>
      <c r="BK12" s="492" t="inlineStr">
        <is>
          <t>4 way shuttle_Loaded</t>
        </is>
      </c>
      <c r="BL12" s="28" t="inlineStr">
        <is>
          <t>Move to location</t>
        </is>
      </c>
      <c r="BM12" s="9">
        <f>IFERROR(VLOOKUP(BK12,'Master List'!$A:$D,2,0),0)</f>
        <v/>
      </c>
      <c r="BN12" s="9">
        <f>IFERROR(VLOOKUP(BK12,'Master List'!$A:$D,3,0),0)</f>
        <v/>
      </c>
      <c r="BO12" s="9">
        <f>IFERROR(VLOOKUP(BK12,'Master List'!$A:$D,4,0),0)</f>
        <v/>
      </c>
      <c r="BP12" s="32">
        <f>C24</f>
        <v/>
      </c>
      <c r="BQ12" s="7">
        <f>IFERROR(BN12/BO12,0)</f>
        <v/>
      </c>
      <c r="BR12" s="8">
        <f>IFERROR(IF(BP12&lt;((1/2*BO12*BQ12^2)*2),1/2*BO12*SQRT((BP12/2)*2/BO12)^2,1/2*BO12*BQ12^2),0)</f>
        <v/>
      </c>
      <c r="BS12" s="9">
        <f>IFERROR(IF(BP12-BR12-BT12&lt;=0,0,BP12-BR12-BT12),0)</f>
        <v/>
      </c>
      <c r="BT12" s="10">
        <f>BR12</f>
        <v/>
      </c>
      <c r="BU12" s="8">
        <f>IFERROR(IF(BP12&lt;((1/2*BO12*BQ12^2)*2),SQRT((BP12/2)*2/BO12),BQ12),0)</f>
        <v/>
      </c>
      <c r="BV12" s="9">
        <f>IFERROR(BS12/BN12,0)</f>
        <v/>
      </c>
      <c r="BW12" s="10">
        <f>BU12</f>
        <v/>
      </c>
      <c r="BX12" s="8">
        <f>IF(BM12&gt;0,BM12,SUM(BU12:BW12))</f>
        <v/>
      </c>
      <c r="BY12" s="32" t="n">
        <v>1</v>
      </c>
      <c r="BZ12" s="10">
        <f>BX12*BY12</f>
        <v/>
      </c>
    </row>
    <row r="13" ht="16" customHeight="1" s="516" thickBot="1">
      <c r="A13" s="348" t="inlineStr">
        <is>
          <t>Outbound PPH</t>
        </is>
      </c>
      <c r="B13" s="349" t="n">
        <v>63</v>
      </c>
      <c r="C13" s="495" t="inlineStr">
        <is>
          <t>Pallets in single cycle</t>
        </is>
      </c>
      <c r="D13" s="354">
        <f>MAX(B12:B13)-MIN(B12:B13)</f>
        <v/>
      </c>
      <c r="E13" s="355">
        <f>D13/SUM($D$12:$D$13)</f>
        <v/>
      </c>
      <c r="H13" s="14">
        <f>H12+1</f>
        <v/>
      </c>
      <c r="I13" s="492" t="inlineStr">
        <is>
          <t>4 way shuttle_Direction change time</t>
        </is>
      </c>
      <c r="J13" s="28" t="n"/>
      <c r="K13" s="9">
        <f>IFERROR(VLOOKUP(I13,'Master List'!$A:$D,2,0),0)</f>
        <v/>
      </c>
      <c r="L13" s="9">
        <f>IFERROR(VLOOKUP(I13,'Master List'!$A:$D,3,0),0)</f>
        <v/>
      </c>
      <c r="M13" s="9">
        <f>IFERROR(VLOOKUP(I13,'Master List'!$A:$D,4,0),0)</f>
        <v/>
      </c>
      <c r="N13" s="32" t="n"/>
      <c r="O13" s="7">
        <f>IFERROR(L13/M13,0)</f>
        <v/>
      </c>
      <c r="P13" s="8">
        <f>IFERROR(IF(N13&lt;((1/2*M13*O13^2)*2),1/2*M13*SQRT((N13/2)*2/M13)^2,1/2*M13*O13^2),0)</f>
        <v/>
      </c>
      <c r="Q13" s="9">
        <f>IFERROR(IF(N13-P13-R13&lt;=0,0,N13-P13-R13),0)</f>
        <v/>
      </c>
      <c r="R13" s="10">
        <f>P13</f>
        <v/>
      </c>
      <c r="S13" s="8">
        <f>IFERROR(IF(N13&lt;((1/2*M13*O13^2)*2),SQRT((N13/2)*2/M13),O13),0)</f>
        <v/>
      </c>
      <c r="T13" s="9">
        <f>IFERROR(Q13/L13,0)</f>
        <v/>
      </c>
      <c r="U13" s="10">
        <f>S13</f>
        <v/>
      </c>
      <c r="V13" s="8">
        <f>IF(K13&gt;0,K13,SUM(S13:U13))</f>
        <v/>
      </c>
      <c r="W13" s="32" t="n">
        <v>1</v>
      </c>
      <c r="X13" s="10">
        <f>V13*W13</f>
        <v/>
      </c>
      <c r="Z13" s="14">
        <f>Z12+1</f>
        <v/>
      </c>
      <c r="AA13" s="492" t="inlineStr">
        <is>
          <t>4 way shuttle_Direction change time</t>
        </is>
      </c>
      <c r="AB13" s="28" t="n"/>
      <c r="AC13" s="9">
        <f>IFERROR(VLOOKUP(AA13,'Master List'!$A:$D,2,0),0)</f>
        <v/>
      </c>
      <c r="AD13" s="9">
        <f>IFERROR(VLOOKUP(AA13,'Master List'!$A:$D,3,0),0)</f>
        <v/>
      </c>
      <c r="AE13" s="9">
        <f>IFERROR(VLOOKUP(AA13,'Master List'!$A:$D,4,0),0)</f>
        <v/>
      </c>
      <c r="AF13" s="32">
        <f>N13</f>
        <v/>
      </c>
      <c r="AG13" s="7">
        <f>IFERROR(AD13/AE13,0)</f>
        <v/>
      </c>
      <c r="AH13" s="8">
        <f>IFERROR(IF(AF13&lt;((1/2*AE13*AG13^2)*2),1/2*AE13*SQRT((AF13/2)*2/AE13)^2,1/2*AE13*AG13^2),0)</f>
        <v/>
      </c>
      <c r="AI13" s="9">
        <f>IFERROR(IF(AF13-AH13-AJ13&lt;=0,0,AF13-AH13-AJ13),0)</f>
        <v/>
      </c>
      <c r="AJ13" s="10">
        <f>AH13</f>
        <v/>
      </c>
      <c r="AK13" s="8">
        <f>IFERROR(IF(AF13&lt;((1/2*AE13*AG13^2)*2),SQRT((AF13/2)*2/AE13),AG13),0)</f>
        <v/>
      </c>
      <c r="AL13" s="9">
        <f>IFERROR(AI13/AD13,0)</f>
        <v/>
      </c>
      <c r="AM13" s="10">
        <f>AK13</f>
        <v/>
      </c>
      <c r="AN13" s="8">
        <f>IF(AC13&gt;0,AC13,SUM(AK13:AM13))</f>
        <v/>
      </c>
      <c r="AO13" s="32" t="n">
        <v>1</v>
      </c>
      <c r="AP13" s="10">
        <f>AN13*AO13</f>
        <v/>
      </c>
      <c r="AR13" s="14">
        <f>AR12+1</f>
        <v/>
      </c>
      <c r="AS13" s="492" t="inlineStr">
        <is>
          <t>4 way shuttle_Direction change time</t>
        </is>
      </c>
      <c r="AT13" s="28" t="n"/>
      <c r="AU13" s="9">
        <f>IFERROR(VLOOKUP(AS13,'Master List'!$A:$D,2,0),0)</f>
        <v/>
      </c>
      <c r="AV13" s="9">
        <f>IFERROR(VLOOKUP(AS13,'Master List'!$A:$D,3,0),0)</f>
        <v/>
      </c>
      <c r="AW13" s="9">
        <f>IFERROR(VLOOKUP(AS13,'Master List'!$A:$D,4,0),0)</f>
        <v/>
      </c>
      <c r="AX13" s="32">
        <f>AF13</f>
        <v/>
      </c>
      <c r="AY13" s="7">
        <f>IFERROR(AV13/AW13,0)</f>
        <v/>
      </c>
      <c r="AZ13" s="8">
        <f>IFERROR(IF(AX13&lt;((1/2*AW13*AY13^2)*2),1/2*AW13*SQRT((AX13/2)*2/AW13)^2,1/2*AW13*AY13^2),0)</f>
        <v/>
      </c>
      <c r="BA13" s="9">
        <f>IFERROR(IF(AX13-AZ13-BB13&lt;=0,0,AX13-AZ13-BB13),0)</f>
        <v/>
      </c>
      <c r="BB13" s="10">
        <f>AZ13</f>
        <v/>
      </c>
      <c r="BC13" s="8">
        <f>IFERROR(IF(AX13&lt;((1/2*AW13*AY13^2)*2),SQRT((AX13/2)*2/AW13),AY13),0)</f>
        <v/>
      </c>
      <c r="BD13" s="9">
        <f>IFERROR(BA13/AV13,0)</f>
        <v/>
      </c>
      <c r="BE13" s="10">
        <f>BC13</f>
        <v/>
      </c>
      <c r="BF13" s="8">
        <f>IF(AU13&gt;0,AU13,SUM(BC13:BE13))</f>
        <v/>
      </c>
      <c r="BG13" s="32" t="n">
        <v>1</v>
      </c>
      <c r="BH13" s="10">
        <f>BF13*BG13</f>
        <v/>
      </c>
      <c r="BJ13" s="14">
        <f>BJ12+1</f>
        <v/>
      </c>
      <c r="BK13" s="492" t="inlineStr">
        <is>
          <t>4 way shuttle_Direction change time</t>
        </is>
      </c>
      <c r="BL13" s="28" t="n"/>
      <c r="BM13" s="9">
        <f>IFERROR(VLOOKUP(BK13,'Master List'!$A:$D,2,0),0)</f>
        <v/>
      </c>
      <c r="BN13" s="9">
        <f>IFERROR(VLOOKUP(BK13,'Master List'!$A:$D,3,0),0)</f>
        <v/>
      </c>
      <c r="BO13" s="9">
        <f>IFERROR(VLOOKUP(BK13,'Master List'!$A:$D,4,0),0)</f>
        <v/>
      </c>
      <c r="BP13" s="32" t="n"/>
      <c r="BQ13" s="7">
        <f>IFERROR(BN13/BO13,0)</f>
        <v/>
      </c>
      <c r="BR13" s="8">
        <f>IFERROR(IF(BP13&lt;((1/2*BO13*BQ13^2)*2),1/2*BO13*SQRT((BP13/2)*2/BO13)^2,1/2*BO13*BQ13^2),0)</f>
        <v/>
      </c>
      <c r="BS13" s="9">
        <f>IFERROR(IF(BP13-BR13-BT13&lt;=0,0,BP13-BR13-BT13),0)</f>
        <v/>
      </c>
      <c r="BT13" s="10">
        <f>BR13</f>
        <v/>
      </c>
      <c r="BU13" s="8">
        <f>IFERROR(IF(BP13&lt;((1/2*BO13*BQ13^2)*2),SQRT((BP13/2)*2/BO13),BQ13),0)</f>
        <v/>
      </c>
      <c r="BV13" s="9">
        <f>IFERROR(BS13/BN13,0)</f>
        <v/>
      </c>
      <c r="BW13" s="10">
        <f>BU13</f>
        <v/>
      </c>
      <c r="BX13" s="8">
        <f>IF(BM13&gt;0,BM13,SUM(BU13:BW13))</f>
        <v/>
      </c>
      <c r="BY13" s="32" t="n">
        <v>1</v>
      </c>
      <c r="BZ13" s="10">
        <f>BX13*BY13</f>
        <v/>
      </c>
    </row>
    <row r="14" ht="20" customHeight="1" s="516" thickBot="1">
      <c r="A14" s="496" t="inlineStr">
        <is>
          <t>Throughput Pallets/ Hr (In + Out)</t>
        </is>
      </c>
      <c r="B14" s="497">
        <f>SUM(B12:B13)</f>
        <v/>
      </c>
      <c r="H14" s="14">
        <f>H13+1</f>
        <v/>
      </c>
      <c r="I14" s="492" t="inlineStr">
        <is>
          <t>4 way shuttle_Loaded</t>
        </is>
      </c>
      <c r="J14" s="28" t="inlineStr">
        <is>
          <t>Move in pallet storage lane to drop the pallet</t>
        </is>
      </c>
      <c r="K14" s="9">
        <f>IFERROR(VLOOKUP(I14,'Master List'!$A:$D,2,0),0)</f>
        <v/>
      </c>
      <c r="L14" s="9">
        <f>IFERROR(VLOOKUP(I14,'Master List'!$A:$D,3,0),0)</f>
        <v/>
      </c>
      <c r="M14" s="9">
        <f>IFERROR(VLOOKUP(I14,'Master List'!$A:$D,4,0),0)</f>
        <v/>
      </c>
      <c r="N14" s="32">
        <f>B39</f>
        <v/>
      </c>
      <c r="O14" s="7">
        <f>IFERROR(L14/M14,0)</f>
        <v/>
      </c>
      <c r="P14" s="8">
        <f>IFERROR(IF(N14&lt;((1/2*M14*O14^2)*2),1/2*M14*SQRT((N14/2)*2/M14)^2,1/2*M14*O14^2),0)</f>
        <v/>
      </c>
      <c r="Q14" s="9">
        <f>IFERROR(IF(N14-P14-R14&lt;=0,0,N14-P14-R14),0)</f>
        <v/>
      </c>
      <c r="R14" s="10">
        <f>P14</f>
        <v/>
      </c>
      <c r="S14" s="8">
        <f>IFERROR(IF(N14&lt;((1/2*M14*O14^2)*2),SQRT((N14/2)*2/M14),O14),0)</f>
        <v/>
      </c>
      <c r="T14" s="9">
        <f>IFERROR(Q14/L14,0)</f>
        <v/>
      </c>
      <c r="U14" s="10">
        <f>S14</f>
        <v/>
      </c>
      <c r="V14" s="8">
        <f>IF(K14&gt;0,K14,SUM(S14:U14))</f>
        <v/>
      </c>
      <c r="W14" s="32" t="n">
        <v>1</v>
      </c>
      <c r="X14" s="10">
        <f>V14*W14</f>
        <v/>
      </c>
      <c r="Z14" s="14">
        <f>Z13+1</f>
        <v/>
      </c>
      <c r="AA14" s="492" t="inlineStr">
        <is>
          <t>4 way shuttle_Loaded</t>
        </is>
      </c>
      <c r="AB14" s="28" t="inlineStr">
        <is>
          <t>Move in pallet storage lane to drop the pallet</t>
        </is>
      </c>
      <c r="AC14" s="9">
        <f>IFERROR(VLOOKUP(AA14,'Master List'!$A:$D,2,0),0)</f>
        <v/>
      </c>
      <c r="AD14" s="9">
        <f>IFERROR(VLOOKUP(AA14,'Master List'!$A:$D,3,0),0)</f>
        <v/>
      </c>
      <c r="AE14" s="9">
        <f>IFERROR(VLOOKUP(AA14,'Master List'!$A:$D,4,0),0)</f>
        <v/>
      </c>
      <c r="AF14" s="32">
        <f>N14</f>
        <v/>
      </c>
      <c r="AG14" s="7">
        <f>IFERROR(AD14/AE14,0)</f>
        <v/>
      </c>
      <c r="AH14" s="8">
        <f>IFERROR(IF(AF14&lt;((1/2*AE14*AG14^2)*2),1/2*AE14*SQRT((AF14/2)*2/AE14)^2,1/2*AE14*AG14^2),0)</f>
        <v/>
      </c>
      <c r="AI14" s="9">
        <f>IFERROR(IF(AF14-AH14-AJ14&lt;=0,0,AF14-AH14-AJ14),0)</f>
        <v/>
      </c>
      <c r="AJ14" s="10">
        <f>AH14</f>
        <v/>
      </c>
      <c r="AK14" s="8">
        <f>IFERROR(IF(AF14&lt;((1/2*AE14*AG14^2)*2),SQRT((AF14/2)*2/AE14),AG14),0)</f>
        <v/>
      </c>
      <c r="AL14" s="9">
        <f>IFERROR(AI14/AD14,0)</f>
        <v/>
      </c>
      <c r="AM14" s="10">
        <f>AK14</f>
        <v/>
      </c>
      <c r="AN14" s="8">
        <f>IF(AC14&gt;0,AC14,SUM(AK14:AM14))</f>
        <v/>
      </c>
      <c r="AO14" s="32" t="n">
        <v>1</v>
      </c>
      <c r="AP14" s="10">
        <f>AN14*AO14</f>
        <v/>
      </c>
      <c r="AR14" s="14">
        <f>AR13+1</f>
        <v/>
      </c>
      <c r="AS14" s="492" t="inlineStr">
        <is>
          <t>4 way shuttle_Loaded</t>
        </is>
      </c>
      <c r="AT14" s="28" t="inlineStr">
        <is>
          <t>Move in pallet storage lane to drop the pallet</t>
        </is>
      </c>
      <c r="AU14" s="9">
        <f>IFERROR(VLOOKUP(AS14,'Master List'!$A:$D,2,0),0)</f>
        <v/>
      </c>
      <c r="AV14" s="9">
        <f>IFERROR(VLOOKUP(AS14,'Master List'!$A:$D,3,0),0)</f>
        <v/>
      </c>
      <c r="AW14" s="9">
        <f>IFERROR(VLOOKUP(AS14,'Master List'!$A:$D,4,0),0)</f>
        <v/>
      </c>
      <c r="AX14" s="32">
        <f>AF14</f>
        <v/>
      </c>
      <c r="AY14" s="7">
        <f>IFERROR(AV14/AW14,0)</f>
        <v/>
      </c>
      <c r="AZ14" s="8">
        <f>IFERROR(IF(AX14&lt;((1/2*AW14*AY14^2)*2),1/2*AW14*SQRT((AX14/2)*2/AW14)^2,1/2*AW14*AY14^2),0)</f>
        <v/>
      </c>
      <c r="BA14" s="9">
        <f>IFERROR(IF(AX14-AZ14-BB14&lt;=0,0,AX14-AZ14-BB14),0)</f>
        <v/>
      </c>
      <c r="BB14" s="10">
        <f>AZ14</f>
        <v/>
      </c>
      <c r="BC14" s="8">
        <f>IFERROR(IF(AX14&lt;((1/2*AW14*AY14^2)*2),SQRT((AX14/2)*2/AW14),AY14),0)</f>
        <v/>
      </c>
      <c r="BD14" s="9">
        <f>IFERROR(BA14/AV14,0)</f>
        <v/>
      </c>
      <c r="BE14" s="10">
        <f>BC14</f>
        <v/>
      </c>
      <c r="BF14" s="8">
        <f>IF(AU14&gt;0,AU14,SUM(BC14:BE14))</f>
        <v/>
      </c>
      <c r="BG14" s="32" t="n">
        <v>1</v>
      </c>
      <c r="BH14" s="10">
        <f>BF14*BG14</f>
        <v/>
      </c>
      <c r="BJ14" s="14">
        <f>BJ13+1</f>
        <v/>
      </c>
      <c r="BK14" s="492" t="inlineStr">
        <is>
          <t>4 way shuttle_Loaded</t>
        </is>
      </c>
      <c r="BL14" s="28" t="inlineStr">
        <is>
          <t>Move in pallet storage lane to drop the pallet</t>
        </is>
      </c>
      <c r="BM14" s="9">
        <f>IFERROR(VLOOKUP(BK14,'Master List'!$A:$D,2,0),0)</f>
        <v/>
      </c>
      <c r="BN14" s="9">
        <f>IFERROR(VLOOKUP(BK14,'Master List'!$A:$D,3,0),0)</f>
        <v/>
      </c>
      <c r="BO14" s="9">
        <f>IFERROR(VLOOKUP(BK14,'Master List'!$A:$D,4,0),0)</f>
        <v/>
      </c>
      <c r="BP14" s="32">
        <f>B39</f>
        <v/>
      </c>
      <c r="BQ14" s="7">
        <f>IFERROR(BN14/BO14,0)</f>
        <v/>
      </c>
      <c r="BR14" s="8">
        <f>IFERROR(IF(BP14&lt;((1/2*BO14*BQ14^2)*2),1/2*BO14*SQRT((BP14/2)*2/BO14)^2,1/2*BO14*BQ14^2),0)</f>
        <v/>
      </c>
      <c r="BS14" s="9">
        <f>IFERROR(IF(BP14-BR14-BT14&lt;=0,0,BP14-BR14-BT14),0)</f>
        <v/>
      </c>
      <c r="BT14" s="10">
        <f>BR14</f>
        <v/>
      </c>
      <c r="BU14" s="8">
        <f>IFERROR(IF(BP14&lt;((1/2*BO14*BQ14^2)*2),SQRT((BP14/2)*2/BO14),BQ14),0)</f>
        <v/>
      </c>
      <c r="BV14" s="9">
        <f>IFERROR(BS14/BN14,0)</f>
        <v/>
      </c>
      <c r="BW14" s="10">
        <f>BU14</f>
        <v/>
      </c>
      <c r="BX14" s="8">
        <f>IF(BM14&gt;0,BM14,SUM(BU14:BW14))</f>
        <v/>
      </c>
      <c r="BY14" s="32" t="n">
        <v>1</v>
      </c>
      <c r="BZ14" s="10">
        <f>BX14*BY14</f>
        <v/>
      </c>
    </row>
    <row r="15">
      <c r="H15" s="14">
        <f>H14+1</f>
        <v/>
      </c>
      <c r="I15" s="492" t="inlineStr">
        <is>
          <t>4 way shuttle_Lifting time</t>
        </is>
      </c>
      <c r="J15" s="28" t="inlineStr">
        <is>
          <t>Drop the pallet</t>
        </is>
      </c>
      <c r="K15" s="9">
        <f>IFERROR(VLOOKUP(I15,'Master List'!$A:$D,2,0),0)</f>
        <v/>
      </c>
      <c r="L15" s="9">
        <f>IFERROR(VLOOKUP(I15,'Master List'!$A:$D,3,0),0)</f>
        <v/>
      </c>
      <c r="M15" s="9">
        <f>IFERROR(VLOOKUP(I15,'Master List'!$A:$D,4,0),0)</f>
        <v/>
      </c>
      <c r="N15" s="32" t="n"/>
      <c r="O15" s="7">
        <f>IFERROR(L15/M15,0)</f>
        <v/>
      </c>
      <c r="P15" s="8">
        <f>IFERROR(IF(N15&lt;((1/2*M15*O15^2)*2),1/2*M15*SQRT((N15/2)*2/M15)^2,1/2*M15*O15^2),0)</f>
        <v/>
      </c>
      <c r="Q15" s="9">
        <f>IFERROR(IF(N15-P15-R15&lt;=0,0,N15-P15-R15),0)</f>
        <v/>
      </c>
      <c r="R15" s="10">
        <f>P15</f>
        <v/>
      </c>
      <c r="S15" s="8">
        <f>IFERROR(IF(N15&lt;((1/2*M15*O15^2)*2),SQRT((N15/2)*2/M15),O15),0)</f>
        <v/>
      </c>
      <c r="T15" s="9">
        <f>IFERROR(Q15/L15,0)</f>
        <v/>
      </c>
      <c r="U15" s="10">
        <f>S15</f>
        <v/>
      </c>
      <c r="V15" s="8">
        <f>IF(K15&gt;0,K15,SUM(S15:U15))</f>
        <v/>
      </c>
      <c r="W15" s="32" t="n">
        <v>1</v>
      </c>
      <c r="X15" s="10">
        <f>V15*W15</f>
        <v/>
      </c>
      <c r="Z15" s="14">
        <f>Z14+1</f>
        <v/>
      </c>
      <c r="AA15" s="492" t="inlineStr">
        <is>
          <t>4 way shuttle_Lifting time</t>
        </is>
      </c>
      <c r="AB15" s="28" t="inlineStr">
        <is>
          <t>Drop the pallet</t>
        </is>
      </c>
      <c r="AC15" s="9">
        <f>IFERROR(VLOOKUP(AA15,'Master List'!$A:$D,2,0),0)</f>
        <v/>
      </c>
      <c r="AD15" s="9">
        <f>IFERROR(VLOOKUP(AA15,'Master List'!$A:$D,3,0),0)</f>
        <v/>
      </c>
      <c r="AE15" s="9">
        <f>IFERROR(VLOOKUP(AA15,'Master List'!$A:$D,4,0),0)</f>
        <v/>
      </c>
      <c r="AF15" s="32">
        <f>N15</f>
        <v/>
      </c>
      <c r="AG15" s="7">
        <f>IFERROR(AD15/AE15,0)</f>
        <v/>
      </c>
      <c r="AH15" s="8">
        <f>IFERROR(IF(AF15&lt;((1/2*AE15*AG15^2)*2),1/2*AE15*SQRT((AF15/2)*2/AE15)^2,1/2*AE15*AG15^2),0)</f>
        <v/>
      </c>
      <c r="AI15" s="9">
        <f>IFERROR(IF(AF15-AH15-AJ15&lt;=0,0,AF15-AH15-AJ15),0)</f>
        <v/>
      </c>
      <c r="AJ15" s="10">
        <f>AH15</f>
        <v/>
      </c>
      <c r="AK15" s="8">
        <f>IFERROR(IF(AF15&lt;((1/2*AE15*AG15^2)*2),SQRT((AF15/2)*2/AE15),AG15),0)</f>
        <v/>
      </c>
      <c r="AL15" s="9">
        <f>IFERROR(AI15/AD15,0)</f>
        <v/>
      </c>
      <c r="AM15" s="10">
        <f>AK15</f>
        <v/>
      </c>
      <c r="AN15" s="8">
        <f>IF(AC15&gt;0,AC15,SUM(AK15:AM15))</f>
        <v/>
      </c>
      <c r="AO15" s="32" t="n">
        <v>1</v>
      </c>
      <c r="AP15" s="10">
        <f>AN15*AO15</f>
        <v/>
      </c>
      <c r="AR15" s="14">
        <f>AR14+1</f>
        <v/>
      </c>
      <c r="AS15" s="492" t="inlineStr">
        <is>
          <t>4 way shuttle_Lifting time</t>
        </is>
      </c>
      <c r="AT15" s="28" t="inlineStr">
        <is>
          <t>Drop the pallet</t>
        </is>
      </c>
      <c r="AU15" s="9">
        <f>IFERROR(VLOOKUP(AS15,'Master List'!$A:$D,2,0),0)</f>
        <v/>
      </c>
      <c r="AV15" s="9">
        <f>IFERROR(VLOOKUP(AS15,'Master List'!$A:$D,3,0),0)</f>
        <v/>
      </c>
      <c r="AW15" s="9">
        <f>IFERROR(VLOOKUP(AS15,'Master List'!$A:$D,4,0),0)</f>
        <v/>
      </c>
      <c r="AX15" s="32">
        <f>AF15</f>
        <v/>
      </c>
      <c r="AY15" s="7">
        <f>IFERROR(AV15/AW15,0)</f>
        <v/>
      </c>
      <c r="AZ15" s="8">
        <f>IFERROR(IF(AX15&lt;((1/2*AW15*AY15^2)*2),1/2*AW15*SQRT((AX15/2)*2/AW15)^2,1/2*AW15*AY15^2),0)</f>
        <v/>
      </c>
      <c r="BA15" s="9">
        <f>IFERROR(IF(AX15-AZ15-BB15&lt;=0,0,AX15-AZ15-BB15),0)</f>
        <v/>
      </c>
      <c r="BB15" s="10">
        <f>AZ15</f>
        <v/>
      </c>
      <c r="BC15" s="8">
        <f>IFERROR(IF(AX15&lt;((1/2*AW15*AY15^2)*2),SQRT((AX15/2)*2/AW15),AY15),0)</f>
        <v/>
      </c>
      <c r="BD15" s="9">
        <f>IFERROR(BA15/AV15,0)</f>
        <v/>
      </c>
      <c r="BE15" s="10">
        <f>BC15</f>
        <v/>
      </c>
      <c r="BF15" s="8">
        <f>IF(AU15&gt;0,AU15,SUM(BC15:BE15))</f>
        <v/>
      </c>
      <c r="BG15" s="32" t="n">
        <v>1</v>
      </c>
      <c r="BH15" s="10">
        <f>BF15*BG15</f>
        <v/>
      </c>
      <c r="BJ15" s="14">
        <f>BJ14+1</f>
        <v/>
      </c>
      <c r="BK15" s="492" t="inlineStr">
        <is>
          <t>4 way shuttle_Lifting time</t>
        </is>
      </c>
      <c r="BL15" s="28" t="inlineStr">
        <is>
          <t>Drop the pallet</t>
        </is>
      </c>
      <c r="BM15" s="9">
        <f>IFERROR(VLOOKUP(BK15,'Master List'!$A:$D,2,0),0)</f>
        <v/>
      </c>
      <c r="BN15" s="9">
        <f>IFERROR(VLOOKUP(BK15,'Master List'!$A:$D,3,0),0)</f>
        <v/>
      </c>
      <c r="BO15" s="9">
        <f>IFERROR(VLOOKUP(BK15,'Master List'!$A:$D,4,0),0)</f>
        <v/>
      </c>
      <c r="BP15" s="32" t="n"/>
      <c r="BQ15" s="7">
        <f>IFERROR(BN15/BO15,0)</f>
        <v/>
      </c>
      <c r="BR15" s="8">
        <f>IFERROR(IF(BP15&lt;((1/2*BO15*BQ15^2)*2),1/2*BO15*SQRT((BP15/2)*2/BO15)^2,1/2*BO15*BQ15^2),0)</f>
        <v/>
      </c>
      <c r="BS15" s="9">
        <f>IFERROR(IF(BP15-BR15-BT15&lt;=0,0,BP15-BR15-BT15),0)</f>
        <v/>
      </c>
      <c r="BT15" s="10">
        <f>BR15</f>
        <v/>
      </c>
      <c r="BU15" s="8">
        <f>IFERROR(IF(BP15&lt;((1/2*BO15*BQ15^2)*2),SQRT((BP15/2)*2/BO15),BQ15),0)</f>
        <v/>
      </c>
      <c r="BV15" s="9">
        <f>IFERROR(BS15/BN15,0)</f>
        <v/>
      </c>
      <c r="BW15" s="10">
        <f>BU15</f>
        <v/>
      </c>
      <c r="BX15" s="8">
        <f>IF(BM15&gt;0,BM15,SUM(BU15:BW15))</f>
        <v/>
      </c>
      <c r="BY15" s="32" t="n">
        <v>1</v>
      </c>
      <c r="BZ15" s="10">
        <f>BX15*BY15</f>
        <v/>
      </c>
    </row>
    <row r="16">
      <c r="A16" s="33" t="inlineStr">
        <is>
          <t>Aisle length max m (Highway lane)</t>
        </is>
      </c>
      <c r="B16" s="498" t="n">
        <v>120</v>
      </c>
      <c r="C16" s="1" t="inlineStr">
        <is>
          <t>Max length travelled by shuttle in a level in meters</t>
        </is>
      </c>
      <c r="H16" s="14">
        <f>H15+1</f>
        <v/>
      </c>
      <c r="I16" s="492" t="inlineStr">
        <is>
          <t>4 way shuttle_Unloaded</t>
        </is>
      </c>
      <c r="J16" s="28" t="inlineStr">
        <is>
          <t>Come back to highway aisle</t>
        </is>
      </c>
      <c r="K16" s="9">
        <f>IFERROR(VLOOKUP(I16,'Master List'!$A:$D,2,0),0)</f>
        <v/>
      </c>
      <c r="L16" s="9">
        <f>IFERROR(VLOOKUP(I16,'Master List'!$A:$D,3,0),0)</f>
        <v/>
      </c>
      <c r="M16" s="9">
        <f>IFERROR(VLOOKUP(I16,'Master List'!$A:$D,4,0),0)</f>
        <v/>
      </c>
      <c r="N16" s="32">
        <f>N14</f>
        <v/>
      </c>
      <c r="O16" s="7">
        <f>IFERROR(L16/M16,0)</f>
        <v/>
      </c>
      <c r="P16" s="8">
        <f>IFERROR(IF(N16&lt;((1/2*M16*O16^2)*2),1/2*M16*SQRT((N16/2)*2/M16)^2,1/2*M16*O16^2),0)</f>
        <v/>
      </c>
      <c r="Q16" s="9">
        <f>IFERROR(IF(N16-P16-R16&lt;=0,0,N16-P16-R16),0)</f>
        <v/>
      </c>
      <c r="R16" s="10">
        <f>P16</f>
        <v/>
      </c>
      <c r="S16" s="8">
        <f>IFERROR(IF(N16&lt;((1/2*M16*O16^2)*2),SQRT((N16/2)*2/M16),O16),0)</f>
        <v/>
      </c>
      <c r="T16" s="9">
        <f>IFERROR(Q16/L16,0)</f>
        <v/>
      </c>
      <c r="U16" s="10">
        <f>S16</f>
        <v/>
      </c>
      <c r="V16" s="8">
        <f>IF(K16&gt;0,K16,SUM(S16:U16))</f>
        <v/>
      </c>
      <c r="W16" s="32" t="n">
        <v>1</v>
      </c>
      <c r="X16" s="10">
        <f>V16*W16</f>
        <v/>
      </c>
      <c r="Z16" s="14">
        <f>Z15+1</f>
        <v/>
      </c>
      <c r="AA16" s="492" t="inlineStr">
        <is>
          <t>4 way shuttle_Unloaded</t>
        </is>
      </c>
      <c r="AB16" s="28" t="inlineStr">
        <is>
          <t>Come back to highway aisle</t>
        </is>
      </c>
      <c r="AC16" s="9">
        <f>IFERROR(VLOOKUP(AA16,'Master List'!$A:$D,2,0),0)</f>
        <v/>
      </c>
      <c r="AD16" s="9">
        <f>IFERROR(VLOOKUP(AA16,'Master List'!$A:$D,3,0),0)</f>
        <v/>
      </c>
      <c r="AE16" s="9">
        <f>IFERROR(VLOOKUP(AA16,'Master List'!$A:$D,4,0),0)</f>
        <v/>
      </c>
      <c r="AF16" s="32">
        <f>N16</f>
        <v/>
      </c>
      <c r="AG16" s="7">
        <f>IFERROR(AD16/AE16,0)</f>
        <v/>
      </c>
      <c r="AH16" s="8">
        <f>IFERROR(IF(AF16&lt;((1/2*AE16*AG16^2)*2),1/2*AE16*SQRT((AF16/2)*2/AE16)^2,1/2*AE16*AG16^2),0)</f>
        <v/>
      </c>
      <c r="AI16" s="9">
        <f>IFERROR(IF(AF16-AH16-AJ16&lt;=0,0,AF16-AH16-AJ16),0)</f>
        <v/>
      </c>
      <c r="AJ16" s="10">
        <f>AH16</f>
        <v/>
      </c>
      <c r="AK16" s="8">
        <f>IFERROR(IF(AF16&lt;((1/2*AE16*AG16^2)*2),SQRT((AF16/2)*2/AE16),AG16),0)</f>
        <v/>
      </c>
      <c r="AL16" s="9">
        <f>IFERROR(AI16/AD16,0)</f>
        <v/>
      </c>
      <c r="AM16" s="10">
        <f>AK16</f>
        <v/>
      </c>
      <c r="AN16" s="8">
        <f>IF(AC16&gt;0,AC16,SUM(AK16:AM16))</f>
        <v/>
      </c>
      <c r="AO16" s="32" t="n">
        <v>1</v>
      </c>
      <c r="AP16" s="10">
        <f>AN16*AO16</f>
        <v/>
      </c>
      <c r="AR16" s="14">
        <f>AR15+1</f>
        <v/>
      </c>
      <c r="AS16" s="492" t="inlineStr">
        <is>
          <t>4 way shuttle_Unloaded</t>
        </is>
      </c>
      <c r="AT16" s="28" t="inlineStr">
        <is>
          <t>Come back to highway aisle</t>
        </is>
      </c>
      <c r="AU16" s="9">
        <f>IFERROR(VLOOKUP(AS16,'Master List'!$A:$D,2,0),0)</f>
        <v/>
      </c>
      <c r="AV16" s="9">
        <f>IFERROR(VLOOKUP(AS16,'Master List'!$A:$D,3,0),0)</f>
        <v/>
      </c>
      <c r="AW16" s="9">
        <f>IFERROR(VLOOKUP(AS16,'Master List'!$A:$D,4,0),0)</f>
        <v/>
      </c>
      <c r="AX16" s="32">
        <f>AF16</f>
        <v/>
      </c>
      <c r="AY16" s="7">
        <f>IFERROR(AV16/AW16,0)</f>
        <v/>
      </c>
      <c r="AZ16" s="8">
        <f>IFERROR(IF(AX16&lt;((1/2*AW16*AY16^2)*2),1/2*AW16*SQRT((AX16/2)*2/AW16)^2,1/2*AW16*AY16^2),0)</f>
        <v/>
      </c>
      <c r="BA16" s="9">
        <f>IFERROR(IF(AX16-AZ16-BB16&lt;=0,0,AX16-AZ16-BB16),0)</f>
        <v/>
      </c>
      <c r="BB16" s="10">
        <f>AZ16</f>
        <v/>
      </c>
      <c r="BC16" s="8">
        <f>IFERROR(IF(AX16&lt;((1/2*AW16*AY16^2)*2),SQRT((AX16/2)*2/AW16),AY16),0)</f>
        <v/>
      </c>
      <c r="BD16" s="9">
        <f>IFERROR(BA16/AV16,0)</f>
        <v/>
      </c>
      <c r="BE16" s="10">
        <f>BC16</f>
        <v/>
      </c>
      <c r="BF16" s="8">
        <f>IF(AU16&gt;0,AU16,SUM(BC16:BE16))</f>
        <v/>
      </c>
      <c r="BG16" s="32" t="n">
        <v>1</v>
      </c>
      <c r="BH16" s="10">
        <f>BF16*BG16</f>
        <v/>
      </c>
      <c r="BJ16" s="14">
        <f>BJ15+1</f>
        <v/>
      </c>
      <c r="BK16" s="492" t="inlineStr">
        <is>
          <t>4 way shuttle_Unloaded</t>
        </is>
      </c>
      <c r="BL16" s="28" t="inlineStr">
        <is>
          <t>Come back to highway aisle</t>
        </is>
      </c>
      <c r="BM16" s="9">
        <f>IFERROR(VLOOKUP(BK16,'Master List'!$A:$D,2,0),0)</f>
        <v/>
      </c>
      <c r="BN16" s="9">
        <f>IFERROR(VLOOKUP(BK16,'Master List'!$A:$D,3,0),0)</f>
        <v/>
      </c>
      <c r="BO16" s="9">
        <f>IFERROR(VLOOKUP(BK16,'Master List'!$A:$D,4,0),0)</f>
        <v/>
      </c>
      <c r="BP16" s="32">
        <f>BP14</f>
        <v/>
      </c>
      <c r="BQ16" s="7">
        <f>IFERROR(BN16/BO16,0)</f>
        <v/>
      </c>
      <c r="BR16" s="8">
        <f>IFERROR(IF(BP16&lt;((1/2*BO16*BQ16^2)*2),1/2*BO16*SQRT((BP16/2)*2/BO16)^2,1/2*BO16*BQ16^2),0)</f>
        <v/>
      </c>
      <c r="BS16" s="9">
        <f>IFERROR(IF(BP16-BR16-BT16&lt;=0,0,BP16-BR16-BT16),0)</f>
        <v/>
      </c>
      <c r="BT16" s="10">
        <f>BR16</f>
        <v/>
      </c>
      <c r="BU16" s="8">
        <f>IFERROR(IF(BP16&lt;((1/2*BO16*BQ16^2)*2),SQRT((BP16/2)*2/BO16),BQ16),0)</f>
        <v/>
      </c>
      <c r="BV16" s="9">
        <f>IFERROR(BS16/BN16,0)</f>
        <v/>
      </c>
      <c r="BW16" s="10">
        <f>BU16</f>
        <v/>
      </c>
      <c r="BX16" s="8">
        <f>IF(BM16&gt;0,BM16,SUM(BU16:BW16))</f>
        <v/>
      </c>
      <c r="BY16" s="32" t="n">
        <v>1</v>
      </c>
      <c r="BZ16" s="10">
        <f>BX16*BY16</f>
        <v/>
      </c>
    </row>
    <row r="17">
      <c r="A17" s="33" t="inlineStr">
        <is>
          <t>Travel depth max m (Inside pallet storage lane)</t>
        </is>
      </c>
      <c r="B17" s="498" t="n">
        <v>14</v>
      </c>
      <c r="C17" s="1" t="inlineStr">
        <is>
          <t>Max length travelled by shuttle in rack depth</t>
        </is>
      </c>
      <c r="H17" s="14">
        <f>H16+1</f>
        <v/>
      </c>
      <c r="I17" s="492" t="inlineStr">
        <is>
          <t>4 way shuttle_Direction change time</t>
        </is>
      </c>
      <c r="J17" s="28" t="n"/>
      <c r="K17" s="9">
        <f>IFERROR(VLOOKUP(I17,'Master List'!$A:$D,2,0),0)</f>
        <v/>
      </c>
      <c r="L17" s="9">
        <f>IFERROR(VLOOKUP(I17,'Master List'!$A:$D,3,0),0)</f>
        <v/>
      </c>
      <c r="M17" s="9">
        <f>IFERROR(VLOOKUP(I17,'Master List'!$A:$D,4,0),0)</f>
        <v/>
      </c>
      <c r="N17" s="32" t="n"/>
      <c r="O17" s="7">
        <f>IFERROR(L17/M17,0)</f>
        <v/>
      </c>
      <c r="P17" s="8">
        <f>IFERROR(IF(N17&lt;((1/2*M17*O17^2)*2),1/2*M17*SQRT((N17/2)*2/M17)^2,1/2*M17*O17^2),0)</f>
        <v/>
      </c>
      <c r="Q17" s="9">
        <f>IFERROR(IF(N17-P17-R17&lt;=0,0,N17-P17-R17),0)</f>
        <v/>
      </c>
      <c r="R17" s="10">
        <f>P17</f>
        <v/>
      </c>
      <c r="S17" s="8">
        <f>IFERROR(IF(N17&lt;((1/2*M17*O17^2)*2),SQRT((N17/2)*2/M17),O17),0)</f>
        <v/>
      </c>
      <c r="T17" s="9">
        <f>IFERROR(Q17/L17,0)</f>
        <v/>
      </c>
      <c r="U17" s="10">
        <f>S17</f>
        <v/>
      </c>
      <c r="V17" s="8">
        <f>IF(K17&gt;0,K17,SUM(S17:U17))</f>
        <v/>
      </c>
      <c r="W17" s="32" t="n">
        <v>1</v>
      </c>
      <c r="X17" s="10">
        <f>V17*W17</f>
        <v/>
      </c>
      <c r="Z17" s="14">
        <f>Z16+1</f>
        <v/>
      </c>
      <c r="AA17" s="492" t="inlineStr">
        <is>
          <t>4 way shuttle_Direction change time</t>
        </is>
      </c>
      <c r="AB17" s="28" t="n"/>
      <c r="AC17" s="9">
        <f>IFERROR(VLOOKUP(AA17,'Master List'!$A:$D,2,0),0)</f>
        <v/>
      </c>
      <c r="AD17" s="9">
        <f>IFERROR(VLOOKUP(AA17,'Master List'!$A:$D,3,0),0)</f>
        <v/>
      </c>
      <c r="AE17" s="9">
        <f>IFERROR(VLOOKUP(AA17,'Master List'!$A:$D,4,0),0)</f>
        <v/>
      </c>
      <c r="AF17" s="32">
        <f>N17</f>
        <v/>
      </c>
      <c r="AG17" s="7">
        <f>IFERROR(AD17/AE17,0)</f>
        <v/>
      </c>
      <c r="AH17" s="8">
        <f>IFERROR(IF(AF17&lt;((1/2*AE17*AG17^2)*2),1/2*AE17*SQRT((AF17/2)*2/AE17)^2,1/2*AE17*AG17^2),0)</f>
        <v/>
      </c>
      <c r="AI17" s="9">
        <f>IFERROR(IF(AF17-AH17-AJ17&lt;=0,0,AF17-AH17-AJ17),0)</f>
        <v/>
      </c>
      <c r="AJ17" s="10">
        <f>AH17</f>
        <v/>
      </c>
      <c r="AK17" s="8">
        <f>IFERROR(IF(AF17&lt;((1/2*AE17*AG17^2)*2),SQRT((AF17/2)*2/AE17),AG17),0)</f>
        <v/>
      </c>
      <c r="AL17" s="9">
        <f>IFERROR(AI17/AD17,0)</f>
        <v/>
      </c>
      <c r="AM17" s="10">
        <f>AK17</f>
        <v/>
      </c>
      <c r="AN17" s="8">
        <f>IF(AC17&gt;0,AC17,SUM(AK17:AM17))</f>
        <v/>
      </c>
      <c r="AO17" s="32" t="n">
        <v>1</v>
      </c>
      <c r="AP17" s="10">
        <f>AN17*AO17</f>
        <v/>
      </c>
      <c r="AR17" s="14">
        <f>AR16+1</f>
        <v/>
      </c>
      <c r="AS17" s="492" t="inlineStr">
        <is>
          <t>4 way shuttle_Direction change time</t>
        </is>
      </c>
      <c r="AT17" s="28" t="n"/>
      <c r="AU17" s="9">
        <f>IFERROR(VLOOKUP(AS17,'Master List'!$A:$D,2,0),0)</f>
        <v/>
      </c>
      <c r="AV17" s="9">
        <f>IFERROR(VLOOKUP(AS17,'Master List'!$A:$D,3,0),0)</f>
        <v/>
      </c>
      <c r="AW17" s="9">
        <f>IFERROR(VLOOKUP(AS17,'Master List'!$A:$D,4,0),0)</f>
        <v/>
      </c>
      <c r="AX17" s="32">
        <f>AF17</f>
        <v/>
      </c>
      <c r="AY17" s="7">
        <f>IFERROR(AV17/AW17,0)</f>
        <v/>
      </c>
      <c r="AZ17" s="8">
        <f>IFERROR(IF(AX17&lt;((1/2*AW17*AY17^2)*2),1/2*AW17*SQRT((AX17/2)*2/AW17)^2,1/2*AW17*AY17^2),0)</f>
        <v/>
      </c>
      <c r="BA17" s="9">
        <f>IFERROR(IF(AX17-AZ17-BB17&lt;=0,0,AX17-AZ17-BB17),0)</f>
        <v/>
      </c>
      <c r="BB17" s="10">
        <f>AZ17</f>
        <v/>
      </c>
      <c r="BC17" s="8">
        <f>IFERROR(IF(AX17&lt;((1/2*AW17*AY17^2)*2),SQRT((AX17/2)*2/AW17),AY17),0)</f>
        <v/>
      </c>
      <c r="BD17" s="9">
        <f>IFERROR(BA17/AV17,0)</f>
        <v/>
      </c>
      <c r="BE17" s="10">
        <f>BC17</f>
        <v/>
      </c>
      <c r="BF17" s="8">
        <f>IF(AU17&gt;0,AU17,SUM(BC17:BE17))</f>
        <v/>
      </c>
      <c r="BG17" s="32" t="n">
        <v>1</v>
      </c>
      <c r="BH17" s="10">
        <f>BF17*BG17</f>
        <v/>
      </c>
      <c r="BJ17" s="14">
        <f>BJ16+1</f>
        <v/>
      </c>
      <c r="BK17" s="492" t="inlineStr">
        <is>
          <t>4 way shuttle_Direction change time</t>
        </is>
      </c>
      <c r="BL17" s="28" t="n"/>
      <c r="BM17" s="9">
        <f>IFERROR(VLOOKUP(BK17,'Master List'!$A:$D,2,0),0)</f>
        <v/>
      </c>
      <c r="BN17" s="9">
        <f>IFERROR(VLOOKUP(BK17,'Master List'!$A:$D,3,0),0)</f>
        <v/>
      </c>
      <c r="BO17" s="9">
        <f>IFERROR(VLOOKUP(BK17,'Master List'!$A:$D,4,0),0)</f>
        <v/>
      </c>
      <c r="BP17" s="32" t="n"/>
      <c r="BQ17" s="7">
        <f>IFERROR(BN17/BO17,0)</f>
        <v/>
      </c>
      <c r="BR17" s="8">
        <f>IFERROR(IF(BP17&lt;((1/2*BO17*BQ17^2)*2),1/2*BO17*SQRT((BP17/2)*2/BO17)^2,1/2*BO17*BQ17^2),0)</f>
        <v/>
      </c>
      <c r="BS17" s="9">
        <f>IFERROR(IF(BP17-BR17-BT17&lt;=0,0,BP17-BR17-BT17),0)</f>
        <v/>
      </c>
      <c r="BT17" s="10">
        <f>BR17</f>
        <v/>
      </c>
      <c r="BU17" s="8">
        <f>IFERROR(IF(BP17&lt;((1/2*BO17*BQ17^2)*2),SQRT((BP17/2)*2/BO17),BQ17),0)</f>
        <v/>
      </c>
      <c r="BV17" s="9">
        <f>IFERROR(BS17/BN17,0)</f>
        <v/>
      </c>
      <c r="BW17" s="10">
        <f>BU17</f>
        <v/>
      </c>
      <c r="BX17" s="8">
        <f>IF(BM17&gt;0,BM17,SUM(BU17:BW17))</f>
        <v/>
      </c>
      <c r="BY17" s="32" t="n">
        <v>1</v>
      </c>
      <c r="BZ17" s="10">
        <f>BX17*BY17</f>
        <v/>
      </c>
    </row>
    <row r="18">
      <c r="A18" s="33" t="inlineStr">
        <is>
          <t>Pallet depth m</t>
        </is>
      </c>
      <c r="B18" s="499" t="n">
        <v>1.06</v>
      </c>
      <c r="C18" s="1" t="inlineStr">
        <is>
          <t>Lead side on multi pro travel direction</t>
        </is>
      </c>
      <c r="H18" s="14">
        <f>H17+1</f>
        <v/>
      </c>
      <c r="I18" s="492" t="inlineStr">
        <is>
          <t>4 way shuttle_Unloaded</t>
        </is>
      </c>
      <c r="J18" s="28" t="inlineStr">
        <is>
          <t>Move to next location to pick pallet</t>
        </is>
      </c>
      <c r="K18" s="9">
        <f>IFERROR(VLOOKUP(I18,'Master List'!$A:$D,2,0),0)</f>
        <v/>
      </c>
      <c r="L18" s="9">
        <f>IFERROR(VLOOKUP(I18,'Master List'!$A:$D,3,0),0)</f>
        <v/>
      </c>
      <c r="M18" s="9">
        <f>IFERROR(VLOOKUP(I18,'Master List'!$A:$D,4,0),0)</f>
        <v/>
      </c>
      <c r="N18" s="32">
        <f>B38</f>
        <v/>
      </c>
      <c r="O18" s="7">
        <f>IFERROR(L18/M18,0)</f>
        <v/>
      </c>
      <c r="P18" s="8">
        <f>IFERROR(IF(N18&lt;((1/2*M18*O18^2)*2),1/2*M18*SQRT((N18/2)*2/M18)^2,1/2*M18*O18^2),0)</f>
        <v/>
      </c>
      <c r="Q18" s="9">
        <f>IFERROR(IF(N18-P18-R18&lt;=0,0,N18-P18-R18),0)</f>
        <v/>
      </c>
      <c r="R18" s="10">
        <f>P18</f>
        <v/>
      </c>
      <c r="S18" s="8">
        <f>IFERROR(IF(N18&lt;((1/2*M18*O18^2)*2),SQRT((N18/2)*2/M18),O18),0)</f>
        <v/>
      </c>
      <c r="T18" s="9">
        <f>IFERROR(Q18/L18,0)</f>
        <v/>
      </c>
      <c r="U18" s="10">
        <f>S18</f>
        <v/>
      </c>
      <c r="V18" s="8">
        <f>IF(K18&gt;0,K18,SUM(S18:U18))</f>
        <v/>
      </c>
      <c r="W18" s="32" t="n">
        <v>1</v>
      </c>
      <c r="X18" s="10">
        <f>V18*W18</f>
        <v/>
      </c>
      <c r="Z18" s="14">
        <f>Z17+1</f>
        <v/>
      </c>
      <c r="AA18" s="492" t="inlineStr">
        <is>
          <t>4 way shuttle_Unloaded</t>
        </is>
      </c>
      <c r="AB18" s="28" t="inlineStr">
        <is>
          <t>Move to next location to pick pallet</t>
        </is>
      </c>
      <c r="AC18" s="9">
        <f>IFERROR(VLOOKUP(AA18,'Master List'!$A:$D,2,0),0)</f>
        <v/>
      </c>
      <c r="AD18" s="9">
        <f>IFERROR(VLOOKUP(AA18,'Master List'!$A:$D,3,0),0)</f>
        <v/>
      </c>
      <c r="AE18" s="9">
        <f>IFERROR(VLOOKUP(AA18,'Master List'!$A:$D,4,0),0)</f>
        <v/>
      </c>
      <c r="AF18" s="32">
        <f>N18</f>
        <v/>
      </c>
      <c r="AG18" s="7">
        <f>IFERROR(AD18/AE18,0)</f>
        <v/>
      </c>
      <c r="AH18" s="8">
        <f>IFERROR(IF(AF18&lt;((1/2*AE18*AG18^2)*2),1/2*AE18*SQRT((AF18/2)*2/AE18)^2,1/2*AE18*AG18^2),0)</f>
        <v/>
      </c>
      <c r="AI18" s="9">
        <f>IFERROR(IF(AF18-AH18-AJ18&lt;=0,0,AF18-AH18-AJ18),0)</f>
        <v/>
      </c>
      <c r="AJ18" s="10">
        <f>AH18</f>
        <v/>
      </c>
      <c r="AK18" s="8">
        <f>IFERROR(IF(AF18&lt;((1/2*AE18*AG18^2)*2),SQRT((AF18/2)*2/AE18),AG18),0)</f>
        <v/>
      </c>
      <c r="AL18" s="9">
        <f>IFERROR(AI18/AD18,0)</f>
        <v/>
      </c>
      <c r="AM18" s="10">
        <f>AK18</f>
        <v/>
      </c>
      <c r="AN18" s="8">
        <f>IF(AC18&gt;0,AC18,SUM(AK18:AM18))</f>
        <v/>
      </c>
      <c r="AO18" s="32" t="n">
        <v>1</v>
      </c>
      <c r="AP18" s="10">
        <f>AN18*AO18</f>
        <v/>
      </c>
      <c r="AR18" s="14">
        <f>AR17+1</f>
        <v/>
      </c>
      <c r="AS18" s="492" t="inlineStr">
        <is>
          <t>4 way shuttle_Unloaded</t>
        </is>
      </c>
      <c r="AT18" s="28" t="inlineStr">
        <is>
          <t>Move to next location to pick pallet</t>
        </is>
      </c>
      <c r="AU18" s="9">
        <f>IFERROR(VLOOKUP(AS18,'Master List'!$A:$D,2,0),0)</f>
        <v/>
      </c>
      <c r="AV18" s="9">
        <f>IFERROR(VLOOKUP(AS18,'Master List'!$A:$D,3,0),0)</f>
        <v/>
      </c>
      <c r="AW18" s="9">
        <f>IFERROR(VLOOKUP(AS18,'Master List'!$A:$D,4,0),0)</f>
        <v/>
      </c>
      <c r="AX18" s="32">
        <f>AF18</f>
        <v/>
      </c>
      <c r="AY18" s="7">
        <f>IFERROR(AV18/AW18,0)</f>
        <v/>
      </c>
      <c r="AZ18" s="8">
        <f>IFERROR(IF(AX18&lt;((1/2*AW18*AY18^2)*2),1/2*AW18*SQRT((AX18/2)*2/AW18)^2,1/2*AW18*AY18^2),0)</f>
        <v/>
      </c>
      <c r="BA18" s="9">
        <f>IFERROR(IF(AX18-AZ18-BB18&lt;=0,0,AX18-AZ18-BB18),0)</f>
        <v/>
      </c>
      <c r="BB18" s="10">
        <f>AZ18</f>
        <v/>
      </c>
      <c r="BC18" s="8">
        <f>IFERROR(IF(AX18&lt;((1/2*AW18*AY18^2)*2),SQRT((AX18/2)*2/AW18),AY18),0)</f>
        <v/>
      </c>
      <c r="BD18" s="9">
        <f>IFERROR(BA18/AV18,0)</f>
        <v/>
      </c>
      <c r="BE18" s="10">
        <f>BC18</f>
        <v/>
      </c>
      <c r="BF18" s="8">
        <f>IF(AU18&gt;0,AU18,SUM(BC18:BE18))</f>
        <v/>
      </c>
      <c r="BG18" s="32" t="n">
        <v>1</v>
      </c>
      <c r="BH18" s="10">
        <f>BF18*BG18</f>
        <v/>
      </c>
      <c r="BJ18" s="14">
        <f>BJ17+1</f>
        <v/>
      </c>
      <c r="BK18" s="492" t="inlineStr">
        <is>
          <t>4 way shuttle_Unloaded</t>
        </is>
      </c>
      <c r="BL18" s="28" t="inlineStr">
        <is>
          <t>Move back to lift</t>
        </is>
      </c>
      <c r="BM18" s="9">
        <f>IFERROR(VLOOKUP(BK18,'Master List'!$A:$D,2,0),0)</f>
        <v/>
      </c>
      <c r="BN18" s="9">
        <f>IFERROR(VLOOKUP(BK18,'Master List'!$A:$D,3,0),0)</f>
        <v/>
      </c>
      <c r="BO18" s="9">
        <f>IFERROR(VLOOKUP(BK18,'Master List'!$A:$D,4,0),0)</f>
        <v/>
      </c>
      <c r="BP18" s="32">
        <f>BP12</f>
        <v/>
      </c>
      <c r="BQ18" s="7">
        <f>IFERROR(BN18/BO18,0)</f>
        <v/>
      </c>
      <c r="BR18" s="8">
        <f>IFERROR(IF(BP18&lt;((1/2*BO18*BQ18^2)*2),1/2*BO18*SQRT((BP18/2)*2/BO18)^2,1/2*BO18*BQ18^2),0)</f>
        <v/>
      </c>
      <c r="BS18" s="9">
        <f>IFERROR(IF(BP18-BR18-BT18&lt;=0,0,BP18-BR18-BT18),0)</f>
        <v/>
      </c>
      <c r="BT18" s="10">
        <f>BR18</f>
        <v/>
      </c>
      <c r="BU18" s="8">
        <f>IFERROR(IF(BP18&lt;((1/2*BO18*BQ18^2)*2),SQRT((BP18/2)*2/BO18),BQ18),0)</f>
        <v/>
      </c>
      <c r="BV18" s="9">
        <f>IFERROR(BS18/BN18,0)</f>
        <v/>
      </c>
      <c r="BW18" s="10">
        <f>BU18</f>
        <v/>
      </c>
      <c r="BX18" s="8">
        <f>IF(BM18&gt;0,BM18,SUM(BU18:BW18))</f>
        <v/>
      </c>
      <c r="BY18" s="32" t="n">
        <v>1</v>
      </c>
      <c r="BZ18" s="10">
        <f>BX18*BY18</f>
        <v/>
      </c>
    </row>
    <row r="19">
      <c r="H19" s="14">
        <f>H18+1</f>
        <v/>
      </c>
      <c r="I19" s="492" t="inlineStr">
        <is>
          <t>4 way shuttle_Direction change time</t>
        </is>
      </c>
      <c r="J19" s="28" t="n"/>
      <c r="K19" s="9">
        <f>IFERROR(VLOOKUP(I19,'Master List'!$A:$D,2,0),0)</f>
        <v/>
      </c>
      <c r="L19" s="9">
        <f>IFERROR(VLOOKUP(I19,'Master List'!$A:$D,3,0),0)</f>
        <v/>
      </c>
      <c r="M19" s="9">
        <f>IFERROR(VLOOKUP(I19,'Master List'!$A:$D,4,0),0)</f>
        <v/>
      </c>
      <c r="N19" s="32" t="n"/>
      <c r="O19" s="7">
        <f>IFERROR(L19/M19,0)</f>
        <v/>
      </c>
      <c r="P19" s="8">
        <f>IFERROR(IF(N19&lt;((1/2*M19*O19^2)*2),1/2*M19*SQRT((N19/2)*2/M19)^2,1/2*M19*O19^2),0)</f>
        <v/>
      </c>
      <c r="Q19" s="9">
        <f>IFERROR(IF(N19-P19-R19&lt;=0,0,N19-P19-R19),0)</f>
        <v/>
      </c>
      <c r="R19" s="10">
        <f>P19</f>
        <v/>
      </c>
      <c r="S19" s="8">
        <f>IFERROR(IF(N19&lt;((1/2*M19*O19^2)*2),SQRT((N19/2)*2/M19),O19),0)</f>
        <v/>
      </c>
      <c r="T19" s="9">
        <f>IFERROR(Q19/L19,0)</f>
        <v/>
      </c>
      <c r="U19" s="10">
        <f>S19</f>
        <v/>
      </c>
      <c r="V19" s="8">
        <f>IF(K19&gt;0,K19,SUM(S19:U19))</f>
        <v/>
      </c>
      <c r="W19" s="32" t="n">
        <v>1</v>
      </c>
      <c r="X19" s="10">
        <f>V19*W19</f>
        <v/>
      </c>
      <c r="Z19" s="14">
        <f>Z18+1</f>
        <v/>
      </c>
      <c r="AA19" s="492" t="inlineStr">
        <is>
          <t>4 way shuttle_Direction change time</t>
        </is>
      </c>
      <c r="AB19" s="28" t="n"/>
      <c r="AC19" s="9">
        <f>IFERROR(VLOOKUP(AA19,'Master List'!$A:$D,2,0),0)</f>
        <v/>
      </c>
      <c r="AD19" s="9">
        <f>IFERROR(VLOOKUP(AA19,'Master List'!$A:$D,3,0),0)</f>
        <v/>
      </c>
      <c r="AE19" s="9">
        <f>IFERROR(VLOOKUP(AA19,'Master List'!$A:$D,4,0),0)</f>
        <v/>
      </c>
      <c r="AF19" s="32">
        <f>N19</f>
        <v/>
      </c>
      <c r="AG19" s="7">
        <f>IFERROR(AD19/AE19,0)</f>
        <v/>
      </c>
      <c r="AH19" s="8">
        <f>IFERROR(IF(AF19&lt;((1/2*AE19*AG19^2)*2),1/2*AE19*SQRT((AF19/2)*2/AE19)^2,1/2*AE19*AG19^2),0)</f>
        <v/>
      </c>
      <c r="AI19" s="9">
        <f>IFERROR(IF(AF19-AH19-AJ19&lt;=0,0,AF19-AH19-AJ19),0)</f>
        <v/>
      </c>
      <c r="AJ19" s="10">
        <f>AH19</f>
        <v/>
      </c>
      <c r="AK19" s="8">
        <f>IFERROR(IF(AF19&lt;((1/2*AE19*AG19^2)*2),SQRT((AF19/2)*2/AE19),AG19),0)</f>
        <v/>
      </c>
      <c r="AL19" s="9">
        <f>IFERROR(AI19/AD19,0)</f>
        <v/>
      </c>
      <c r="AM19" s="10">
        <f>AK19</f>
        <v/>
      </c>
      <c r="AN19" s="8">
        <f>IF(AC19&gt;0,AC19,SUM(AK19:AM19))</f>
        <v/>
      </c>
      <c r="AO19" s="32" t="n">
        <v>1</v>
      </c>
      <c r="AP19" s="10">
        <f>AN19*AO19</f>
        <v/>
      </c>
      <c r="AR19" s="14">
        <f>AR18+1</f>
        <v/>
      </c>
      <c r="AS19" s="492" t="inlineStr">
        <is>
          <t>4 way shuttle_Direction change time</t>
        </is>
      </c>
      <c r="AT19" s="28" t="n"/>
      <c r="AU19" s="9">
        <f>IFERROR(VLOOKUP(AS19,'Master List'!$A:$D,2,0),0)</f>
        <v/>
      </c>
      <c r="AV19" s="9">
        <f>IFERROR(VLOOKUP(AS19,'Master List'!$A:$D,3,0),0)</f>
        <v/>
      </c>
      <c r="AW19" s="9">
        <f>IFERROR(VLOOKUP(AS19,'Master List'!$A:$D,4,0),0)</f>
        <v/>
      </c>
      <c r="AX19" s="32">
        <f>AF19</f>
        <v/>
      </c>
      <c r="AY19" s="7">
        <f>IFERROR(AV19/AW19,0)</f>
        <v/>
      </c>
      <c r="AZ19" s="8">
        <f>IFERROR(IF(AX19&lt;((1/2*AW19*AY19^2)*2),1/2*AW19*SQRT((AX19/2)*2/AW19)^2,1/2*AW19*AY19^2),0)</f>
        <v/>
      </c>
      <c r="BA19" s="9">
        <f>IFERROR(IF(AX19-AZ19-BB19&lt;=0,0,AX19-AZ19-BB19),0)</f>
        <v/>
      </c>
      <c r="BB19" s="10">
        <f>AZ19</f>
        <v/>
      </c>
      <c r="BC19" s="8">
        <f>IFERROR(IF(AX19&lt;((1/2*AW19*AY19^2)*2),SQRT((AX19/2)*2/AW19),AY19),0)</f>
        <v/>
      </c>
      <c r="BD19" s="9">
        <f>IFERROR(BA19/AV19,0)</f>
        <v/>
      </c>
      <c r="BE19" s="10">
        <f>BC19</f>
        <v/>
      </c>
      <c r="BF19" s="8">
        <f>IF(AU19&gt;0,AU19,SUM(BC19:BE19))</f>
        <v/>
      </c>
      <c r="BG19" s="32" t="n">
        <v>1</v>
      </c>
      <c r="BH19" s="10">
        <f>BF19*BG19</f>
        <v/>
      </c>
      <c r="BJ19" s="14">
        <f>BJ18+1</f>
        <v/>
      </c>
      <c r="BK19" s="492" t="inlineStr">
        <is>
          <t>4 way shuttle_Unloaded</t>
        </is>
      </c>
      <c r="BL19" s="28" t="inlineStr">
        <is>
          <t>Move in Inbound buffer conveyor to pick new pallet</t>
        </is>
      </c>
      <c r="BM19" s="9">
        <f>IFERROR(VLOOKUP(BK19,'Master List'!$A:$D,2,0),0)</f>
        <v/>
      </c>
      <c r="BN19" s="9">
        <f>IFERROR(VLOOKUP(BK19,'Master List'!$A:$D,3,0),0)</f>
        <v/>
      </c>
      <c r="BO19" s="9">
        <f>IFERROR(VLOOKUP(BK19,'Master List'!$A:$D,4,0),0)</f>
        <v/>
      </c>
      <c r="BP19" s="32">
        <f>BP10</f>
        <v/>
      </c>
      <c r="BQ19" s="7">
        <f>IFERROR(BN19/BO19,0)</f>
        <v/>
      </c>
      <c r="BR19" s="8">
        <f>IFERROR(IF(BP19&lt;((1/2*BO19*BQ19^2)*2),1/2*BO19*SQRT((BP19/2)*2/BO19)^2,1/2*BO19*BQ19^2),0)</f>
        <v/>
      </c>
      <c r="BS19" s="9">
        <f>IFERROR(IF(BP19-BR19-BT19&lt;=0,0,BP19-BR19-BT19),0)</f>
        <v/>
      </c>
      <c r="BT19" s="10">
        <f>BR19</f>
        <v/>
      </c>
      <c r="BU19" s="8">
        <f>IFERROR(IF(BP19&lt;((1/2*BO19*BQ19^2)*2),SQRT((BP19/2)*2/BO19),BQ19),0)</f>
        <v/>
      </c>
      <c r="BV19" s="9">
        <f>IFERROR(BS19/BN19,0)</f>
        <v/>
      </c>
      <c r="BW19" s="10">
        <f>BU19</f>
        <v/>
      </c>
      <c r="BX19" s="8">
        <f>IF(BM19&gt;0,BM19,SUM(BU19:BW19))</f>
        <v/>
      </c>
      <c r="BY19" s="32" t="n">
        <v>1</v>
      </c>
      <c r="BZ19" s="10">
        <f>BX19*BY19</f>
        <v/>
      </c>
    </row>
    <row r="20">
      <c r="A20" s="33" t="n"/>
      <c r="B20" s="34" t="inlineStr">
        <is>
          <t>% of Aisle length</t>
        </is>
      </c>
      <c r="C20" s="34" t="inlineStr">
        <is>
          <t>Distance travelled M</t>
        </is>
      </c>
      <c r="D20" s="34" t="inlineStr">
        <is>
          <t>Cycles/ Hr</t>
        </is>
      </c>
      <c r="E20" s="34" t="inlineStr">
        <is>
          <t>Weightage</t>
        </is>
      </c>
      <c r="F20" s="34" t="inlineStr">
        <is>
          <t>Pallets/ Hr</t>
        </is>
      </c>
      <c r="H20" s="14">
        <f>H19+1</f>
        <v/>
      </c>
      <c r="I20" s="492" t="inlineStr">
        <is>
          <t>4 way shuttle_Unloaded</t>
        </is>
      </c>
      <c r="J20" s="28" t="inlineStr">
        <is>
          <t>Move in pallet storage lane to pick the pallet</t>
        </is>
      </c>
      <c r="K20" s="9">
        <f>IFERROR(VLOOKUP(I20,'Master List'!$A:$D,2,0),0)</f>
        <v/>
      </c>
      <c r="L20" s="9">
        <f>IFERROR(VLOOKUP(I20,'Master List'!$A:$D,3,0),0)</f>
        <v/>
      </c>
      <c r="M20" s="9">
        <f>IFERROR(VLOOKUP(I20,'Master List'!$A:$D,4,0),0)</f>
        <v/>
      </c>
      <c r="N20" s="32">
        <f>N14</f>
        <v/>
      </c>
      <c r="O20" s="7">
        <f>IFERROR(L20/M20,0)</f>
        <v/>
      </c>
      <c r="P20" s="8">
        <f>IFERROR(IF(N20&lt;((1/2*M20*O20^2)*2),1/2*M20*SQRT((N20/2)*2/M20)^2,1/2*M20*O20^2),0)</f>
        <v/>
      </c>
      <c r="Q20" s="9">
        <f>IFERROR(IF(N20-P20-R20&lt;=0,0,N20-P20-R20),0)</f>
        <v/>
      </c>
      <c r="R20" s="10">
        <f>P20</f>
        <v/>
      </c>
      <c r="S20" s="8">
        <f>IFERROR(IF(N20&lt;((1/2*M20*O20^2)*2),SQRT((N20/2)*2/M20),O20),0)</f>
        <v/>
      </c>
      <c r="T20" s="9">
        <f>IFERROR(Q20/L20,0)</f>
        <v/>
      </c>
      <c r="U20" s="10">
        <f>S20</f>
        <v/>
      </c>
      <c r="V20" s="8">
        <f>IF(K20&gt;0,K20,SUM(S20:U20))</f>
        <v/>
      </c>
      <c r="W20" s="32" t="n">
        <v>1</v>
      </c>
      <c r="X20" s="10">
        <f>V20*W20</f>
        <v/>
      </c>
      <c r="Z20" s="14">
        <f>Z19+1</f>
        <v/>
      </c>
      <c r="AA20" s="492" t="inlineStr">
        <is>
          <t>4 way shuttle_Unloaded</t>
        </is>
      </c>
      <c r="AB20" s="28" t="inlineStr">
        <is>
          <t>Move in pallet storage lane to pick the pallet</t>
        </is>
      </c>
      <c r="AC20" s="9">
        <f>IFERROR(VLOOKUP(AA20,'Master List'!$A:$D,2,0),0)</f>
        <v/>
      </c>
      <c r="AD20" s="9">
        <f>IFERROR(VLOOKUP(AA20,'Master List'!$A:$D,3,0),0)</f>
        <v/>
      </c>
      <c r="AE20" s="9">
        <f>IFERROR(VLOOKUP(AA20,'Master List'!$A:$D,4,0),0)</f>
        <v/>
      </c>
      <c r="AF20" s="32">
        <f>N20</f>
        <v/>
      </c>
      <c r="AG20" s="7">
        <f>IFERROR(AD20/AE20,0)</f>
        <v/>
      </c>
      <c r="AH20" s="8">
        <f>IFERROR(IF(AF20&lt;((1/2*AE20*AG20^2)*2),1/2*AE20*SQRT((AF20/2)*2/AE20)^2,1/2*AE20*AG20^2),0)</f>
        <v/>
      </c>
      <c r="AI20" s="9">
        <f>IFERROR(IF(AF20-AH20-AJ20&lt;=0,0,AF20-AH20-AJ20),0)</f>
        <v/>
      </c>
      <c r="AJ20" s="10">
        <f>AH20</f>
        <v/>
      </c>
      <c r="AK20" s="8">
        <f>IFERROR(IF(AF20&lt;((1/2*AE20*AG20^2)*2),SQRT((AF20/2)*2/AE20),AG20),0)</f>
        <v/>
      </c>
      <c r="AL20" s="9">
        <f>IFERROR(AI20/AD20,0)</f>
        <v/>
      </c>
      <c r="AM20" s="10">
        <f>AK20</f>
        <v/>
      </c>
      <c r="AN20" s="8">
        <f>IF(AC20&gt;0,AC20,SUM(AK20:AM20))</f>
        <v/>
      </c>
      <c r="AO20" s="32" t="n">
        <v>1</v>
      </c>
      <c r="AP20" s="10">
        <f>AN20*AO20</f>
        <v/>
      </c>
      <c r="AR20" s="14">
        <f>AR19+1</f>
        <v/>
      </c>
      <c r="AS20" s="492" t="inlineStr">
        <is>
          <t>4 way shuttle_Unloaded</t>
        </is>
      </c>
      <c r="AT20" s="28" t="inlineStr">
        <is>
          <t>Move in pallet storage lane to pick the pallet</t>
        </is>
      </c>
      <c r="AU20" s="9">
        <f>IFERROR(VLOOKUP(AS20,'Master List'!$A:$D,2,0),0)</f>
        <v/>
      </c>
      <c r="AV20" s="9">
        <f>IFERROR(VLOOKUP(AS20,'Master List'!$A:$D,3,0),0)</f>
        <v/>
      </c>
      <c r="AW20" s="9">
        <f>IFERROR(VLOOKUP(AS20,'Master List'!$A:$D,4,0),0)</f>
        <v/>
      </c>
      <c r="AX20" s="32">
        <f>AF20</f>
        <v/>
      </c>
      <c r="AY20" s="7">
        <f>IFERROR(AV20/AW20,0)</f>
        <v/>
      </c>
      <c r="AZ20" s="8">
        <f>IFERROR(IF(AX20&lt;((1/2*AW20*AY20^2)*2),1/2*AW20*SQRT((AX20/2)*2/AW20)^2,1/2*AW20*AY20^2),0)</f>
        <v/>
      </c>
      <c r="BA20" s="9">
        <f>IFERROR(IF(AX20-AZ20-BB20&lt;=0,0,AX20-AZ20-BB20),0)</f>
        <v/>
      </c>
      <c r="BB20" s="10">
        <f>AZ20</f>
        <v/>
      </c>
      <c r="BC20" s="8">
        <f>IFERROR(IF(AX20&lt;((1/2*AW20*AY20^2)*2),SQRT((AX20/2)*2/AW20),AY20),0)</f>
        <v/>
      </c>
      <c r="BD20" s="9">
        <f>IFERROR(BA20/AV20,0)</f>
        <v/>
      </c>
      <c r="BE20" s="10">
        <f>BC20</f>
        <v/>
      </c>
      <c r="BF20" s="8">
        <f>IF(AU20&gt;0,AU20,SUM(BC20:BE20))</f>
        <v/>
      </c>
      <c r="BG20" s="32" t="n">
        <v>1</v>
      </c>
      <c r="BH20" s="10">
        <f>BF20*BG20</f>
        <v/>
      </c>
      <c r="BJ20" s="14">
        <f>BJ19+1</f>
        <v/>
      </c>
      <c r="BK20" s="500" t="n"/>
      <c r="BL20" s="501" t="inlineStr">
        <is>
          <t>Aisle changing scenario additional times</t>
        </is>
      </c>
      <c r="BM20" s="502">
        <f>IFERROR(VLOOKUP(BK20,'Master List'!$A:$D,2,0),0)</f>
        <v/>
      </c>
      <c r="BN20" s="502">
        <f>IFERROR(VLOOKUP(BK20,'Master List'!$A:$D,3,0),0)</f>
        <v/>
      </c>
      <c r="BO20" s="502">
        <f>IFERROR(VLOOKUP(BK20,'Master List'!$A:$D,4,0),0)</f>
        <v/>
      </c>
      <c r="BP20" s="503" t="n"/>
      <c r="BQ20" s="504">
        <f>IFERROR(BN20/BO20,0)</f>
        <v/>
      </c>
      <c r="BR20" s="505">
        <f>IFERROR(IF(BP20&lt;((1/2*BO20*BQ20^2)*2),1/2*BO20*SQRT((BP20/2)*2/BO20)^2,1/2*BO20*BQ20^2),0)</f>
        <v/>
      </c>
      <c r="BS20" s="502">
        <f>IFERROR(IF(BP20-BR20-BT20&lt;=0,0,BP20-BR20-BT20),0)</f>
        <v/>
      </c>
      <c r="BT20" s="506">
        <f>BR20</f>
        <v/>
      </c>
      <c r="BU20" s="505">
        <f>IFERROR(IF(BP20&lt;((1/2*BO20*BQ20^2)*2),SQRT((BP20/2)*2/BO20),BQ20),0)</f>
        <v/>
      </c>
      <c r="BV20" s="502">
        <f>IFERROR(BS20/BN20,0)</f>
        <v/>
      </c>
      <c r="BW20" s="506">
        <f>BU20</f>
        <v/>
      </c>
      <c r="BX20" s="505">
        <f>IF(BM20&gt;0,BM20,SUM(BU20:BW20))</f>
        <v/>
      </c>
      <c r="BY20" s="503" t="n"/>
      <c r="BZ20" s="506">
        <f>BX20*BY20</f>
        <v/>
      </c>
    </row>
    <row r="21">
      <c r="A21" s="33">
        <f>"Combined cycle - Near "&amp;C21&amp;" m"</f>
        <v/>
      </c>
      <c r="B21" s="52" t="n">
        <v>0.3</v>
      </c>
      <c r="C21" s="43">
        <f>B21*$B$16</f>
        <v/>
      </c>
      <c r="D21" s="43">
        <f>X4*(1-$B$26)</f>
        <v/>
      </c>
      <c r="E21" s="409">
        <f>E12/3</f>
        <v/>
      </c>
      <c r="F21" s="43">
        <f>D21*2</f>
        <v/>
      </c>
      <c r="H21" s="14">
        <f>H20+1</f>
        <v/>
      </c>
      <c r="I21" s="492" t="inlineStr">
        <is>
          <t>4 way shuttle_Lifting time</t>
        </is>
      </c>
      <c r="J21" s="28" t="inlineStr">
        <is>
          <t>Pick pallet from storage</t>
        </is>
      </c>
      <c r="K21" s="9">
        <f>IFERROR(VLOOKUP(I21,'Master List'!$A:$D,2,0),0)</f>
        <v/>
      </c>
      <c r="L21" s="9">
        <f>IFERROR(VLOOKUP(I21,'Master List'!$A:$D,3,0),0)</f>
        <v/>
      </c>
      <c r="M21" s="9">
        <f>IFERROR(VLOOKUP(I21,'Master List'!$A:$D,4,0),0)</f>
        <v/>
      </c>
      <c r="N21" s="32" t="n"/>
      <c r="O21" s="7">
        <f>IFERROR(L21/M21,0)</f>
        <v/>
      </c>
      <c r="P21" s="8">
        <f>IFERROR(IF(N21&lt;((1/2*M21*O21^2)*2),1/2*M21*SQRT((N21/2)*2/M21)^2,1/2*M21*O21^2),0)</f>
        <v/>
      </c>
      <c r="Q21" s="9">
        <f>IFERROR(IF(N21-P21-R21&lt;=0,0,N21-P21-R21),0)</f>
        <v/>
      </c>
      <c r="R21" s="10">
        <f>P21</f>
        <v/>
      </c>
      <c r="S21" s="8">
        <f>IFERROR(IF(N21&lt;((1/2*M21*O21^2)*2),SQRT((N21/2)*2/M21),O21),0)</f>
        <v/>
      </c>
      <c r="T21" s="9">
        <f>IFERROR(Q21/L21,0)</f>
        <v/>
      </c>
      <c r="U21" s="10">
        <f>S21</f>
        <v/>
      </c>
      <c r="V21" s="8">
        <f>IF(K21&gt;0,K21,SUM(S21:U21))</f>
        <v/>
      </c>
      <c r="W21" s="32" t="n">
        <v>1</v>
      </c>
      <c r="X21" s="10">
        <f>V21*W21</f>
        <v/>
      </c>
      <c r="Z21" s="14">
        <f>Z20+1</f>
        <v/>
      </c>
      <c r="AA21" s="492" t="inlineStr">
        <is>
          <t>4 way shuttle_Lifting time</t>
        </is>
      </c>
      <c r="AB21" s="28" t="inlineStr">
        <is>
          <t>Pick pallet from storage</t>
        </is>
      </c>
      <c r="AC21" s="9">
        <f>IFERROR(VLOOKUP(AA21,'Master List'!$A:$D,2,0),0)</f>
        <v/>
      </c>
      <c r="AD21" s="9">
        <f>IFERROR(VLOOKUP(AA21,'Master List'!$A:$D,3,0),0)</f>
        <v/>
      </c>
      <c r="AE21" s="9">
        <f>IFERROR(VLOOKUP(AA21,'Master List'!$A:$D,4,0),0)</f>
        <v/>
      </c>
      <c r="AF21" s="32">
        <f>N21</f>
        <v/>
      </c>
      <c r="AG21" s="7">
        <f>IFERROR(AD21/AE21,0)</f>
        <v/>
      </c>
      <c r="AH21" s="8">
        <f>IFERROR(IF(AF21&lt;((1/2*AE21*AG21^2)*2),1/2*AE21*SQRT((AF21/2)*2/AE21)^2,1/2*AE21*AG21^2),0)</f>
        <v/>
      </c>
      <c r="AI21" s="9">
        <f>IFERROR(IF(AF21-AH21-AJ21&lt;=0,0,AF21-AH21-AJ21),0)</f>
        <v/>
      </c>
      <c r="AJ21" s="10">
        <f>AH21</f>
        <v/>
      </c>
      <c r="AK21" s="8">
        <f>IFERROR(IF(AF21&lt;((1/2*AE21*AG21^2)*2),SQRT((AF21/2)*2/AE21),AG21),0)</f>
        <v/>
      </c>
      <c r="AL21" s="9">
        <f>IFERROR(AI21/AD21,0)</f>
        <v/>
      </c>
      <c r="AM21" s="10">
        <f>AK21</f>
        <v/>
      </c>
      <c r="AN21" s="8">
        <f>IF(AC21&gt;0,AC21,SUM(AK21:AM21))</f>
        <v/>
      </c>
      <c r="AO21" s="32" t="n">
        <v>1</v>
      </c>
      <c r="AP21" s="10">
        <f>AN21*AO21</f>
        <v/>
      </c>
      <c r="AR21" s="14">
        <f>AR20+1</f>
        <v/>
      </c>
      <c r="AS21" s="492" t="inlineStr">
        <is>
          <t>4 way shuttle_Lifting time</t>
        </is>
      </c>
      <c r="AT21" s="28" t="inlineStr">
        <is>
          <t>Pick pallet from storage</t>
        </is>
      </c>
      <c r="AU21" s="9">
        <f>IFERROR(VLOOKUP(AS21,'Master List'!$A:$D,2,0),0)</f>
        <v/>
      </c>
      <c r="AV21" s="9">
        <f>IFERROR(VLOOKUP(AS21,'Master List'!$A:$D,3,0),0)</f>
        <v/>
      </c>
      <c r="AW21" s="9">
        <f>IFERROR(VLOOKUP(AS21,'Master List'!$A:$D,4,0),0)</f>
        <v/>
      </c>
      <c r="AX21" s="32">
        <f>AF21</f>
        <v/>
      </c>
      <c r="AY21" s="7">
        <f>IFERROR(AV21/AW21,0)</f>
        <v/>
      </c>
      <c r="AZ21" s="8">
        <f>IFERROR(IF(AX21&lt;((1/2*AW21*AY21^2)*2),1/2*AW21*SQRT((AX21/2)*2/AW21)^2,1/2*AW21*AY21^2),0)</f>
        <v/>
      </c>
      <c r="BA21" s="9">
        <f>IFERROR(IF(AX21-AZ21-BB21&lt;=0,0,AX21-AZ21-BB21),0)</f>
        <v/>
      </c>
      <c r="BB21" s="10">
        <f>AZ21</f>
        <v/>
      </c>
      <c r="BC21" s="8">
        <f>IFERROR(IF(AX21&lt;((1/2*AW21*AY21^2)*2),SQRT((AX21/2)*2/AW21),AY21),0)</f>
        <v/>
      </c>
      <c r="BD21" s="9">
        <f>IFERROR(BA21/AV21,0)</f>
        <v/>
      </c>
      <c r="BE21" s="10">
        <f>BC21</f>
        <v/>
      </c>
      <c r="BF21" s="8">
        <f>IF(AU21&gt;0,AU21,SUM(BC21:BE21))</f>
        <v/>
      </c>
      <c r="BG21" s="32" t="n">
        <v>1</v>
      </c>
      <c r="BH21" s="10">
        <f>BF21*BG21</f>
        <v/>
      </c>
      <c r="BJ21" s="14">
        <f>BJ20+1</f>
        <v/>
      </c>
      <c r="BK21" s="492" t="inlineStr">
        <is>
          <t>4 way shuttle_Direction change time</t>
        </is>
      </c>
      <c r="BL21" s="28" t="inlineStr">
        <is>
          <t>While putaway: Direction change time to change aisle</t>
        </is>
      </c>
      <c r="BM21" s="9">
        <f>IFERROR(VLOOKUP(BK21,'Master List'!$A:$D,2,0),0)</f>
        <v/>
      </c>
      <c r="BN21" s="9">
        <f>IFERROR(VLOOKUP(BK21,'Master List'!$A:$D,3,0),0)</f>
        <v/>
      </c>
      <c r="BO21" s="9">
        <f>IFERROR(VLOOKUP(BK21,'Master List'!$A:$D,4,0),0)</f>
        <v/>
      </c>
      <c r="BP21" s="32">
        <f>AX30</f>
        <v/>
      </c>
      <c r="BQ21" s="7">
        <f>IFERROR(BN21/BO21,0)</f>
        <v/>
      </c>
      <c r="BR21" s="8">
        <f>IFERROR(IF(BP21&lt;((1/2*BO21*BQ21^2)*2),1/2*BO21*SQRT((BP21/2)*2/BO21)^2,1/2*BO21*BQ21^2),0)</f>
        <v/>
      </c>
      <c r="BS21" s="9">
        <f>IFERROR(IF(BP21-BR21-BT21&lt;=0,0,BP21-BR21-BT21),0)</f>
        <v/>
      </c>
      <c r="BT21" s="10">
        <f>BR21</f>
        <v/>
      </c>
      <c r="BU21" s="8">
        <f>IFERROR(IF(BP21&lt;((1/2*BO21*BQ21^2)*2),SQRT((BP21/2)*2/BO21),BQ21),0)</f>
        <v/>
      </c>
      <c r="BV21" s="9">
        <f>IFERROR(BS21/BN21,0)</f>
        <v/>
      </c>
      <c r="BW21" s="10">
        <f>BU21</f>
        <v/>
      </c>
      <c r="BX21" s="8">
        <f>IF(BM21&gt;0,BM21,SUM(BU21:BW21))</f>
        <v/>
      </c>
      <c r="BY21" s="32">
        <f>IF($B$27="Yes",$B$32,0)*$B$28</f>
        <v/>
      </c>
      <c r="BZ21" s="10">
        <f>BX21*BY21</f>
        <v/>
      </c>
    </row>
    <row r="22">
      <c r="A22" s="33">
        <f>"Combined cycle - Mid "&amp;C22&amp;" m"</f>
        <v/>
      </c>
      <c r="B22" s="52" t="n">
        <v>0.7</v>
      </c>
      <c r="C22" s="43">
        <f>B22*$B$16</f>
        <v/>
      </c>
      <c r="D22" s="43">
        <f>AP4*(1-$B$26)</f>
        <v/>
      </c>
      <c r="E22" s="409">
        <f>E21</f>
        <v/>
      </c>
      <c r="F22" s="43">
        <f>D22*2</f>
        <v/>
      </c>
      <c r="H22" s="14">
        <f>H21+1</f>
        <v/>
      </c>
      <c r="I22" s="492" t="inlineStr">
        <is>
          <t>4 way shuttle_Loaded</t>
        </is>
      </c>
      <c r="J22" s="28" t="inlineStr">
        <is>
          <t>Come back to highway aisle</t>
        </is>
      </c>
      <c r="K22" s="9">
        <f>IFERROR(VLOOKUP(I22,'Master List'!$A:$D,2,0),0)</f>
        <v/>
      </c>
      <c r="L22" s="9">
        <f>IFERROR(VLOOKUP(I22,'Master List'!$A:$D,3,0),0)</f>
        <v/>
      </c>
      <c r="M22" s="9">
        <f>IFERROR(VLOOKUP(I22,'Master List'!$A:$D,4,0),0)</f>
        <v/>
      </c>
      <c r="N22" s="32">
        <f>N20</f>
        <v/>
      </c>
      <c r="O22" s="7">
        <f>IFERROR(L22/M22,0)</f>
        <v/>
      </c>
      <c r="P22" s="8">
        <f>IFERROR(IF(N22&lt;((1/2*M22*O22^2)*2),1/2*M22*SQRT((N22/2)*2/M22)^2,1/2*M22*O22^2),0)</f>
        <v/>
      </c>
      <c r="Q22" s="9">
        <f>IFERROR(IF(N22-P22-R22&lt;=0,0,N22-P22-R22),0)</f>
        <v/>
      </c>
      <c r="R22" s="10">
        <f>P22</f>
        <v/>
      </c>
      <c r="S22" s="8">
        <f>IFERROR(IF(N22&lt;((1/2*M22*O22^2)*2),SQRT((N22/2)*2/M22),O22),0)</f>
        <v/>
      </c>
      <c r="T22" s="9">
        <f>IFERROR(Q22/L22,0)</f>
        <v/>
      </c>
      <c r="U22" s="10">
        <f>S22</f>
        <v/>
      </c>
      <c r="V22" s="8">
        <f>IF(K22&gt;0,K22,SUM(S22:U22))</f>
        <v/>
      </c>
      <c r="W22" s="32" t="n">
        <v>1</v>
      </c>
      <c r="X22" s="10">
        <f>V22*W22</f>
        <v/>
      </c>
      <c r="Z22" s="14">
        <f>Z21+1</f>
        <v/>
      </c>
      <c r="AA22" s="492" t="inlineStr">
        <is>
          <t>4 way shuttle_Loaded</t>
        </is>
      </c>
      <c r="AB22" s="28" t="inlineStr">
        <is>
          <t>Come back to highway aisle</t>
        </is>
      </c>
      <c r="AC22" s="9">
        <f>IFERROR(VLOOKUP(AA22,'Master List'!$A:$D,2,0),0)</f>
        <v/>
      </c>
      <c r="AD22" s="9">
        <f>IFERROR(VLOOKUP(AA22,'Master List'!$A:$D,3,0),0)</f>
        <v/>
      </c>
      <c r="AE22" s="9">
        <f>IFERROR(VLOOKUP(AA22,'Master List'!$A:$D,4,0),0)</f>
        <v/>
      </c>
      <c r="AF22" s="32">
        <f>N22</f>
        <v/>
      </c>
      <c r="AG22" s="7">
        <f>IFERROR(AD22/AE22,0)</f>
        <v/>
      </c>
      <c r="AH22" s="8">
        <f>IFERROR(IF(AF22&lt;((1/2*AE22*AG22^2)*2),1/2*AE22*SQRT((AF22/2)*2/AE22)^2,1/2*AE22*AG22^2),0)</f>
        <v/>
      </c>
      <c r="AI22" s="9">
        <f>IFERROR(IF(AF22-AH22-AJ22&lt;=0,0,AF22-AH22-AJ22),0)</f>
        <v/>
      </c>
      <c r="AJ22" s="10">
        <f>AH22</f>
        <v/>
      </c>
      <c r="AK22" s="8">
        <f>IFERROR(IF(AF22&lt;((1/2*AE22*AG22^2)*2),SQRT((AF22/2)*2/AE22),AG22),0)</f>
        <v/>
      </c>
      <c r="AL22" s="9">
        <f>IFERROR(AI22/AD22,0)</f>
        <v/>
      </c>
      <c r="AM22" s="10">
        <f>AK22</f>
        <v/>
      </c>
      <c r="AN22" s="8">
        <f>IF(AC22&gt;0,AC22,SUM(AK22:AM22))</f>
        <v/>
      </c>
      <c r="AO22" s="32" t="n">
        <v>1</v>
      </c>
      <c r="AP22" s="10">
        <f>AN22*AO22</f>
        <v/>
      </c>
      <c r="AR22" s="14">
        <f>AR21+1</f>
        <v/>
      </c>
      <c r="AS22" s="492" t="inlineStr">
        <is>
          <t>4 way shuttle_Loaded</t>
        </is>
      </c>
      <c r="AT22" s="28" t="inlineStr">
        <is>
          <t>Come back to highway aisle</t>
        </is>
      </c>
      <c r="AU22" s="9">
        <f>IFERROR(VLOOKUP(AS22,'Master List'!$A:$D,2,0),0)</f>
        <v/>
      </c>
      <c r="AV22" s="9">
        <f>IFERROR(VLOOKUP(AS22,'Master List'!$A:$D,3,0),0)</f>
        <v/>
      </c>
      <c r="AW22" s="9">
        <f>IFERROR(VLOOKUP(AS22,'Master List'!$A:$D,4,0),0)</f>
        <v/>
      </c>
      <c r="AX22" s="32">
        <f>AF22</f>
        <v/>
      </c>
      <c r="AY22" s="7">
        <f>IFERROR(AV22/AW22,0)</f>
        <v/>
      </c>
      <c r="AZ22" s="8">
        <f>IFERROR(IF(AX22&lt;((1/2*AW22*AY22^2)*2),1/2*AW22*SQRT((AX22/2)*2/AW22)^2,1/2*AW22*AY22^2),0)</f>
        <v/>
      </c>
      <c r="BA22" s="9">
        <f>IFERROR(IF(AX22-AZ22-BB22&lt;=0,0,AX22-AZ22-BB22),0)</f>
        <v/>
      </c>
      <c r="BB22" s="10">
        <f>AZ22</f>
        <v/>
      </c>
      <c r="BC22" s="8">
        <f>IFERROR(IF(AX22&lt;((1/2*AW22*AY22^2)*2),SQRT((AX22/2)*2/AW22),AY22),0)</f>
        <v/>
      </c>
      <c r="BD22" s="9">
        <f>IFERROR(BA22/AV22,0)</f>
        <v/>
      </c>
      <c r="BE22" s="10">
        <f>BC22</f>
        <v/>
      </c>
      <c r="BF22" s="8">
        <f>IF(AU22&gt;0,AU22,SUM(BC22:BE22))</f>
        <v/>
      </c>
      <c r="BG22" s="32" t="n">
        <v>1</v>
      </c>
      <c r="BH22" s="10">
        <f>BF22*BG22</f>
        <v/>
      </c>
      <c r="BJ22" s="14">
        <f>BJ21+1</f>
        <v/>
      </c>
      <c r="BK22" s="492" t="inlineStr">
        <is>
          <t>4 way shuttle_Unloaded</t>
        </is>
      </c>
      <c r="BL22" s="28" t="inlineStr">
        <is>
          <t>While putaway: Traveling through pallet storage lanes to reach desired aisle</t>
        </is>
      </c>
      <c r="BM22" s="9">
        <f>IFERROR(VLOOKUP(BK22,'Master List'!$A:$D,2,0),0)</f>
        <v/>
      </c>
      <c r="BN22" s="9">
        <f>IFERROR(VLOOKUP(BK22,'Master List'!$A:$D,3,0),0)</f>
        <v/>
      </c>
      <c r="BO22" s="9">
        <f>IFERROR(VLOOKUP(BK22,'Master List'!$A:$D,4,0),0)</f>
        <v/>
      </c>
      <c r="BP22" s="32">
        <f>IF($B$28=1,$B$17,($B$17+(($B$28*$B$36)-$B$36)))</f>
        <v/>
      </c>
      <c r="BQ22" s="7">
        <f>IFERROR(BN22/BO22,0)</f>
        <v/>
      </c>
      <c r="BR22" s="8">
        <f>IFERROR(IF(BP22&lt;((1/2*BO22*BQ22^2)*2),1/2*BO22*SQRT((BP22/2)*2/BO22)^2,1/2*BO22*BQ22^2),0)</f>
        <v/>
      </c>
      <c r="BS22" s="9">
        <f>IFERROR(IF(BP22-BR22-BT22&lt;=0,0,BP22-BR22-BT22),0)</f>
        <v/>
      </c>
      <c r="BT22" s="10">
        <f>BR22</f>
        <v/>
      </c>
      <c r="BU22" s="8">
        <f>IFERROR(IF(BP22&lt;((1/2*BO22*BQ22^2)*2),SQRT((BP22/2)*2/BO22),BQ22),0)</f>
        <v/>
      </c>
      <c r="BV22" s="9">
        <f>IFERROR(BS22/BN22,0)</f>
        <v/>
      </c>
      <c r="BW22" s="10">
        <f>BU22</f>
        <v/>
      </c>
      <c r="BX22" s="8">
        <f>IF(BM22&gt;0,BM22,SUM(BU22:BW22))</f>
        <v/>
      </c>
      <c r="BY22" s="32">
        <f>IF($B$27="Yes",$B$32,0)*$B$28</f>
        <v/>
      </c>
      <c r="BZ22" s="10">
        <f>BX22*BY22</f>
        <v/>
      </c>
    </row>
    <row r="23">
      <c r="A23" s="33">
        <f>"Combined cycle - Far "&amp;C23&amp;" m"</f>
        <v/>
      </c>
      <c r="B23" s="52" t="n">
        <v>1</v>
      </c>
      <c r="C23" s="43">
        <f>B23*$B$16</f>
        <v/>
      </c>
      <c r="D23" s="43">
        <f>BH4*(1-$B$26)</f>
        <v/>
      </c>
      <c r="E23" s="409">
        <f>E22</f>
        <v/>
      </c>
      <c r="F23" s="43">
        <f>D23*2</f>
        <v/>
      </c>
      <c r="H23" s="14">
        <f>H22+1</f>
        <v/>
      </c>
      <c r="I23" s="492" t="inlineStr">
        <is>
          <t>4 way shuttle_Direction change time</t>
        </is>
      </c>
      <c r="J23" s="28" t="n"/>
      <c r="K23" s="9">
        <f>IFERROR(VLOOKUP(I23,'Master List'!$A:$D,2,0),0)</f>
        <v/>
      </c>
      <c r="L23" s="9">
        <f>IFERROR(VLOOKUP(I23,'Master List'!$A:$D,3,0),0)</f>
        <v/>
      </c>
      <c r="M23" s="9">
        <f>IFERROR(VLOOKUP(I23,'Master List'!$A:$D,4,0),0)</f>
        <v/>
      </c>
      <c r="N23" s="32" t="n"/>
      <c r="O23" s="7">
        <f>IFERROR(L23/M23,0)</f>
        <v/>
      </c>
      <c r="P23" s="8">
        <f>IFERROR(IF(N23&lt;((1/2*M23*O23^2)*2),1/2*M23*SQRT((N23/2)*2/M23)^2,1/2*M23*O23^2),0)</f>
        <v/>
      </c>
      <c r="Q23" s="9">
        <f>IFERROR(IF(N23-P23-R23&lt;=0,0,N23-P23-R23),0)</f>
        <v/>
      </c>
      <c r="R23" s="10">
        <f>P23</f>
        <v/>
      </c>
      <c r="S23" s="8">
        <f>IFERROR(IF(N23&lt;((1/2*M23*O23^2)*2),SQRT((N23/2)*2/M23),O23),0)</f>
        <v/>
      </c>
      <c r="T23" s="9">
        <f>IFERROR(Q23/L23,0)</f>
        <v/>
      </c>
      <c r="U23" s="10">
        <f>S23</f>
        <v/>
      </c>
      <c r="V23" s="8">
        <f>IF(K23&gt;0,K23,SUM(S23:U23))</f>
        <v/>
      </c>
      <c r="W23" s="32" t="n">
        <v>1</v>
      </c>
      <c r="X23" s="10">
        <f>V23*W23</f>
        <v/>
      </c>
      <c r="Z23" s="14">
        <f>Z22+1</f>
        <v/>
      </c>
      <c r="AA23" s="492" t="inlineStr">
        <is>
          <t>4 way shuttle_Direction change time</t>
        </is>
      </c>
      <c r="AB23" s="28" t="n"/>
      <c r="AC23" s="9">
        <f>IFERROR(VLOOKUP(AA23,'Master List'!$A:$D,2,0),0)</f>
        <v/>
      </c>
      <c r="AD23" s="9">
        <f>IFERROR(VLOOKUP(AA23,'Master List'!$A:$D,3,0),0)</f>
        <v/>
      </c>
      <c r="AE23" s="9">
        <f>IFERROR(VLOOKUP(AA23,'Master List'!$A:$D,4,0),0)</f>
        <v/>
      </c>
      <c r="AF23" s="32">
        <f>N23</f>
        <v/>
      </c>
      <c r="AG23" s="7">
        <f>IFERROR(AD23/AE23,0)</f>
        <v/>
      </c>
      <c r="AH23" s="8">
        <f>IFERROR(IF(AF23&lt;((1/2*AE23*AG23^2)*2),1/2*AE23*SQRT((AF23/2)*2/AE23)^2,1/2*AE23*AG23^2),0)</f>
        <v/>
      </c>
      <c r="AI23" s="9">
        <f>IFERROR(IF(AF23-AH23-AJ23&lt;=0,0,AF23-AH23-AJ23),0)</f>
        <v/>
      </c>
      <c r="AJ23" s="10">
        <f>AH23</f>
        <v/>
      </c>
      <c r="AK23" s="8">
        <f>IFERROR(IF(AF23&lt;((1/2*AE23*AG23^2)*2),SQRT((AF23/2)*2/AE23),AG23),0)</f>
        <v/>
      </c>
      <c r="AL23" s="9">
        <f>IFERROR(AI23/AD23,0)</f>
        <v/>
      </c>
      <c r="AM23" s="10">
        <f>AK23</f>
        <v/>
      </c>
      <c r="AN23" s="8">
        <f>IF(AC23&gt;0,AC23,SUM(AK23:AM23))</f>
        <v/>
      </c>
      <c r="AO23" s="32" t="n">
        <v>1</v>
      </c>
      <c r="AP23" s="10">
        <f>AN23*AO23</f>
        <v/>
      </c>
      <c r="AR23" s="14">
        <f>AR22+1</f>
        <v/>
      </c>
      <c r="AS23" s="492" t="inlineStr">
        <is>
          <t>4 way shuttle_Direction change time</t>
        </is>
      </c>
      <c r="AT23" s="28" t="n"/>
      <c r="AU23" s="9">
        <f>IFERROR(VLOOKUP(AS23,'Master List'!$A:$D,2,0),0)</f>
        <v/>
      </c>
      <c r="AV23" s="9">
        <f>IFERROR(VLOOKUP(AS23,'Master List'!$A:$D,3,0),0)</f>
        <v/>
      </c>
      <c r="AW23" s="9">
        <f>IFERROR(VLOOKUP(AS23,'Master List'!$A:$D,4,0),0)</f>
        <v/>
      </c>
      <c r="AX23" s="32">
        <f>AF23</f>
        <v/>
      </c>
      <c r="AY23" s="7">
        <f>IFERROR(AV23/AW23,0)</f>
        <v/>
      </c>
      <c r="AZ23" s="8">
        <f>IFERROR(IF(AX23&lt;((1/2*AW23*AY23^2)*2),1/2*AW23*SQRT((AX23/2)*2/AW23)^2,1/2*AW23*AY23^2),0)</f>
        <v/>
      </c>
      <c r="BA23" s="9">
        <f>IFERROR(IF(AX23-AZ23-BB23&lt;=0,0,AX23-AZ23-BB23),0)</f>
        <v/>
      </c>
      <c r="BB23" s="10">
        <f>AZ23</f>
        <v/>
      </c>
      <c r="BC23" s="8">
        <f>IFERROR(IF(AX23&lt;((1/2*AW23*AY23^2)*2),SQRT((AX23/2)*2/AW23),AY23),0)</f>
        <v/>
      </c>
      <c r="BD23" s="9">
        <f>IFERROR(BA23/AV23,0)</f>
        <v/>
      </c>
      <c r="BE23" s="10">
        <f>BC23</f>
        <v/>
      </c>
      <c r="BF23" s="8">
        <f>IF(AU23&gt;0,AU23,SUM(BC23:BE23))</f>
        <v/>
      </c>
      <c r="BG23" s="32" t="n">
        <v>1</v>
      </c>
      <c r="BH23" s="10">
        <f>BF23*BG23</f>
        <v/>
      </c>
      <c r="BJ23" s="14">
        <f>BJ22+1</f>
        <v/>
      </c>
      <c r="BK23" s="492" t="inlineStr">
        <is>
          <t>4 way shuttle_Direction change time</t>
        </is>
      </c>
      <c r="BL23" s="28" t="inlineStr">
        <is>
          <t>While putaway: Direction change time to change aisle</t>
        </is>
      </c>
      <c r="BM23" s="9">
        <f>IFERROR(VLOOKUP(BK23,'Master List'!$A:$D,2,0),0)</f>
        <v/>
      </c>
      <c r="BN23" s="9">
        <f>IFERROR(VLOOKUP(BK23,'Master List'!$A:$D,3,0),0)</f>
        <v/>
      </c>
      <c r="BO23" s="9">
        <f>IFERROR(VLOOKUP(BK23,'Master List'!$A:$D,4,0),0)</f>
        <v/>
      </c>
      <c r="BP23" s="32">
        <f>AX32</f>
        <v/>
      </c>
      <c r="BQ23" s="7">
        <f>IFERROR(BN23/BO23,0)</f>
        <v/>
      </c>
      <c r="BR23" s="8">
        <f>IFERROR(IF(BP23&lt;((1/2*BO23*BQ23^2)*2),1/2*BO23*SQRT((BP23/2)*2/BO23)^2,1/2*BO23*BQ23^2),0)</f>
        <v/>
      </c>
      <c r="BS23" s="9">
        <f>IFERROR(IF(BP23-BR23-BT23&lt;=0,0,BP23-BR23-BT23),0)</f>
        <v/>
      </c>
      <c r="BT23" s="10">
        <f>BR23</f>
        <v/>
      </c>
      <c r="BU23" s="8">
        <f>IFERROR(IF(BP23&lt;((1/2*BO23*BQ23^2)*2),SQRT((BP23/2)*2/BO23),BQ23),0)</f>
        <v/>
      </c>
      <c r="BV23" s="9">
        <f>IFERROR(BS23/BN23,0)</f>
        <v/>
      </c>
      <c r="BW23" s="10">
        <f>BU23</f>
        <v/>
      </c>
      <c r="BX23" s="8">
        <f>IF(BM23&gt;0,BM23,SUM(BU23:BW23))</f>
        <v/>
      </c>
      <c r="BY23" s="32">
        <f>IF($B$27="Yes",$B$32,0)*$B$28</f>
        <v/>
      </c>
      <c r="BZ23" s="10">
        <f>BX23*BY23</f>
        <v/>
      </c>
    </row>
    <row r="24">
      <c r="A24" s="33">
        <f>"Single cycle "&amp;C24&amp;" m"</f>
        <v/>
      </c>
      <c r="B24" s="52" t="n">
        <v>0.55</v>
      </c>
      <c r="C24" s="43">
        <f>B24*$B$16</f>
        <v/>
      </c>
      <c r="D24" s="43">
        <f>BZ4*(1-$B$26)</f>
        <v/>
      </c>
      <c r="E24" s="409">
        <f>1-SUM(E21:E23)</f>
        <v/>
      </c>
      <c r="F24" s="43">
        <f>D24*1</f>
        <v/>
      </c>
      <c r="H24" s="14">
        <f>H23+1</f>
        <v/>
      </c>
      <c r="I24" s="492" t="inlineStr">
        <is>
          <t>4 way shuttle_Loaded</t>
        </is>
      </c>
      <c r="J24" s="28" t="inlineStr">
        <is>
          <t>Travel to lift</t>
        </is>
      </c>
      <c r="K24" s="9">
        <f>IFERROR(VLOOKUP(I24,'Master List'!$A:$D,2,0),0)</f>
        <v/>
      </c>
      <c r="L24" s="9">
        <f>IFERROR(VLOOKUP(I24,'Master List'!$A:$D,3,0),0)</f>
        <v/>
      </c>
      <c r="M24" s="9">
        <f>IFERROR(VLOOKUP(I24,'Master List'!$A:$D,4,0),0)</f>
        <v/>
      </c>
      <c r="N24" s="32">
        <f>N12+N18</f>
        <v/>
      </c>
      <c r="O24" s="7">
        <f>IFERROR(L24/M24,0)</f>
        <v/>
      </c>
      <c r="P24" s="8">
        <f>IFERROR(IF(N24&lt;((1/2*M24*O24^2)*2),1/2*M24*SQRT((N24/2)*2/M24)^2,1/2*M24*O24^2),0)</f>
        <v/>
      </c>
      <c r="Q24" s="9">
        <f>IFERROR(IF(N24-P24-R24&lt;=0,0,N24-P24-R24),0)</f>
        <v/>
      </c>
      <c r="R24" s="10">
        <f>P24</f>
        <v/>
      </c>
      <c r="S24" s="8">
        <f>IFERROR(IF(N24&lt;((1/2*M24*O24^2)*2),SQRT((N24/2)*2/M24),O24),0)</f>
        <v/>
      </c>
      <c r="T24" s="9">
        <f>IFERROR(Q24/L24,0)</f>
        <v/>
      </c>
      <c r="U24" s="10">
        <f>S24</f>
        <v/>
      </c>
      <c r="V24" s="8">
        <f>IF(K24&gt;0,K24,SUM(S24:U24))</f>
        <v/>
      </c>
      <c r="W24" s="32" t="n">
        <v>1</v>
      </c>
      <c r="X24" s="10">
        <f>V24*W24</f>
        <v/>
      </c>
      <c r="Z24" s="14">
        <f>Z23+1</f>
        <v/>
      </c>
      <c r="AA24" s="492" t="inlineStr">
        <is>
          <t>4 way shuttle_Loaded</t>
        </is>
      </c>
      <c r="AB24" s="28" t="inlineStr">
        <is>
          <t>Travel to lift</t>
        </is>
      </c>
      <c r="AC24" s="9">
        <f>IFERROR(VLOOKUP(AA24,'Master List'!$A:$D,2,0),0)</f>
        <v/>
      </c>
      <c r="AD24" s="9">
        <f>IFERROR(VLOOKUP(AA24,'Master List'!$A:$D,3,0),0)</f>
        <v/>
      </c>
      <c r="AE24" s="9">
        <f>IFERROR(VLOOKUP(AA24,'Master List'!$A:$D,4,0),0)</f>
        <v/>
      </c>
      <c r="AF24" s="32">
        <f>AF18+AF12</f>
        <v/>
      </c>
      <c r="AG24" s="7">
        <f>IFERROR(AD24/AE24,0)</f>
        <v/>
      </c>
      <c r="AH24" s="8">
        <f>IFERROR(IF(AF24&lt;((1/2*AE24*AG24^2)*2),1/2*AE24*SQRT((AF24/2)*2/AE24)^2,1/2*AE24*AG24^2),0)</f>
        <v/>
      </c>
      <c r="AI24" s="9">
        <f>IFERROR(IF(AF24-AH24-AJ24&lt;=0,0,AF24-AH24-AJ24),0)</f>
        <v/>
      </c>
      <c r="AJ24" s="10">
        <f>AH24</f>
        <v/>
      </c>
      <c r="AK24" s="8">
        <f>IFERROR(IF(AF24&lt;((1/2*AE24*AG24^2)*2),SQRT((AF24/2)*2/AE24),AG24),0)</f>
        <v/>
      </c>
      <c r="AL24" s="9">
        <f>IFERROR(AI24/AD24,0)</f>
        <v/>
      </c>
      <c r="AM24" s="10">
        <f>AK24</f>
        <v/>
      </c>
      <c r="AN24" s="8">
        <f>IF(AC24&gt;0,AC24,SUM(AK24:AM24))</f>
        <v/>
      </c>
      <c r="AO24" s="32" t="n">
        <v>1</v>
      </c>
      <c r="AP24" s="10">
        <f>AN24*AO24</f>
        <v/>
      </c>
      <c r="AR24" s="14">
        <f>AR23+1</f>
        <v/>
      </c>
      <c r="AS24" s="492" t="inlineStr">
        <is>
          <t>4 way shuttle_Loaded</t>
        </is>
      </c>
      <c r="AT24" s="28" t="inlineStr">
        <is>
          <t>Travel to lift</t>
        </is>
      </c>
      <c r="AU24" s="9">
        <f>IFERROR(VLOOKUP(AS24,'Master List'!$A:$D,2,0),0)</f>
        <v/>
      </c>
      <c r="AV24" s="9">
        <f>IFERROR(VLOOKUP(AS24,'Master List'!$A:$D,3,0),0)</f>
        <v/>
      </c>
      <c r="AW24" s="9">
        <f>IFERROR(VLOOKUP(AS24,'Master List'!$A:$D,4,0),0)</f>
        <v/>
      </c>
      <c r="AX24" s="32">
        <f>AX12-AX18</f>
        <v/>
      </c>
      <c r="AY24" s="7">
        <f>IFERROR(AV24/AW24,0)</f>
        <v/>
      </c>
      <c r="AZ24" s="8">
        <f>IFERROR(IF(AX24&lt;((1/2*AW24*AY24^2)*2),1/2*AW24*SQRT((AX24/2)*2/AW24)^2,1/2*AW24*AY24^2),0)</f>
        <v/>
      </c>
      <c r="BA24" s="9">
        <f>IFERROR(IF(AX24-AZ24-BB24&lt;=0,0,AX24-AZ24-BB24),0)</f>
        <v/>
      </c>
      <c r="BB24" s="10">
        <f>AZ24</f>
        <v/>
      </c>
      <c r="BC24" s="8">
        <f>IFERROR(IF(AX24&lt;((1/2*AW24*AY24^2)*2),SQRT((AX24/2)*2/AW24),AY24),0)</f>
        <v/>
      </c>
      <c r="BD24" s="9">
        <f>IFERROR(BA24/AV24,0)</f>
        <v/>
      </c>
      <c r="BE24" s="10">
        <f>BC24</f>
        <v/>
      </c>
      <c r="BF24" s="8">
        <f>IF(AU24&gt;0,AU24,SUM(BC24:BE24))</f>
        <v/>
      </c>
      <c r="BG24" s="32" t="n">
        <v>1</v>
      </c>
      <c r="BH24" s="10">
        <f>BF24*BG24</f>
        <v/>
      </c>
      <c r="BJ24" s="14">
        <f>BJ23+1</f>
        <v/>
      </c>
      <c r="BK24" s="492" t="inlineStr">
        <is>
          <t>4 way shuttle_Direction change time</t>
        </is>
      </c>
      <c r="BL24" s="28" t="inlineStr">
        <is>
          <t>While picking: Direction change time to change aisle</t>
        </is>
      </c>
      <c r="BM24" s="9">
        <f>IFERROR(VLOOKUP(BK24,'Master List'!$A:$D,2,0),0)</f>
        <v/>
      </c>
      <c r="BN24" s="9">
        <f>IFERROR(VLOOKUP(BK24,'Master List'!$A:$D,3,0),0)</f>
        <v/>
      </c>
      <c r="BO24" s="9">
        <f>IFERROR(VLOOKUP(BK24,'Master List'!$A:$D,4,0),0)</f>
        <v/>
      </c>
      <c r="BP24" s="32">
        <f>AX33</f>
        <v/>
      </c>
      <c r="BQ24" s="7">
        <f>IFERROR(BN24/BO24,0)</f>
        <v/>
      </c>
      <c r="BR24" s="8">
        <f>IFERROR(IF(BP24&lt;((1/2*BO24*BQ24^2)*2),1/2*BO24*SQRT((BP24/2)*2/BO24)^2,1/2*BO24*BQ24^2),0)</f>
        <v/>
      </c>
      <c r="BS24" s="9">
        <f>IFERROR(IF(BP24-BR24-BT24&lt;=0,0,BP24-BR24-BT24),0)</f>
        <v/>
      </c>
      <c r="BT24" s="10">
        <f>BR24</f>
        <v/>
      </c>
      <c r="BU24" s="8">
        <f>IFERROR(IF(BP24&lt;((1/2*BO24*BQ24^2)*2),SQRT((BP24/2)*2/BO24),BQ24),0)</f>
        <v/>
      </c>
      <c r="BV24" s="9">
        <f>IFERROR(BS24/BN24,0)</f>
        <v/>
      </c>
      <c r="BW24" s="10">
        <f>BU24</f>
        <v/>
      </c>
      <c r="BX24" s="8">
        <f>IF(BM24&gt;0,BM24,SUM(BU24:BW24))</f>
        <v/>
      </c>
      <c r="BY24" s="32">
        <f>IF($B$27="Yes",$B$32,0)*$B$28</f>
        <v/>
      </c>
      <c r="BZ24" s="10">
        <f>BX24*BY24</f>
        <v/>
      </c>
    </row>
    <row r="25">
      <c r="E25" s="44">
        <f>SUM(E21:E24)</f>
        <v/>
      </c>
      <c r="H25" s="14">
        <f>H24+1</f>
        <v/>
      </c>
      <c r="I25" s="492" t="inlineStr">
        <is>
          <t>4 way shuttle_Direction change time</t>
        </is>
      </c>
      <c r="J25" s="28" t="inlineStr">
        <is>
          <t>To move under inbound buffer conveyor to drop pallet</t>
        </is>
      </c>
      <c r="K25" s="9">
        <f>IFERROR(VLOOKUP(I25,'Master List'!$A:$D,2,0),0)</f>
        <v/>
      </c>
      <c r="L25" s="9">
        <f>IFERROR(VLOOKUP(I25,'Master List'!$A:$D,3,0),0)</f>
        <v/>
      </c>
      <c r="M25" s="9">
        <f>IFERROR(VLOOKUP(I25,'Master List'!$A:$D,4,0),0)</f>
        <v/>
      </c>
      <c r="N25" s="32" t="n"/>
      <c r="O25" s="7">
        <f>IFERROR(L25/M25,0)</f>
        <v/>
      </c>
      <c r="P25" s="8">
        <f>IFERROR(IF(N25&lt;((1/2*M25*O25^2)*2),1/2*M25*SQRT((N25/2)*2/M25)^2,1/2*M25*O25^2),0)</f>
        <v/>
      </c>
      <c r="Q25" s="9">
        <f>IFERROR(IF(N25-P25-R25&lt;=0,0,N25-P25-R25),0)</f>
        <v/>
      </c>
      <c r="R25" s="10">
        <f>P25</f>
        <v/>
      </c>
      <c r="S25" s="8">
        <f>IFERROR(IF(N25&lt;((1/2*M25*O25^2)*2),SQRT((N25/2)*2/M25),O25),0)</f>
        <v/>
      </c>
      <c r="T25" s="9">
        <f>IFERROR(Q25/L25,0)</f>
        <v/>
      </c>
      <c r="U25" s="10">
        <f>S25</f>
        <v/>
      </c>
      <c r="V25" s="8">
        <f>IF(K25&gt;0,K25,SUM(S25:U25))</f>
        <v/>
      </c>
      <c r="W25" s="32" t="n">
        <v>1</v>
      </c>
      <c r="X25" s="10">
        <f>V25*W25</f>
        <v/>
      </c>
      <c r="Z25" s="14">
        <f>Z24+1</f>
        <v/>
      </c>
      <c r="AA25" s="492" t="inlineStr">
        <is>
          <t>4 way shuttle_Direction change time</t>
        </is>
      </c>
      <c r="AB25" s="28" t="inlineStr">
        <is>
          <t>Move under inbound buffer conveyor to drop pallet</t>
        </is>
      </c>
      <c r="AC25" s="9">
        <f>IFERROR(VLOOKUP(AA25,'Master List'!$A:$D,2,0),0)</f>
        <v/>
      </c>
      <c r="AD25" s="9">
        <f>IFERROR(VLOOKUP(AA25,'Master List'!$A:$D,3,0),0)</f>
        <v/>
      </c>
      <c r="AE25" s="9">
        <f>IFERROR(VLOOKUP(AA25,'Master List'!$A:$D,4,0),0)</f>
        <v/>
      </c>
      <c r="AF25" s="32">
        <f>N25</f>
        <v/>
      </c>
      <c r="AG25" s="7">
        <f>IFERROR(AD25/AE25,0)</f>
        <v/>
      </c>
      <c r="AH25" s="8">
        <f>IFERROR(IF(AF25&lt;((1/2*AE25*AG25^2)*2),1/2*AE25*SQRT((AF25/2)*2/AE25)^2,1/2*AE25*AG25^2),0)</f>
        <v/>
      </c>
      <c r="AI25" s="9">
        <f>IFERROR(IF(AF25-AH25-AJ25&lt;=0,0,AF25-AH25-AJ25),0)</f>
        <v/>
      </c>
      <c r="AJ25" s="10">
        <f>AH25</f>
        <v/>
      </c>
      <c r="AK25" s="8">
        <f>IFERROR(IF(AF25&lt;((1/2*AE25*AG25^2)*2),SQRT((AF25/2)*2/AE25),AG25),0)</f>
        <v/>
      </c>
      <c r="AL25" s="9">
        <f>IFERROR(AI25/AD25,0)</f>
        <v/>
      </c>
      <c r="AM25" s="10">
        <f>AK25</f>
        <v/>
      </c>
      <c r="AN25" s="8">
        <f>IF(AC25&gt;0,AC25,SUM(AK25:AM25))</f>
        <v/>
      </c>
      <c r="AO25" s="32" t="n">
        <v>1</v>
      </c>
      <c r="AP25" s="10">
        <f>AN25*AO25</f>
        <v/>
      </c>
      <c r="AR25" s="14">
        <f>AR24+1</f>
        <v/>
      </c>
      <c r="AS25" s="492" t="inlineStr">
        <is>
          <t>4 way shuttle_Direction change time</t>
        </is>
      </c>
      <c r="AT25" s="28" t="inlineStr">
        <is>
          <t>Move under inbound buffer conveyor to drop pallet</t>
        </is>
      </c>
      <c r="AU25" s="9">
        <f>IFERROR(VLOOKUP(AS25,'Master List'!$A:$D,2,0),0)</f>
        <v/>
      </c>
      <c r="AV25" s="9">
        <f>IFERROR(VLOOKUP(AS25,'Master List'!$A:$D,3,0),0)</f>
        <v/>
      </c>
      <c r="AW25" s="9">
        <f>IFERROR(VLOOKUP(AS25,'Master List'!$A:$D,4,0),0)</f>
        <v/>
      </c>
      <c r="AX25" s="32">
        <f>AF25</f>
        <v/>
      </c>
      <c r="AY25" s="7">
        <f>IFERROR(AV25/AW25,0)</f>
        <v/>
      </c>
      <c r="AZ25" s="8">
        <f>IFERROR(IF(AX25&lt;((1/2*AW25*AY25^2)*2),1/2*AW25*SQRT((AX25/2)*2/AW25)^2,1/2*AW25*AY25^2),0)</f>
        <v/>
      </c>
      <c r="BA25" s="9">
        <f>IFERROR(IF(AX25-AZ25-BB25&lt;=0,0,AX25-AZ25-BB25),0)</f>
        <v/>
      </c>
      <c r="BB25" s="10">
        <f>AZ25</f>
        <v/>
      </c>
      <c r="BC25" s="8">
        <f>IFERROR(IF(AX25&lt;((1/2*AW25*AY25^2)*2),SQRT((AX25/2)*2/AW25),AY25),0)</f>
        <v/>
      </c>
      <c r="BD25" s="9">
        <f>IFERROR(BA25/AV25,0)</f>
        <v/>
      </c>
      <c r="BE25" s="10">
        <f>BC25</f>
        <v/>
      </c>
      <c r="BF25" s="8">
        <f>IF(AU25&gt;0,AU25,SUM(BC25:BE25))</f>
        <v/>
      </c>
      <c r="BG25" s="32" t="n">
        <v>1</v>
      </c>
      <c r="BH25" s="10">
        <f>BF25*BG25</f>
        <v/>
      </c>
      <c r="BJ25" s="14">
        <f>BJ24+1</f>
        <v/>
      </c>
      <c r="BK25" s="492" t="inlineStr">
        <is>
          <t>4 way shuttle_Loaded</t>
        </is>
      </c>
      <c r="BL25" s="28" t="inlineStr">
        <is>
          <t>While picking: Traveling through pallet storage lanes to reach desired aisle</t>
        </is>
      </c>
      <c r="BM25" s="9">
        <f>IFERROR(VLOOKUP(BK25,'Master List'!$A:$D,2,0),0)</f>
        <v/>
      </c>
      <c r="BN25" s="9">
        <f>IFERROR(VLOOKUP(BK25,'Master List'!$A:$D,3,0),0)</f>
        <v/>
      </c>
      <c r="BO25" s="9">
        <f>IFERROR(VLOOKUP(BK25,'Master List'!$A:$D,4,0),0)</f>
        <v/>
      </c>
      <c r="BP25" s="32">
        <f>AX34</f>
        <v/>
      </c>
      <c r="BQ25" s="7">
        <f>IFERROR(BN25/BO25,0)</f>
        <v/>
      </c>
      <c r="BR25" s="8">
        <f>IFERROR(IF(BP25&lt;((1/2*BO25*BQ25^2)*2),1/2*BO25*SQRT((BP25/2)*2/BO25)^2,1/2*BO25*BQ25^2),0)</f>
        <v/>
      </c>
      <c r="BS25" s="9">
        <f>IFERROR(IF(BP25-BR25-BT25&lt;=0,0,BP25-BR25-BT25),0)</f>
        <v/>
      </c>
      <c r="BT25" s="10">
        <f>BR25</f>
        <v/>
      </c>
      <c r="BU25" s="8">
        <f>IFERROR(IF(BP25&lt;((1/2*BO25*BQ25^2)*2),SQRT((BP25/2)*2/BO25),BQ25),0)</f>
        <v/>
      </c>
      <c r="BV25" s="9">
        <f>IFERROR(BS25/BN25,0)</f>
        <v/>
      </c>
      <c r="BW25" s="10">
        <f>BU25</f>
        <v/>
      </c>
      <c r="BX25" s="8">
        <f>IF(BM25&gt;0,BM25,SUM(BU25:BW25))</f>
        <v/>
      </c>
      <c r="BY25" s="32">
        <f>IF($B$27="Yes",$B$32,0)*$B$28</f>
        <v/>
      </c>
      <c r="BZ25" s="10">
        <f>BX25*BY25</f>
        <v/>
      </c>
    </row>
    <row r="26">
      <c r="A26" s="33" t="inlineStr">
        <is>
          <t>Traffic factor</t>
        </is>
      </c>
      <c r="B26" s="36" t="n">
        <v>0</v>
      </c>
      <c r="C26" s="1" t="inlineStr">
        <is>
          <t>Use only if more than 1 shuttles per level</t>
        </is>
      </c>
      <c r="H26" s="14">
        <f>H25+1</f>
        <v/>
      </c>
      <c r="I26" s="492" t="inlineStr">
        <is>
          <t>4 way shuttle_Lifting time</t>
        </is>
      </c>
      <c r="J26" s="28" t="inlineStr">
        <is>
          <t>Drop pallet</t>
        </is>
      </c>
      <c r="K26" s="9">
        <f>IFERROR(VLOOKUP(I26,'Master List'!$A:$D,2,0),0)</f>
        <v/>
      </c>
      <c r="L26" s="9">
        <f>IFERROR(VLOOKUP(I26,'Master List'!$A:$D,3,0),0)</f>
        <v/>
      </c>
      <c r="M26" s="9">
        <f>IFERROR(VLOOKUP(I26,'Master List'!$A:$D,4,0),0)</f>
        <v/>
      </c>
      <c r="N26" s="32" t="n"/>
      <c r="O26" s="7">
        <f>IFERROR(L26/M26,0)</f>
        <v/>
      </c>
      <c r="P26" s="8">
        <f>IFERROR(IF(N26&lt;((1/2*M26*O26^2)*2),1/2*M26*SQRT((N26/2)*2/M26)^2,1/2*M26*O26^2),0)</f>
        <v/>
      </c>
      <c r="Q26" s="9">
        <f>IFERROR(IF(N26-P26-R26&lt;=0,0,N26-P26-R26),0)</f>
        <v/>
      </c>
      <c r="R26" s="10">
        <f>P26</f>
        <v/>
      </c>
      <c r="S26" s="8">
        <f>IFERROR(IF(N26&lt;((1/2*M26*O26^2)*2),SQRT((N26/2)*2/M26),O26),0)</f>
        <v/>
      </c>
      <c r="T26" s="9">
        <f>IFERROR(Q26/L26,0)</f>
        <v/>
      </c>
      <c r="U26" s="10">
        <f>S26</f>
        <v/>
      </c>
      <c r="V26" s="8">
        <f>IF(K26&gt;0,K26,SUM(S26:U26))</f>
        <v/>
      </c>
      <c r="W26" s="32" t="n">
        <v>1</v>
      </c>
      <c r="X26" s="10">
        <f>V26*W26</f>
        <v/>
      </c>
      <c r="Z26" s="14">
        <f>Z25+1</f>
        <v/>
      </c>
      <c r="AA26" s="492" t="inlineStr">
        <is>
          <t>4 way shuttle_Lifting time</t>
        </is>
      </c>
      <c r="AB26" s="28" t="inlineStr">
        <is>
          <t>Drop pallet</t>
        </is>
      </c>
      <c r="AC26" s="9">
        <f>IFERROR(VLOOKUP(AA26,'Master List'!$A:$D,2,0),0)</f>
        <v/>
      </c>
      <c r="AD26" s="9">
        <f>IFERROR(VLOOKUP(AA26,'Master List'!$A:$D,3,0),0)</f>
        <v/>
      </c>
      <c r="AE26" s="9">
        <f>IFERROR(VLOOKUP(AA26,'Master List'!$A:$D,4,0),0)</f>
        <v/>
      </c>
      <c r="AF26" s="32">
        <f>N26</f>
        <v/>
      </c>
      <c r="AG26" s="7">
        <f>IFERROR(AD26/AE26,0)</f>
        <v/>
      </c>
      <c r="AH26" s="8">
        <f>IFERROR(IF(AF26&lt;((1/2*AE26*AG26^2)*2),1/2*AE26*SQRT((AF26/2)*2/AE26)^2,1/2*AE26*AG26^2),0)</f>
        <v/>
      </c>
      <c r="AI26" s="9">
        <f>IFERROR(IF(AF26-AH26-AJ26&lt;=0,0,AF26-AH26-AJ26),0)</f>
        <v/>
      </c>
      <c r="AJ26" s="10">
        <f>AH26</f>
        <v/>
      </c>
      <c r="AK26" s="8">
        <f>IFERROR(IF(AF26&lt;((1/2*AE26*AG26^2)*2),SQRT((AF26/2)*2/AE26),AG26),0)</f>
        <v/>
      </c>
      <c r="AL26" s="9">
        <f>IFERROR(AI26/AD26,0)</f>
        <v/>
      </c>
      <c r="AM26" s="10">
        <f>AK26</f>
        <v/>
      </c>
      <c r="AN26" s="8">
        <f>IF(AC26&gt;0,AC26,SUM(AK26:AM26))</f>
        <v/>
      </c>
      <c r="AO26" s="32" t="n">
        <v>1</v>
      </c>
      <c r="AP26" s="10">
        <f>AN26*AO26</f>
        <v/>
      </c>
      <c r="AR26" s="14">
        <f>AR25+1</f>
        <v/>
      </c>
      <c r="AS26" s="492" t="inlineStr">
        <is>
          <t>4 way shuttle_Lifting time</t>
        </is>
      </c>
      <c r="AT26" s="28" t="inlineStr">
        <is>
          <t>Drop pallet</t>
        </is>
      </c>
      <c r="AU26" s="9">
        <f>IFERROR(VLOOKUP(AS26,'Master List'!$A:$D,2,0),0)</f>
        <v/>
      </c>
      <c r="AV26" s="9">
        <f>IFERROR(VLOOKUP(AS26,'Master List'!$A:$D,3,0),0)</f>
        <v/>
      </c>
      <c r="AW26" s="9">
        <f>IFERROR(VLOOKUP(AS26,'Master List'!$A:$D,4,0),0)</f>
        <v/>
      </c>
      <c r="AX26" s="32">
        <f>AF26</f>
        <v/>
      </c>
      <c r="AY26" s="7">
        <f>IFERROR(AV26/AW26,0)</f>
        <v/>
      </c>
      <c r="AZ26" s="8">
        <f>IFERROR(IF(AX26&lt;((1/2*AW26*AY26^2)*2),1/2*AW26*SQRT((AX26/2)*2/AW26)^2,1/2*AW26*AY26^2),0)</f>
        <v/>
      </c>
      <c r="BA26" s="9">
        <f>IFERROR(IF(AX26-AZ26-BB26&lt;=0,0,AX26-AZ26-BB26),0)</f>
        <v/>
      </c>
      <c r="BB26" s="10">
        <f>AZ26</f>
        <v/>
      </c>
      <c r="BC26" s="8">
        <f>IFERROR(IF(AX26&lt;((1/2*AW26*AY26^2)*2),SQRT((AX26/2)*2/AW26),AY26),0)</f>
        <v/>
      </c>
      <c r="BD26" s="9">
        <f>IFERROR(BA26/AV26,0)</f>
        <v/>
      </c>
      <c r="BE26" s="10">
        <f>BC26</f>
        <v/>
      </c>
      <c r="BF26" s="8">
        <f>IF(AU26&gt;0,AU26,SUM(BC26:BE26))</f>
        <v/>
      </c>
      <c r="BG26" s="32" t="n">
        <v>1</v>
      </c>
      <c r="BH26" s="10">
        <f>BF26*BG26</f>
        <v/>
      </c>
      <c r="BJ26" s="14">
        <f>BJ25+1</f>
        <v/>
      </c>
      <c r="BK26" s="492" t="inlineStr">
        <is>
          <t>4 way shuttle_Direction change time</t>
        </is>
      </c>
      <c r="BL26" s="28" t="inlineStr">
        <is>
          <t>While picking: Direction change time to change aisle</t>
        </is>
      </c>
      <c r="BM26" s="9">
        <f>IFERROR(VLOOKUP(BK26,'Master List'!$A:$D,2,0),0)</f>
        <v/>
      </c>
      <c r="BN26" s="9">
        <f>IFERROR(VLOOKUP(BK26,'Master List'!$A:$D,3,0),0)</f>
        <v/>
      </c>
      <c r="BO26" s="9">
        <f>IFERROR(VLOOKUP(BK26,'Master List'!$A:$D,4,0),0)</f>
        <v/>
      </c>
      <c r="BP26" s="32">
        <f>AX35</f>
        <v/>
      </c>
      <c r="BQ26" s="7">
        <f>IFERROR(BN26/BO26,0)</f>
        <v/>
      </c>
      <c r="BR26" s="8">
        <f>IFERROR(IF(BP26&lt;((1/2*BO26*BQ26^2)*2),1/2*BO26*SQRT((BP26/2)*2/BO26)^2,1/2*BO26*BQ26^2),0)</f>
        <v/>
      </c>
      <c r="BS26" s="9">
        <f>IFERROR(IF(BP26-BR26-BT26&lt;=0,0,BP26-BR26-BT26),0)</f>
        <v/>
      </c>
      <c r="BT26" s="10">
        <f>BR26</f>
        <v/>
      </c>
      <c r="BU26" s="8">
        <f>IFERROR(IF(BP26&lt;((1/2*BO26*BQ26^2)*2),SQRT((BP26/2)*2/BO26),BQ26),0)</f>
        <v/>
      </c>
      <c r="BV26" s="9">
        <f>IFERROR(BS26/BN26,0)</f>
        <v/>
      </c>
      <c r="BW26" s="10">
        <f>BU26</f>
        <v/>
      </c>
      <c r="BX26" s="8">
        <f>IF(BM26&gt;0,BM26,SUM(BU26:BW26))</f>
        <v/>
      </c>
      <c r="BY26" s="32">
        <f>IF($B$27="Yes",$B$32,0)*$B$28</f>
        <v/>
      </c>
      <c r="BZ26" s="10">
        <f>BX26*BY26</f>
        <v/>
      </c>
    </row>
    <row r="27">
      <c r="A27" s="30" t="inlineStr">
        <is>
          <t>Aisle change</t>
        </is>
      </c>
      <c r="B27" s="26" t="inlineStr">
        <is>
          <t>Yes</t>
        </is>
      </c>
      <c r="H27" s="14">
        <f>H26+1</f>
        <v/>
      </c>
      <c r="I27" s="492" t="inlineStr">
        <is>
          <t>4 way shuttle_Unloaded</t>
        </is>
      </c>
      <c r="J27" s="28" t="inlineStr">
        <is>
          <t>Move out of inbound buffer conveyor</t>
        </is>
      </c>
      <c r="K27" s="9">
        <f>IFERROR(VLOOKUP(I27,'Master List'!$A:$D,2,0),0)</f>
        <v/>
      </c>
      <c r="L27" s="9">
        <f>IFERROR(VLOOKUP(I27,'Master List'!$A:$D,3,0),0)</f>
        <v/>
      </c>
      <c r="M27" s="9">
        <f>IFERROR(VLOOKUP(I27,'Master List'!$A:$D,4,0),0)</f>
        <v/>
      </c>
      <c r="N27" s="32">
        <f>N10</f>
        <v/>
      </c>
      <c r="O27" s="7">
        <f>IFERROR(L27/M27,0)</f>
        <v/>
      </c>
      <c r="P27" s="8">
        <f>IFERROR(IF(N27&lt;((1/2*M27*O27^2)*2),1/2*M27*SQRT((N27/2)*2/M27)^2,1/2*M27*O27^2),0)</f>
        <v/>
      </c>
      <c r="Q27" s="9">
        <f>IFERROR(IF(N27-P27-R27&lt;=0,0,N27-P27-R27),0)</f>
        <v/>
      </c>
      <c r="R27" s="10">
        <f>P27</f>
        <v/>
      </c>
      <c r="S27" s="8">
        <f>IFERROR(IF(N27&lt;((1/2*M27*O27^2)*2),SQRT((N27/2)*2/M27),O27),0)</f>
        <v/>
      </c>
      <c r="T27" s="9">
        <f>IFERROR(Q27/L27,0)</f>
        <v/>
      </c>
      <c r="U27" s="10">
        <f>S27</f>
        <v/>
      </c>
      <c r="V27" s="8">
        <f>IF(K27&gt;0,K27,SUM(S27:U27))</f>
        <v/>
      </c>
      <c r="W27" s="32" t="n">
        <v>1</v>
      </c>
      <c r="X27" s="10">
        <f>V27*W27</f>
        <v/>
      </c>
      <c r="Z27" s="14">
        <f>Z26+1</f>
        <v/>
      </c>
      <c r="AA27" s="492" t="inlineStr">
        <is>
          <t>4 way shuttle_Unloaded</t>
        </is>
      </c>
      <c r="AB27" s="28" t="inlineStr">
        <is>
          <t>Move out of inbound buffer conveyor</t>
        </is>
      </c>
      <c r="AC27" s="9">
        <f>IFERROR(VLOOKUP(AA27,'Master List'!$A:$D,2,0),0)</f>
        <v/>
      </c>
      <c r="AD27" s="9">
        <f>IFERROR(VLOOKUP(AA27,'Master List'!$A:$D,3,0),0)</f>
        <v/>
      </c>
      <c r="AE27" s="9">
        <f>IFERROR(VLOOKUP(AA27,'Master List'!$A:$D,4,0),0)</f>
        <v/>
      </c>
      <c r="AF27" s="32">
        <f>N27</f>
        <v/>
      </c>
      <c r="AG27" s="7">
        <f>IFERROR(AD27/AE27,0)</f>
        <v/>
      </c>
      <c r="AH27" s="8">
        <f>IFERROR(IF(AF27&lt;((1/2*AE27*AG27^2)*2),1/2*AE27*SQRT((AF27/2)*2/AE27)^2,1/2*AE27*AG27^2),0)</f>
        <v/>
      </c>
      <c r="AI27" s="9">
        <f>IFERROR(IF(AF27-AH27-AJ27&lt;=0,0,AF27-AH27-AJ27),0)</f>
        <v/>
      </c>
      <c r="AJ27" s="10">
        <f>AH27</f>
        <v/>
      </c>
      <c r="AK27" s="8">
        <f>IFERROR(IF(AF27&lt;((1/2*AE27*AG27^2)*2),SQRT((AF27/2)*2/AE27),AG27),0)</f>
        <v/>
      </c>
      <c r="AL27" s="9">
        <f>IFERROR(AI27/AD27,0)</f>
        <v/>
      </c>
      <c r="AM27" s="10">
        <f>AK27</f>
        <v/>
      </c>
      <c r="AN27" s="8">
        <f>IF(AC27&gt;0,AC27,SUM(AK27:AM27))</f>
        <v/>
      </c>
      <c r="AO27" s="32" t="n">
        <v>1</v>
      </c>
      <c r="AP27" s="10">
        <f>AN27*AO27</f>
        <v/>
      </c>
      <c r="AR27" s="14">
        <f>AR26+1</f>
        <v/>
      </c>
      <c r="AS27" s="492" t="inlineStr">
        <is>
          <t>4 way shuttle_Unloaded</t>
        </is>
      </c>
      <c r="AT27" s="28" t="inlineStr">
        <is>
          <t>Move out of inbound buffer conveyor</t>
        </is>
      </c>
      <c r="AU27" s="9">
        <f>IFERROR(VLOOKUP(AS27,'Master List'!$A:$D,2,0),0)</f>
        <v/>
      </c>
      <c r="AV27" s="9">
        <f>IFERROR(VLOOKUP(AS27,'Master List'!$A:$D,3,0),0)</f>
        <v/>
      </c>
      <c r="AW27" s="9">
        <f>IFERROR(VLOOKUP(AS27,'Master List'!$A:$D,4,0),0)</f>
        <v/>
      </c>
      <c r="AX27" s="32">
        <f>AF27</f>
        <v/>
      </c>
      <c r="AY27" s="7">
        <f>IFERROR(AV27/AW27,0)</f>
        <v/>
      </c>
      <c r="AZ27" s="8">
        <f>IFERROR(IF(AX27&lt;((1/2*AW27*AY27^2)*2),1/2*AW27*SQRT((AX27/2)*2/AW27)^2,1/2*AW27*AY27^2),0)</f>
        <v/>
      </c>
      <c r="BA27" s="9">
        <f>IFERROR(IF(AX27-AZ27-BB27&lt;=0,0,AX27-AZ27-BB27),0)</f>
        <v/>
      </c>
      <c r="BB27" s="10">
        <f>AZ27</f>
        <v/>
      </c>
      <c r="BC27" s="8">
        <f>IFERROR(IF(AX27&lt;((1/2*AW27*AY27^2)*2),SQRT((AX27/2)*2/AW27),AY27),0)</f>
        <v/>
      </c>
      <c r="BD27" s="9">
        <f>IFERROR(BA27/AV27,0)</f>
        <v/>
      </c>
      <c r="BE27" s="10">
        <f>BC27</f>
        <v/>
      </c>
      <c r="BF27" s="8">
        <f>IF(AU27&gt;0,AU27,SUM(BC27:BE27))</f>
        <v/>
      </c>
      <c r="BG27" s="32" t="n">
        <v>1</v>
      </c>
      <c r="BH27" s="10">
        <f>BF27*BG27</f>
        <v/>
      </c>
      <c r="BJ27" s="14">
        <f>BJ26+1</f>
        <v/>
      </c>
      <c r="BK27" s="500" t="n"/>
      <c r="BL27" s="501" t="inlineStr">
        <is>
          <t>Level changing scenario additional times</t>
        </is>
      </c>
      <c r="BM27" s="502">
        <f>IFERROR(VLOOKUP(BK27,'Master List'!$A:$D,2,0),0)</f>
        <v/>
      </c>
      <c r="BN27" s="502">
        <f>IFERROR(VLOOKUP(BK27,'Master List'!$A:$D,3,0),0)</f>
        <v/>
      </c>
      <c r="BO27" s="502">
        <f>IFERROR(VLOOKUP(BK27,'Master List'!$A:$D,4,0),0)</f>
        <v/>
      </c>
      <c r="BP27" s="503" t="n"/>
      <c r="BQ27" s="504">
        <f>IFERROR(BN27/BO27,0)</f>
        <v/>
      </c>
      <c r="BR27" s="505">
        <f>IFERROR(IF(BP27&lt;((1/2*BO27*BQ27^2)*2),1/2*BO27*SQRT((BP27/2)*2/BO27)^2,1/2*BO27*BQ27^2),0)</f>
        <v/>
      </c>
      <c r="BS27" s="502">
        <f>IFERROR(IF(BP27-BR27-BT27&lt;=0,0,BP27-BR27-BT27),0)</f>
        <v/>
      </c>
      <c r="BT27" s="506">
        <f>BR27</f>
        <v/>
      </c>
      <c r="BU27" s="505">
        <f>IFERROR(IF(BP27&lt;((1/2*BO27*BQ27^2)*2),SQRT((BP27/2)*2/BO27),BQ27),0)</f>
        <v/>
      </c>
      <c r="BV27" s="502">
        <f>IFERROR(BS27/BN27,0)</f>
        <v/>
      </c>
      <c r="BW27" s="506">
        <f>BU27</f>
        <v/>
      </c>
      <c r="BX27" s="505">
        <f>IF(BM27&gt;0,BM27,SUM(BU27:BW27))</f>
        <v/>
      </c>
      <c r="BY27" s="503" t="n"/>
      <c r="BZ27" s="506">
        <f>BX27*BY27</f>
        <v/>
      </c>
    </row>
    <row r="28">
      <c r="A28" s="30" t="inlineStr">
        <is>
          <t>Number of aisles to change</t>
        </is>
      </c>
      <c r="B28" s="26" t="n">
        <v>1</v>
      </c>
      <c r="H28" s="14">
        <f>H27+1</f>
        <v/>
      </c>
      <c r="I28" s="492" t="inlineStr">
        <is>
          <t>4 way shuttle_Unloaded</t>
        </is>
      </c>
      <c r="J28" s="28" t="inlineStr">
        <is>
          <t>Move in Inbound buffer conveyor to pick new pallet</t>
        </is>
      </c>
      <c r="K28" s="9">
        <f>IFERROR(VLOOKUP(I28,'Master List'!$A:$D,2,0),0)</f>
        <v/>
      </c>
      <c r="L28" s="9">
        <f>IFERROR(VLOOKUP(I28,'Master List'!$A:$D,3,0),0)</f>
        <v/>
      </c>
      <c r="M28" s="9">
        <f>IFERROR(VLOOKUP(I28,'Master List'!$A:$D,4,0),0)</f>
        <v/>
      </c>
      <c r="N28" s="32">
        <f>N27</f>
        <v/>
      </c>
      <c r="O28" s="7">
        <f>IFERROR(L28/M28,0)</f>
        <v/>
      </c>
      <c r="P28" s="8">
        <f>IFERROR(IF(N28&lt;((1/2*M28*O28^2)*2),1/2*M28*SQRT((N28/2)*2/M28)^2,1/2*M28*O28^2),0)</f>
        <v/>
      </c>
      <c r="Q28" s="9">
        <f>IFERROR(IF(N28-P28-R28&lt;=0,0,N28-P28-R28),0)</f>
        <v/>
      </c>
      <c r="R28" s="10">
        <f>P28</f>
        <v/>
      </c>
      <c r="S28" s="8">
        <f>IFERROR(IF(N28&lt;((1/2*M28*O28^2)*2),SQRT((N28/2)*2/M28),O28),0)</f>
        <v/>
      </c>
      <c r="T28" s="9">
        <f>IFERROR(Q28/L28,0)</f>
        <v/>
      </c>
      <c r="U28" s="10">
        <f>S28</f>
        <v/>
      </c>
      <c r="V28" s="8">
        <f>IF(K28&gt;0,K28,SUM(S28:U28))</f>
        <v/>
      </c>
      <c r="W28" s="32" t="n">
        <v>1</v>
      </c>
      <c r="X28" s="10">
        <f>V28*W28</f>
        <v/>
      </c>
      <c r="Z28" s="14">
        <f>Z27+1</f>
        <v/>
      </c>
      <c r="AA28" s="492" t="inlineStr">
        <is>
          <t>4 way shuttle_Unloaded</t>
        </is>
      </c>
      <c r="AB28" s="28" t="inlineStr">
        <is>
          <t>Move in Inbound buffer conveyor to pick new pallet</t>
        </is>
      </c>
      <c r="AC28" s="9">
        <f>IFERROR(VLOOKUP(AA28,'Master List'!$A:$D,2,0),0)</f>
        <v/>
      </c>
      <c r="AD28" s="9">
        <f>IFERROR(VLOOKUP(AA28,'Master List'!$A:$D,3,0),0)</f>
        <v/>
      </c>
      <c r="AE28" s="9">
        <f>IFERROR(VLOOKUP(AA28,'Master List'!$A:$D,4,0),0)</f>
        <v/>
      </c>
      <c r="AF28" s="32">
        <f>N28</f>
        <v/>
      </c>
      <c r="AG28" s="7">
        <f>IFERROR(AD28/AE28,0)</f>
        <v/>
      </c>
      <c r="AH28" s="8">
        <f>IFERROR(IF(AF28&lt;((1/2*AE28*AG28^2)*2),1/2*AE28*SQRT((AF28/2)*2/AE28)^2,1/2*AE28*AG28^2),0)</f>
        <v/>
      </c>
      <c r="AI28" s="9">
        <f>IFERROR(IF(AF28-AH28-AJ28&lt;=0,0,AF28-AH28-AJ28),0)</f>
        <v/>
      </c>
      <c r="AJ28" s="10">
        <f>AH28</f>
        <v/>
      </c>
      <c r="AK28" s="8">
        <f>IFERROR(IF(AF28&lt;((1/2*AE28*AG28^2)*2),SQRT((AF28/2)*2/AE28),AG28),0)</f>
        <v/>
      </c>
      <c r="AL28" s="9">
        <f>IFERROR(AI28/AD28,0)</f>
        <v/>
      </c>
      <c r="AM28" s="10">
        <f>AK28</f>
        <v/>
      </c>
      <c r="AN28" s="8">
        <f>IF(AC28&gt;0,AC28,SUM(AK28:AM28))</f>
        <v/>
      </c>
      <c r="AO28" s="32" t="n">
        <v>1</v>
      </c>
      <c r="AP28" s="10">
        <f>AN28*AO28</f>
        <v/>
      </c>
      <c r="AR28" s="14">
        <f>AR27+1</f>
        <v/>
      </c>
      <c r="AS28" s="492" t="inlineStr">
        <is>
          <t>4 way shuttle_Unloaded</t>
        </is>
      </c>
      <c r="AT28" s="28" t="inlineStr">
        <is>
          <t>Move in Inbound buffer conveyor to pick new pallet</t>
        </is>
      </c>
      <c r="AU28" s="9">
        <f>IFERROR(VLOOKUP(AS28,'Master List'!$A:$D,2,0),0)</f>
        <v/>
      </c>
      <c r="AV28" s="9">
        <f>IFERROR(VLOOKUP(AS28,'Master List'!$A:$D,3,0),0)</f>
        <v/>
      </c>
      <c r="AW28" s="9">
        <f>IFERROR(VLOOKUP(AS28,'Master List'!$A:$D,4,0),0)</f>
        <v/>
      </c>
      <c r="AX28" s="32">
        <f>AF28</f>
        <v/>
      </c>
      <c r="AY28" s="7">
        <f>IFERROR(AV28/AW28,0)</f>
        <v/>
      </c>
      <c r="AZ28" s="8">
        <f>IFERROR(IF(AX28&lt;((1/2*AW28*AY28^2)*2),1/2*AW28*SQRT((AX28/2)*2/AW28)^2,1/2*AW28*AY28^2),0)</f>
        <v/>
      </c>
      <c r="BA28" s="9">
        <f>IFERROR(IF(AX28-AZ28-BB28&lt;=0,0,AX28-AZ28-BB28),0)</f>
        <v/>
      </c>
      <c r="BB28" s="10">
        <f>AZ28</f>
        <v/>
      </c>
      <c r="BC28" s="8">
        <f>IFERROR(IF(AX28&lt;((1/2*AW28*AY28^2)*2),SQRT((AX28/2)*2/AW28),AY28),0)</f>
        <v/>
      </c>
      <c r="BD28" s="9">
        <f>IFERROR(BA28/AV28,0)</f>
        <v/>
      </c>
      <c r="BE28" s="10">
        <f>BC28</f>
        <v/>
      </c>
      <c r="BF28" s="8">
        <f>IF(AU28&gt;0,AU28,SUM(BC28:BE28))</f>
        <v/>
      </c>
      <c r="BG28" s="32" t="n">
        <v>1</v>
      </c>
      <c r="BH28" s="10">
        <f>BF28*BG28</f>
        <v/>
      </c>
      <c r="BJ28" s="14">
        <f>BJ27+1</f>
        <v/>
      </c>
      <c r="BK28" s="492" t="inlineStr">
        <is>
          <t>4 way shuttle_Unloaded</t>
        </is>
      </c>
      <c r="BL28" s="28" t="inlineStr">
        <is>
          <t>Move in to lift</t>
        </is>
      </c>
      <c r="BM28" s="9">
        <f>IFERROR(VLOOKUP(BK28,'Master List'!$A:$D,2,0),0)</f>
        <v/>
      </c>
      <c r="BN28" s="9">
        <f>IFERROR(VLOOKUP(BK28,'Master List'!$A:$D,3,0),0)</f>
        <v/>
      </c>
      <c r="BO28" s="9">
        <f>IFERROR(VLOOKUP(BK28,'Master List'!$A:$D,4,0),0)</f>
        <v/>
      </c>
      <c r="BP28" s="32">
        <f>AX37</f>
        <v/>
      </c>
      <c r="BQ28" s="7">
        <f>IFERROR(BN28/BO28,0)</f>
        <v/>
      </c>
      <c r="BR28" s="8">
        <f>IFERROR(IF(BP28&lt;((1/2*BO28*BQ28^2)*2),1/2*BO28*SQRT((BP28/2)*2/BO28)^2,1/2*BO28*BQ28^2),0)</f>
        <v/>
      </c>
      <c r="BS28" s="9">
        <f>IFERROR(IF(BP28-BR28-BT28&lt;=0,0,BP28-BR28-BT28),0)</f>
        <v/>
      </c>
      <c r="BT28" s="10">
        <f>BR28</f>
        <v/>
      </c>
      <c r="BU28" s="8">
        <f>IFERROR(IF(BP28&lt;((1/2*BO28*BQ28^2)*2),SQRT((BP28/2)*2/BO28),BQ28),0)</f>
        <v/>
      </c>
      <c r="BV28" s="9">
        <f>IFERROR(BS28/BN28,0)</f>
        <v/>
      </c>
      <c r="BW28" s="10">
        <f>BU28</f>
        <v/>
      </c>
      <c r="BX28" s="8">
        <f>IF(BM28&gt;0,BM28,SUM(BU28:BW28))</f>
        <v/>
      </c>
      <c r="BY28" s="32">
        <f>IF($B$29="Yes",$B$33,0)</f>
        <v/>
      </c>
      <c r="BZ28" s="10">
        <f>BX28*BY28</f>
        <v/>
      </c>
    </row>
    <row r="29">
      <c r="A29" s="30" t="inlineStr">
        <is>
          <t>Level change</t>
        </is>
      </c>
      <c r="B29" s="26" t="inlineStr">
        <is>
          <t>Yes</t>
        </is>
      </c>
      <c r="H29" s="14">
        <f>H28+1</f>
        <v/>
      </c>
      <c r="I29" s="500" t="n"/>
      <c r="J29" s="501" t="inlineStr">
        <is>
          <t>Aisle changing scenario additional times</t>
        </is>
      </c>
      <c r="K29" s="502">
        <f>IFERROR(VLOOKUP(I29,'Master List'!$A:$D,2,0),0)</f>
        <v/>
      </c>
      <c r="L29" s="502">
        <f>IFERROR(VLOOKUP(I29,'Master List'!$A:$D,3,0),0)</f>
        <v/>
      </c>
      <c r="M29" s="502">
        <f>IFERROR(VLOOKUP(I29,'Master List'!$A:$D,4,0),0)</f>
        <v/>
      </c>
      <c r="N29" s="503" t="n"/>
      <c r="O29" s="504">
        <f>IFERROR(L29/M29,0)</f>
        <v/>
      </c>
      <c r="P29" s="505">
        <f>IFERROR(IF(N29&lt;((1/2*M29*O29^2)*2),1/2*M29*SQRT((N29/2)*2/M29)^2,1/2*M29*O29^2),0)</f>
        <v/>
      </c>
      <c r="Q29" s="502">
        <f>IFERROR(IF(N29-P29-R29&lt;=0,0,N29-P29-R29),0)</f>
        <v/>
      </c>
      <c r="R29" s="506">
        <f>P29</f>
        <v/>
      </c>
      <c r="S29" s="505">
        <f>IFERROR(IF(N29&lt;((1/2*M29*O29^2)*2),SQRT((N29/2)*2/M29),O29),0)</f>
        <v/>
      </c>
      <c r="T29" s="502">
        <f>IFERROR(Q29/L29,0)</f>
        <v/>
      </c>
      <c r="U29" s="506">
        <f>S29</f>
        <v/>
      </c>
      <c r="V29" s="505">
        <f>IF(K29&gt;0,K29,SUM(S29:U29))</f>
        <v/>
      </c>
      <c r="W29" s="503" t="n"/>
      <c r="X29" s="506">
        <f>V29*W29</f>
        <v/>
      </c>
      <c r="Z29" s="14">
        <f>Z28+1</f>
        <v/>
      </c>
      <c r="AA29" s="500" t="n"/>
      <c r="AB29" s="501" t="inlineStr">
        <is>
          <t>Aisle changing scenario additional times</t>
        </is>
      </c>
      <c r="AC29" s="502">
        <f>IFERROR(VLOOKUP(AA29,'Master List'!$A:$D,2,0),0)</f>
        <v/>
      </c>
      <c r="AD29" s="502">
        <f>IFERROR(VLOOKUP(AA29,'Master List'!$A:$D,3,0),0)</f>
        <v/>
      </c>
      <c r="AE29" s="502">
        <f>IFERROR(VLOOKUP(AA29,'Master List'!$A:$D,4,0),0)</f>
        <v/>
      </c>
      <c r="AF29" s="503" t="n"/>
      <c r="AG29" s="504">
        <f>IFERROR(AD29/AE29,0)</f>
        <v/>
      </c>
      <c r="AH29" s="505">
        <f>IFERROR(IF(AF29&lt;((1/2*AE29*AG29^2)*2),1/2*AE29*SQRT((AF29/2)*2/AE29)^2,1/2*AE29*AG29^2),0)</f>
        <v/>
      </c>
      <c r="AI29" s="502">
        <f>IFERROR(IF(AF29-AH29-AJ29&lt;=0,0,AF29-AH29-AJ29),0)</f>
        <v/>
      </c>
      <c r="AJ29" s="506">
        <f>AH29</f>
        <v/>
      </c>
      <c r="AK29" s="505">
        <f>IFERROR(IF(AF29&lt;((1/2*AE29*AG29^2)*2),SQRT((AF29/2)*2/AE29),AG29),0)</f>
        <v/>
      </c>
      <c r="AL29" s="502">
        <f>IFERROR(AI29/AD29,0)</f>
        <v/>
      </c>
      <c r="AM29" s="506">
        <f>AK29</f>
        <v/>
      </c>
      <c r="AN29" s="505">
        <f>IF(AC29&gt;0,AC29,SUM(AK29:AM29))</f>
        <v/>
      </c>
      <c r="AO29" s="503" t="n"/>
      <c r="AP29" s="506">
        <f>AN29*AO29</f>
        <v/>
      </c>
      <c r="AR29" s="14">
        <f>AR28+1</f>
        <v/>
      </c>
      <c r="AS29" s="500" t="n"/>
      <c r="AT29" s="501" t="inlineStr">
        <is>
          <t>Aisle changing scenario additional times</t>
        </is>
      </c>
      <c r="AU29" s="502">
        <f>IFERROR(VLOOKUP(AS29,'Master List'!$A:$D,2,0),0)</f>
        <v/>
      </c>
      <c r="AV29" s="502">
        <f>IFERROR(VLOOKUP(AS29,'Master List'!$A:$D,3,0),0)</f>
        <v/>
      </c>
      <c r="AW29" s="502">
        <f>IFERROR(VLOOKUP(AS29,'Master List'!$A:$D,4,0),0)</f>
        <v/>
      </c>
      <c r="AX29" s="503" t="n"/>
      <c r="AY29" s="504">
        <f>IFERROR(AV29/AW29,0)</f>
        <v/>
      </c>
      <c r="AZ29" s="505">
        <f>IFERROR(IF(AX29&lt;((1/2*AW29*AY29^2)*2),1/2*AW29*SQRT((AX29/2)*2/AW29)^2,1/2*AW29*AY29^2),0)</f>
        <v/>
      </c>
      <c r="BA29" s="502">
        <f>IFERROR(IF(AX29-AZ29-BB29&lt;=0,0,AX29-AZ29-BB29),0)</f>
        <v/>
      </c>
      <c r="BB29" s="506">
        <f>AZ29</f>
        <v/>
      </c>
      <c r="BC29" s="505">
        <f>IFERROR(IF(AX29&lt;((1/2*AW29*AY29^2)*2),SQRT((AX29/2)*2/AW29),AY29),0)</f>
        <v/>
      </c>
      <c r="BD29" s="502">
        <f>IFERROR(BA29/AV29,0)</f>
        <v/>
      </c>
      <c r="BE29" s="506">
        <f>BC29</f>
        <v/>
      </c>
      <c r="BF29" s="505">
        <f>IF(AU29&gt;0,AU29,SUM(BC29:BE29))</f>
        <v/>
      </c>
      <c r="BG29" s="503" t="n"/>
      <c r="BH29" s="506">
        <f>BF29*BG29</f>
        <v/>
      </c>
      <c r="BJ29" s="14">
        <f>BJ28+1</f>
        <v/>
      </c>
      <c r="BK29" s="492" t="inlineStr">
        <is>
          <t>Pallet lift positioning travel</t>
        </is>
      </c>
      <c r="BL29" s="28" t="inlineStr">
        <is>
          <t>While getting shuttle in</t>
        </is>
      </c>
      <c r="BM29" s="9">
        <f>IFERROR(VLOOKUP(BK29,'Master List'!$A:$D,2,0),0)</f>
        <v/>
      </c>
      <c r="BN29" s="9">
        <f>IFERROR(VLOOKUP(BK29,'Master List'!$A:$D,3,0),0)</f>
        <v/>
      </c>
      <c r="BO29" s="9">
        <f>IFERROR(VLOOKUP(BK29,'Master List'!$A:$D,4,0),0)</f>
        <v/>
      </c>
      <c r="BP29" s="32">
        <f>AX38</f>
        <v/>
      </c>
      <c r="BQ29" s="7">
        <f>IFERROR(BN29/BO29,0)</f>
        <v/>
      </c>
      <c r="BR29" s="8">
        <f>IFERROR(IF(BP29&lt;((1/2*BO29*BQ29^2)*2),1/2*BO29*SQRT((BP29/2)*2/BO29)^2,1/2*BO29*BQ29^2),0)</f>
        <v/>
      </c>
      <c r="BS29" s="9">
        <f>IFERROR(IF(BP29-BR29-BT29&lt;=0,0,BP29-BR29-BT29),0)</f>
        <v/>
      </c>
      <c r="BT29" s="10">
        <f>BR29</f>
        <v/>
      </c>
      <c r="BU29" s="8">
        <f>IFERROR(IF(BP29&lt;((1/2*BO29*BQ29^2)*2),SQRT((BP29/2)*2/BO29),BQ29),0)</f>
        <v/>
      </c>
      <c r="BV29" s="9">
        <f>IFERROR(BS29/BN29,0)</f>
        <v/>
      </c>
      <c r="BW29" s="10">
        <f>BU29</f>
        <v/>
      </c>
      <c r="BX29" s="8">
        <f>IF(BM29&gt;0,BM29,SUM(BU29:BW29))</f>
        <v/>
      </c>
      <c r="BY29" s="32">
        <f>IF($B$29="Yes",$B$33,0)</f>
        <v/>
      </c>
      <c r="BZ29" s="10">
        <f>BX29*BY29</f>
        <v/>
      </c>
    </row>
    <row r="30">
      <c r="H30" s="14">
        <f>H29+1</f>
        <v/>
      </c>
      <c r="I30" s="492" t="inlineStr">
        <is>
          <t>4 way shuttle_Direction change time</t>
        </is>
      </c>
      <c r="J30" s="28" t="inlineStr">
        <is>
          <t>While putaway: Direction change time to change aisle</t>
        </is>
      </c>
      <c r="K30" s="9">
        <f>IFERROR(VLOOKUP(I30,'Master List'!$A:$D,2,0),0)</f>
        <v/>
      </c>
      <c r="L30" s="9">
        <f>IFERROR(VLOOKUP(I30,'Master List'!$A:$D,3,0),0)</f>
        <v/>
      </c>
      <c r="M30" s="9">
        <f>IFERROR(VLOOKUP(I30,'Master List'!$A:$D,4,0),0)</f>
        <v/>
      </c>
      <c r="N30" s="32" t="n"/>
      <c r="O30" s="7">
        <f>IFERROR(L30/M30,0)</f>
        <v/>
      </c>
      <c r="P30" s="8">
        <f>IFERROR(IF(N30&lt;((1/2*M30*O30^2)*2),1/2*M30*SQRT((N30/2)*2/M30)^2,1/2*M30*O30^2),0)</f>
        <v/>
      </c>
      <c r="Q30" s="9">
        <f>IFERROR(IF(N30-P30-R30&lt;=0,0,N30-P30-R30),0)</f>
        <v/>
      </c>
      <c r="R30" s="10">
        <f>P30</f>
        <v/>
      </c>
      <c r="S30" s="8">
        <f>IFERROR(IF(N30&lt;((1/2*M30*O30^2)*2),SQRT((N30/2)*2/M30),O30),0)</f>
        <v/>
      </c>
      <c r="T30" s="9">
        <f>IFERROR(Q30/L30,0)</f>
        <v/>
      </c>
      <c r="U30" s="10">
        <f>S30</f>
        <v/>
      </c>
      <c r="V30" s="8">
        <f>IF(K30&gt;0,K30,SUM(S30:U30))</f>
        <v/>
      </c>
      <c r="W30" s="32">
        <f>IF($B$27="Yes",$B$32,0)*$B$28</f>
        <v/>
      </c>
      <c r="X30" s="10">
        <f>V30*W30</f>
        <v/>
      </c>
      <c r="Z30" s="14">
        <f>Z29+1</f>
        <v/>
      </c>
      <c r="AA30" s="492" t="inlineStr">
        <is>
          <t>4 way shuttle_Direction change time</t>
        </is>
      </c>
      <c r="AB30" s="28" t="inlineStr">
        <is>
          <t>While putaway: Direction change time to change aisle</t>
        </is>
      </c>
      <c r="AC30" s="9">
        <f>IFERROR(VLOOKUP(AA30,'Master List'!$A:$D,2,0),0)</f>
        <v/>
      </c>
      <c r="AD30" s="9">
        <f>IFERROR(VLOOKUP(AA30,'Master List'!$A:$D,3,0),0)</f>
        <v/>
      </c>
      <c r="AE30" s="9">
        <f>IFERROR(VLOOKUP(AA30,'Master List'!$A:$D,4,0),0)</f>
        <v/>
      </c>
      <c r="AF30" s="32">
        <f>N30</f>
        <v/>
      </c>
      <c r="AG30" s="7">
        <f>IFERROR(AD30/AE30,0)</f>
        <v/>
      </c>
      <c r="AH30" s="8">
        <f>IFERROR(IF(AF30&lt;((1/2*AE30*AG30^2)*2),1/2*AE30*SQRT((AF30/2)*2/AE30)^2,1/2*AE30*AG30^2),0)</f>
        <v/>
      </c>
      <c r="AI30" s="9">
        <f>IFERROR(IF(AF30-AH30-AJ30&lt;=0,0,AF30-AH30-AJ30),0)</f>
        <v/>
      </c>
      <c r="AJ30" s="10">
        <f>AH30</f>
        <v/>
      </c>
      <c r="AK30" s="8">
        <f>IFERROR(IF(AF30&lt;((1/2*AE30*AG30^2)*2),SQRT((AF30/2)*2/AE30),AG30),0)</f>
        <v/>
      </c>
      <c r="AL30" s="9">
        <f>IFERROR(AI30/AD30,0)</f>
        <v/>
      </c>
      <c r="AM30" s="10">
        <f>AK30</f>
        <v/>
      </c>
      <c r="AN30" s="8">
        <f>IF(AC30&gt;0,AC30,SUM(AK30:AM30))</f>
        <v/>
      </c>
      <c r="AO30" s="32">
        <f>IF($B$27="Yes",$B$32,0)*$B$28</f>
        <v/>
      </c>
      <c r="AP30" s="10">
        <f>AN30*AO30</f>
        <v/>
      </c>
      <c r="AR30" s="14">
        <f>AR29+1</f>
        <v/>
      </c>
      <c r="AS30" s="492" t="inlineStr">
        <is>
          <t>4 way shuttle_Direction change time</t>
        </is>
      </c>
      <c r="AT30" s="28" t="inlineStr">
        <is>
          <t>While putaway: Direction change time to change aisle</t>
        </is>
      </c>
      <c r="AU30" s="9">
        <f>IFERROR(VLOOKUP(AS30,'Master List'!$A:$D,2,0),0)</f>
        <v/>
      </c>
      <c r="AV30" s="9">
        <f>IFERROR(VLOOKUP(AS30,'Master List'!$A:$D,3,0),0)</f>
        <v/>
      </c>
      <c r="AW30" s="9">
        <f>IFERROR(VLOOKUP(AS30,'Master List'!$A:$D,4,0),0)</f>
        <v/>
      </c>
      <c r="AX30" s="32">
        <f>AF30</f>
        <v/>
      </c>
      <c r="AY30" s="7">
        <f>IFERROR(AV30/AW30,0)</f>
        <v/>
      </c>
      <c r="AZ30" s="8">
        <f>IFERROR(IF(AX30&lt;((1/2*AW30*AY30^2)*2),1/2*AW30*SQRT((AX30/2)*2/AW30)^2,1/2*AW30*AY30^2),0)</f>
        <v/>
      </c>
      <c r="BA30" s="9">
        <f>IFERROR(IF(AX30-AZ30-BB30&lt;=0,0,AX30-AZ30-BB30),0)</f>
        <v/>
      </c>
      <c r="BB30" s="10">
        <f>AZ30</f>
        <v/>
      </c>
      <c r="BC30" s="8">
        <f>IFERROR(IF(AX30&lt;((1/2*AW30*AY30^2)*2),SQRT((AX30/2)*2/AW30),AY30),0)</f>
        <v/>
      </c>
      <c r="BD30" s="9">
        <f>IFERROR(BA30/AV30,0)</f>
        <v/>
      </c>
      <c r="BE30" s="10">
        <f>BC30</f>
        <v/>
      </c>
      <c r="BF30" s="8">
        <f>IF(AU30&gt;0,AU30,SUM(BC30:BE30))</f>
        <v/>
      </c>
      <c r="BG30" s="32">
        <f>IF($B$27="Yes",$B$32,0)*$B$28</f>
        <v/>
      </c>
      <c r="BH30" s="10">
        <f>BF30*BG30</f>
        <v/>
      </c>
      <c r="BJ30" s="14">
        <f>BJ29+1</f>
        <v/>
      </c>
      <c r="BK30" s="492" t="inlineStr">
        <is>
          <t>Pallet lift poistitioning time</t>
        </is>
      </c>
      <c r="BL30" s="28" t="inlineStr">
        <is>
          <t>While getting shuttle in</t>
        </is>
      </c>
      <c r="BM30" s="9">
        <f>IFERROR(VLOOKUP(BK30,'Master List'!$A:$D,2,0),0)</f>
        <v/>
      </c>
      <c r="BN30" s="9">
        <f>IFERROR(VLOOKUP(BK30,'Master List'!$A:$D,3,0),0)</f>
        <v/>
      </c>
      <c r="BO30" s="9">
        <f>IFERROR(VLOOKUP(BK30,'Master List'!$A:$D,4,0),0)</f>
        <v/>
      </c>
      <c r="BP30" s="32">
        <f>AX39</f>
        <v/>
      </c>
      <c r="BQ30" s="7">
        <f>IFERROR(BN30/BO30,0)</f>
        <v/>
      </c>
      <c r="BR30" s="8">
        <f>IFERROR(IF(BP30&lt;((1/2*BO30*BQ30^2)*2),1/2*BO30*SQRT((BP30/2)*2/BO30)^2,1/2*BO30*BQ30^2),0)</f>
        <v/>
      </c>
      <c r="BS30" s="9">
        <f>IFERROR(IF(BP30-BR30-BT30&lt;=0,0,BP30-BR30-BT30),0)</f>
        <v/>
      </c>
      <c r="BT30" s="10">
        <f>BR30</f>
        <v/>
      </c>
      <c r="BU30" s="8">
        <f>IFERROR(IF(BP30&lt;((1/2*BO30*BQ30^2)*2),SQRT((BP30/2)*2/BO30),BQ30),0)</f>
        <v/>
      </c>
      <c r="BV30" s="9">
        <f>IFERROR(BS30/BN30,0)</f>
        <v/>
      </c>
      <c r="BW30" s="10">
        <f>BU30</f>
        <v/>
      </c>
      <c r="BX30" s="8">
        <f>IF(BM30&gt;0,BM30,SUM(BU30:BW30))</f>
        <v/>
      </c>
      <c r="BY30" s="32">
        <f>IF($B$29="Yes",$B$33,0)</f>
        <v/>
      </c>
      <c r="BZ30" s="10">
        <f>BX30*BY30</f>
        <v/>
      </c>
    </row>
    <row r="31">
      <c r="A31" s="30" t="inlineStr">
        <is>
          <t>Lift travel m</t>
        </is>
      </c>
      <c r="B31" s="26" t="n">
        <v>3.75</v>
      </c>
      <c r="H31" s="14">
        <f>H30+1</f>
        <v/>
      </c>
      <c r="I31" s="492" t="inlineStr">
        <is>
          <t>4 way shuttle_Unloaded</t>
        </is>
      </c>
      <c r="J31" s="28" t="inlineStr">
        <is>
          <t>While putaway: Traveling through pallet storage lanes to reach desired aisle</t>
        </is>
      </c>
      <c r="K31" s="9">
        <f>IFERROR(VLOOKUP(I31,'Master List'!$A:$D,2,0),0)</f>
        <v/>
      </c>
      <c r="L31" s="9">
        <f>IFERROR(VLOOKUP(I31,'Master List'!$A:$D,3,0),0)</f>
        <v/>
      </c>
      <c r="M31" s="9">
        <f>IFERROR(VLOOKUP(I31,'Master List'!$A:$D,4,0),0)</f>
        <v/>
      </c>
      <c r="N31" s="32">
        <f>IF($B$28=1,$B$17,($B$17+(($B$28*$B$36)-$B$36)))</f>
        <v/>
      </c>
      <c r="O31" s="7">
        <f>IFERROR(L31/M31,0)</f>
        <v/>
      </c>
      <c r="P31" s="8">
        <f>IFERROR(IF(N31&lt;((1/2*M31*O31^2)*2),1/2*M31*SQRT((N31/2)*2/M31)^2,1/2*M31*O31^2),0)</f>
        <v/>
      </c>
      <c r="Q31" s="9">
        <f>IFERROR(IF(N31-P31-R31&lt;=0,0,N31-P31-R31),0)</f>
        <v/>
      </c>
      <c r="R31" s="10">
        <f>P31</f>
        <v/>
      </c>
      <c r="S31" s="8">
        <f>IFERROR(IF(N31&lt;((1/2*M31*O31^2)*2),SQRT((N31/2)*2/M31),O31),0)</f>
        <v/>
      </c>
      <c r="T31" s="9">
        <f>IFERROR(Q31/L31,0)</f>
        <v/>
      </c>
      <c r="U31" s="10">
        <f>S31</f>
        <v/>
      </c>
      <c r="V31" s="8">
        <f>IF(K31&gt;0,K31,SUM(S31:U31))</f>
        <v/>
      </c>
      <c r="W31" s="32">
        <f>IF($B$27="Yes",$B$32,0)*$B$28</f>
        <v/>
      </c>
      <c r="X31" s="10">
        <f>V31*W31</f>
        <v/>
      </c>
      <c r="Z31" s="14">
        <f>Z30+1</f>
        <v/>
      </c>
      <c r="AA31" s="492" t="inlineStr">
        <is>
          <t>4 way shuttle_Unloaded</t>
        </is>
      </c>
      <c r="AB31" s="28" t="inlineStr">
        <is>
          <t>While putaway: Traveling through pallet storage lanes to reach desired aisle</t>
        </is>
      </c>
      <c r="AC31" s="9">
        <f>IFERROR(VLOOKUP(AA31,'Master List'!$A:$D,2,0),0)</f>
        <v/>
      </c>
      <c r="AD31" s="9">
        <f>IFERROR(VLOOKUP(AA31,'Master List'!$A:$D,3,0),0)</f>
        <v/>
      </c>
      <c r="AE31" s="9">
        <f>IFERROR(VLOOKUP(AA31,'Master List'!$A:$D,4,0),0)</f>
        <v/>
      </c>
      <c r="AF31" s="32">
        <f>IF($B$28=1,$B$17,($B$17+(($B$28*$B$36)-$B$36)))</f>
        <v/>
      </c>
      <c r="AG31" s="7">
        <f>IFERROR(AD31/AE31,0)</f>
        <v/>
      </c>
      <c r="AH31" s="8">
        <f>IFERROR(IF(AF31&lt;((1/2*AE31*AG31^2)*2),1/2*AE31*SQRT((AF31/2)*2/AE31)^2,1/2*AE31*AG31^2),0)</f>
        <v/>
      </c>
      <c r="AI31" s="9">
        <f>IFERROR(IF(AF31-AH31-AJ31&lt;=0,0,AF31-AH31-AJ31),0)</f>
        <v/>
      </c>
      <c r="AJ31" s="10">
        <f>AH31</f>
        <v/>
      </c>
      <c r="AK31" s="8">
        <f>IFERROR(IF(AF31&lt;((1/2*AE31*AG31^2)*2),SQRT((AF31/2)*2/AE31),AG31),0)</f>
        <v/>
      </c>
      <c r="AL31" s="9">
        <f>IFERROR(AI31/AD31,0)</f>
        <v/>
      </c>
      <c r="AM31" s="10">
        <f>AK31</f>
        <v/>
      </c>
      <c r="AN31" s="8">
        <f>IF(AC31&gt;0,AC31,SUM(AK31:AM31))</f>
        <v/>
      </c>
      <c r="AO31" s="32">
        <f>IF($B$27="Yes",$B$32,0)*$B$28</f>
        <v/>
      </c>
      <c r="AP31" s="10">
        <f>AN31*AO31</f>
        <v/>
      </c>
      <c r="AR31" s="14">
        <f>AR30+1</f>
        <v/>
      </c>
      <c r="AS31" s="492" t="inlineStr">
        <is>
          <t>4 way shuttle_Unloaded</t>
        </is>
      </c>
      <c r="AT31" s="28" t="inlineStr">
        <is>
          <t>While putaway: Traveling through pallet storage lanes to reach desired aisle</t>
        </is>
      </c>
      <c r="AU31" s="9">
        <f>IFERROR(VLOOKUP(AS31,'Master List'!$A:$D,2,0),0)</f>
        <v/>
      </c>
      <c r="AV31" s="9">
        <f>IFERROR(VLOOKUP(AS31,'Master List'!$A:$D,3,0),0)</f>
        <v/>
      </c>
      <c r="AW31" s="9">
        <f>IFERROR(VLOOKUP(AS31,'Master List'!$A:$D,4,0),0)</f>
        <v/>
      </c>
      <c r="AX31" s="32">
        <f>IF($B$28=1,$B$17,($B$17+(($B$28*$B$36)-$B$36)))</f>
        <v/>
      </c>
      <c r="AY31" s="7">
        <f>IFERROR(AV31/AW31,0)</f>
        <v/>
      </c>
      <c r="AZ31" s="8">
        <f>IFERROR(IF(AX31&lt;((1/2*AW31*AY31^2)*2),1/2*AW31*SQRT((AX31/2)*2/AW31)^2,1/2*AW31*AY31^2),0)</f>
        <v/>
      </c>
      <c r="BA31" s="9">
        <f>IFERROR(IF(AX31-AZ31-BB31&lt;=0,0,AX31-AZ31-BB31),0)</f>
        <v/>
      </c>
      <c r="BB31" s="10">
        <f>AZ31</f>
        <v/>
      </c>
      <c r="BC31" s="8">
        <f>IFERROR(IF(AX31&lt;((1/2*AW31*AY31^2)*2),SQRT((AX31/2)*2/AW31),AY31),0)</f>
        <v/>
      </c>
      <c r="BD31" s="9">
        <f>IFERROR(BA31/AV31,0)</f>
        <v/>
      </c>
      <c r="BE31" s="10">
        <f>BC31</f>
        <v/>
      </c>
      <c r="BF31" s="8">
        <f>IF(AU31&gt;0,AU31,SUM(BC31:BE31))</f>
        <v/>
      </c>
      <c r="BG31" s="32">
        <f>IF($B$27="Yes",$B$32,0)*$B$28</f>
        <v/>
      </c>
      <c r="BH31" s="10">
        <f>BF31*BG31</f>
        <v/>
      </c>
      <c r="BJ31" s="14">
        <f>BJ30+1</f>
        <v/>
      </c>
      <c r="BK31" s="492" t="inlineStr">
        <is>
          <t>Pallet lift loaded or unloaded travel 0.6 m/s</t>
        </is>
      </c>
      <c r="BL31" s="28" t="inlineStr">
        <is>
          <t>Travel to desired level</t>
        </is>
      </c>
      <c r="BM31" s="9">
        <f>IFERROR(VLOOKUP(BK31,'Master List'!$A:$D,2,0),0)</f>
        <v/>
      </c>
      <c r="BN31" s="9">
        <f>IFERROR(VLOOKUP(BK31,'Master List'!$A:$D,3,0),0)</f>
        <v/>
      </c>
      <c r="BO31" s="9">
        <f>IFERROR(VLOOKUP(BK31,'Master List'!$A:$D,4,0),0)</f>
        <v/>
      </c>
      <c r="BP31" s="32">
        <f>AX40</f>
        <v/>
      </c>
      <c r="BQ31" s="7">
        <f>IFERROR(BN31/BO31,0)</f>
        <v/>
      </c>
      <c r="BR31" s="8">
        <f>IFERROR(IF(BP31&lt;((1/2*BO31*BQ31^2)*2),1/2*BO31*SQRT((BP31/2)*2/BO31)^2,1/2*BO31*BQ31^2),0)</f>
        <v/>
      </c>
      <c r="BS31" s="9">
        <f>IFERROR(IF(BP31-BR31-BT31&lt;=0,0,BP31-BR31-BT31),0)</f>
        <v/>
      </c>
      <c r="BT31" s="10">
        <f>BR31</f>
        <v/>
      </c>
      <c r="BU31" s="8">
        <f>IFERROR(IF(BP31&lt;((1/2*BO31*BQ31^2)*2),SQRT((BP31/2)*2/BO31),BQ31),0)</f>
        <v/>
      </c>
      <c r="BV31" s="9">
        <f>IFERROR(BS31/BN31,0)</f>
        <v/>
      </c>
      <c r="BW31" s="10">
        <f>BU31</f>
        <v/>
      </c>
      <c r="BX31" s="8">
        <f>IF(BM31&gt;0,BM31,SUM(BU31:BW31))</f>
        <v/>
      </c>
      <c r="BY31" s="32">
        <f>IF($B$29="Yes",$B$33,0)</f>
        <v/>
      </c>
      <c r="BZ31" s="10">
        <f>BX31*BY31</f>
        <v/>
      </c>
    </row>
    <row r="32">
      <c r="A32" s="30" t="inlineStr">
        <is>
          <t>Number of time per hour shuttle to change aisle</t>
        </is>
      </c>
      <c r="B32" s="26" t="n">
        <v>6</v>
      </c>
      <c r="H32" s="14">
        <f>H31+1</f>
        <v/>
      </c>
      <c r="I32" s="492" t="inlineStr">
        <is>
          <t>4 way shuttle_Direction change time</t>
        </is>
      </c>
      <c r="J32" s="28" t="inlineStr">
        <is>
          <t>While putaway: Direction change time to change aisle</t>
        </is>
      </c>
      <c r="K32" s="9">
        <f>IFERROR(VLOOKUP(I32,'Master List'!$A:$D,2,0),0)</f>
        <v/>
      </c>
      <c r="L32" s="9">
        <f>IFERROR(VLOOKUP(I32,'Master List'!$A:$D,3,0),0)</f>
        <v/>
      </c>
      <c r="M32" s="9">
        <f>IFERROR(VLOOKUP(I32,'Master List'!$A:$D,4,0),0)</f>
        <v/>
      </c>
      <c r="N32" s="32" t="n"/>
      <c r="O32" s="7">
        <f>IFERROR(L32/M32,0)</f>
        <v/>
      </c>
      <c r="P32" s="8">
        <f>IFERROR(IF(N32&lt;((1/2*M32*O32^2)*2),1/2*M32*SQRT((N32/2)*2/M32)^2,1/2*M32*O32^2),0)</f>
        <v/>
      </c>
      <c r="Q32" s="9">
        <f>IFERROR(IF(N32-P32-R32&lt;=0,0,N32-P32-R32),0)</f>
        <v/>
      </c>
      <c r="R32" s="10">
        <f>P32</f>
        <v/>
      </c>
      <c r="S32" s="8">
        <f>IFERROR(IF(N32&lt;((1/2*M32*O32^2)*2),SQRT((N32/2)*2/M32),O32),0)</f>
        <v/>
      </c>
      <c r="T32" s="9">
        <f>IFERROR(Q32/L32,0)</f>
        <v/>
      </c>
      <c r="U32" s="10">
        <f>S32</f>
        <v/>
      </c>
      <c r="V32" s="8">
        <f>IF(K32&gt;0,K32,SUM(S32:U32))</f>
        <v/>
      </c>
      <c r="W32" s="32">
        <f>IF($B$27="Yes",$B$32,0)*$B$28</f>
        <v/>
      </c>
      <c r="X32" s="10">
        <f>V32*W32</f>
        <v/>
      </c>
      <c r="Z32" s="14">
        <f>Z31+1</f>
        <v/>
      </c>
      <c r="AA32" s="492" t="inlineStr">
        <is>
          <t>4 way shuttle_Direction change time</t>
        </is>
      </c>
      <c r="AB32" s="28" t="inlineStr">
        <is>
          <t>While putaway: Direction change time to change aisle</t>
        </is>
      </c>
      <c r="AC32" s="9">
        <f>IFERROR(VLOOKUP(AA32,'Master List'!$A:$D,2,0),0)</f>
        <v/>
      </c>
      <c r="AD32" s="9">
        <f>IFERROR(VLOOKUP(AA32,'Master List'!$A:$D,3,0),0)</f>
        <v/>
      </c>
      <c r="AE32" s="9">
        <f>IFERROR(VLOOKUP(AA32,'Master List'!$A:$D,4,0),0)</f>
        <v/>
      </c>
      <c r="AF32" s="32">
        <f>N32</f>
        <v/>
      </c>
      <c r="AG32" s="7">
        <f>IFERROR(AD32/AE32,0)</f>
        <v/>
      </c>
      <c r="AH32" s="8">
        <f>IFERROR(IF(AF32&lt;((1/2*AE32*AG32^2)*2),1/2*AE32*SQRT((AF32/2)*2/AE32)^2,1/2*AE32*AG32^2),0)</f>
        <v/>
      </c>
      <c r="AI32" s="9">
        <f>IFERROR(IF(AF32-AH32-AJ32&lt;=0,0,AF32-AH32-AJ32),0)</f>
        <v/>
      </c>
      <c r="AJ32" s="10">
        <f>AH32</f>
        <v/>
      </c>
      <c r="AK32" s="8">
        <f>IFERROR(IF(AF32&lt;((1/2*AE32*AG32^2)*2),SQRT((AF32/2)*2/AE32),AG32),0)</f>
        <v/>
      </c>
      <c r="AL32" s="9">
        <f>IFERROR(AI32/AD32,0)</f>
        <v/>
      </c>
      <c r="AM32" s="10">
        <f>AK32</f>
        <v/>
      </c>
      <c r="AN32" s="8">
        <f>IF(AC32&gt;0,AC32,SUM(AK32:AM32))</f>
        <v/>
      </c>
      <c r="AO32" s="32">
        <f>IF($B$27="Yes",$B$32,0)*$B$28</f>
        <v/>
      </c>
      <c r="AP32" s="10">
        <f>AN32*AO32</f>
        <v/>
      </c>
      <c r="AR32" s="14">
        <f>AR31+1</f>
        <v/>
      </c>
      <c r="AS32" s="492" t="inlineStr">
        <is>
          <t>4 way shuttle_Direction change time</t>
        </is>
      </c>
      <c r="AT32" s="28" t="inlineStr">
        <is>
          <t>While putaway: Direction change time to change aisle</t>
        </is>
      </c>
      <c r="AU32" s="9">
        <f>IFERROR(VLOOKUP(AS32,'Master List'!$A:$D,2,0),0)</f>
        <v/>
      </c>
      <c r="AV32" s="9">
        <f>IFERROR(VLOOKUP(AS32,'Master List'!$A:$D,3,0),0)</f>
        <v/>
      </c>
      <c r="AW32" s="9">
        <f>IFERROR(VLOOKUP(AS32,'Master List'!$A:$D,4,0),0)</f>
        <v/>
      </c>
      <c r="AX32" s="32">
        <f>AF32</f>
        <v/>
      </c>
      <c r="AY32" s="7">
        <f>IFERROR(AV32/AW32,0)</f>
        <v/>
      </c>
      <c r="AZ32" s="8">
        <f>IFERROR(IF(AX32&lt;((1/2*AW32*AY32^2)*2),1/2*AW32*SQRT((AX32/2)*2/AW32)^2,1/2*AW32*AY32^2),0)</f>
        <v/>
      </c>
      <c r="BA32" s="9">
        <f>IFERROR(IF(AX32-AZ32-BB32&lt;=0,0,AX32-AZ32-BB32),0)</f>
        <v/>
      </c>
      <c r="BB32" s="10">
        <f>AZ32</f>
        <v/>
      </c>
      <c r="BC32" s="8">
        <f>IFERROR(IF(AX32&lt;((1/2*AW32*AY32^2)*2),SQRT((AX32/2)*2/AW32),AY32),0)</f>
        <v/>
      </c>
      <c r="BD32" s="9">
        <f>IFERROR(BA32/AV32,0)</f>
        <v/>
      </c>
      <c r="BE32" s="10">
        <f>BC32</f>
        <v/>
      </c>
      <c r="BF32" s="8">
        <f>IF(AU32&gt;0,AU32,SUM(BC32:BE32))</f>
        <v/>
      </c>
      <c r="BG32" s="32">
        <f>IF($B$27="Yes",$B$32,0)*$B$28</f>
        <v/>
      </c>
      <c r="BH32" s="10">
        <f>BF32*BG32</f>
        <v/>
      </c>
      <c r="BJ32" s="14">
        <f>BJ31+1</f>
        <v/>
      </c>
      <c r="BK32" s="492" t="inlineStr">
        <is>
          <t>Pallet lift positioning travel</t>
        </is>
      </c>
      <c r="BL32" s="28" t="inlineStr">
        <is>
          <t>While getting shuttle out</t>
        </is>
      </c>
      <c r="BM32" s="9">
        <f>IFERROR(VLOOKUP(BK32,'Master List'!$A:$D,2,0),0)</f>
        <v/>
      </c>
      <c r="BN32" s="9">
        <f>IFERROR(VLOOKUP(BK32,'Master List'!$A:$D,3,0),0)</f>
        <v/>
      </c>
      <c r="BO32" s="9">
        <f>IFERROR(VLOOKUP(BK32,'Master List'!$A:$D,4,0),0)</f>
        <v/>
      </c>
      <c r="BP32" s="32">
        <f>AX41</f>
        <v/>
      </c>
      <c r="BQ32" s="7">
        <f>IFERROR(BN32/BO32,0)</f>
        <v/>
      </c>
      <c r="BR32" s="8">
        <f>IFERROR(IF(BP32&lt;((1/2*BO32*BQ32^2)*2),1/2*BO32*SQRT((BP32/2)*2/BO32)^2,1/2*BO32*BQ32^2),0)</f>
        <v/>
      </c>
      <c r="BS32" s="9">
        <f>IFERROR(IF(BP32-BR32-BT32&lt;=0,0,BP32-BR32-BT32),0)</f>
        <v/>
      </c>
      <c r="BT32" s="10">
        <f>BR32</f>
        <v/>
      </c>
      <c r="BU32" s="8">
        <f>IFERROR(IF(BP32&lt;((1/2*BO32*BQ32^2)*2),SQRT((BP32/2)*2/BO32),BQ32),0)</f>
        <v/>
      </c>
      <c r="BV32" s="9">
        <f>IFERROR(BS32/BN32,0)</f>
        <v/>
      </c>
      <c r="BW32" s="10">
        <f>BU32</f>
        <v/>
      </c>
      <c r="BX32" s="8">
        <f>IF(BM32&gt;0,BM32,SUM(BU32:BW32))</f>
        <v/>
      </c>
      <c r="BY32" s="32">
        <f>IF($B$29="Yes",$B$33,0)</f>
        <v/>
      </c>
      <c r="BZ32" s="10">
        <f>BX32*BY32</f>
        <v/>
      </c>
    </row>
    <row r="33">
      <c r="A33" s="30" t="inlineStr">
        <is>
          <t>Number of time per hour shuttle to change level</t>
        </is>
      </c>
      <c r="B33" s="26" t="n">
        <v>1</v>
      </c>
      <c r="H33" s="14">
        <f>H32+1</f>
        <v/>
      </c>
      <c r="I33" s="492" t="inlineStr">
        <is>
          <t>4 way shuttle_Direction change time</t>
        </is>
      </c>
      <c r="J33" s="28" t="inlineStr">
        <is>
          <t>While picking: Direction change time to change aisle</t>
        </is>
      </c>
      <c r="K33" s="9">
        <f>IFERROR(VLOOKUP(I33,'Master List'!$A:$D,2,0),0)</f>
        <v/>
      </c>
      <c r="L33" s="9">
        <f>IFERROR(VLOOKUP(I33,'Master List'!$A:$D,3,0),0)</f>
        <v/>
      </c>
      <c r="M33" s="9">
        <f>IFERROR(VLOOKUP(I33,'Master List'!$A:$D,4,0),0)</f>
        <v/>
      </c>
      <c r="N33" s="32" t="n"/>
      <c r="O33" s="7">
        <f>IFERROR(L33/M33,0)</f>
        <v/>
      </c>
      <c r="P33" s="8">
        <f>IFERROR(IF(N33&lt;((1/2*M33*O33^2)*2),1/2*M33*SQRT((N33/2)*2/M33)^2,1/2*M33*O33^2),0)</f>
        <v/>
      </c>
      <c r="Q33" s="9">
        <f>IFERROR(IF(N33-P33-R33&lt;=0,0,N33-P33-R33),0)</f>
        <v/>
      </c>
      <c r="R33" s="10">
        <f>P33</f>
        <v/>
      </c>
      <c r="S33" s="8">
        <f>IFERROR(IF(N33&lt;((1/2*M33*O33^2)*2),SQRT((N33/2)*2/M33),O33),0)</f>
        <v/>
      </c>
      <c r="T33" s="9">
        <f>IFERROR(Q33/L33,0)</f>
        <v/>
      </c>
      <c r="U33" s="10">
        <f>S33</f>
        <v/>
      </c>
      <c r="V33" s="8">
        <f>IF(K33&gt;0,K33,SUM(S33:U33))</f>
        <v/>
      </c>
      <c r="W33" s="32">
        <f>IF($B$27="Yes",$B$32,0)*$B$28</f>
        <v/>
      </c>
      <c r="X33" s="10">
        <f>V33*W33</f>
        <v/>
      </c>
      <c r="Z33" s="14">
        <f>Z32+1</f>
        <v/>
      </c>
      <c r="AA33" s="492" t="inlineStr">
        <is>
          <t>4 way shuttle_Direction change time</t>
        </is>
      </c>
      <c r="AB33" s="28" t="inlineStr">
        <is>
          <t>While picking: Direction change time to change aisle</t>
        </is>
      </c>
      <c r="AC33" s="9">
        <f>IFERROR(VLOOKUP(AA33,'Master List'!$A:$D,2,0),0)</f>
        <v/>
      </c>
      <c r="AD33" s="9">
        <f>IFERROR(VLOOKUP(AA33,'Master List'!$A:$D,3,0),0)</f>
        <v/>
      </c>
      <c r="AE33" s="9">
        <f>IFERROR(VLOOKUP(AA33,'Master List'!$A:$D,4,0),0)</f>
        <v/>
      </c>
      <c r="AF33" s="32">
        <f>N33</f>
        <v/>
      </c>
      <c r="AG33" s="7">
        <f>IFERROR(AD33/AE33,0)</f>
        <v/>
      </c>
      <c r="AH33" s="8">
        <f>IFERROR(IF(AF33&lt;((1/2*AE33*AG33^2)*2),1/2*AE33*SQRT((AF33/2)*2/AE33)^2,1/2*AE33*AG33^2),0)</f>
        <v/>
      </c>
      <c r="AI33" s="9">
        <f>IFERROR(IF(AF33-AH33-AJ33&lt;=0,0,AF33-AH33-AJ33),0)</f>
        <v/>
      </c>
      <c r="AJ33" s="10">
        <f>AH33</f>
        <v/>
      </c>
      <c r="AK33" s="8">
        <f>IFERROR(IF(AF33&lt;((1/2*AE33*AG33^2)*2),SQRT((AF33/2)*2/AE33),AG33),0)</f>
        <v/>
      </c>
      <c r="AL33" s="9">
        <f>IFERROR(AI33/AD33,0)</f>
        <v/>
      </c>
      <c r="AM33" s="10">
        <f>AK33</f>
        <v/>
      </c>
      <c r="AN33" s="8">
        <f>IF(AC33&gt;0,AC33,SUM(AK33:AM33))</f>
        <v/>
      </c>
      <c r="AO33" s="32">
        <f>IF($B$27="Yes",$B$32,0)*$B$28</f>
        <v/>
      </c>
      <c r="AP33" s="10">
        <f>AN33*AO33</f>
        <v/>
      </c>
      <c r="AR33" s="14">
        <f>AR32+1</f>
        <v/>
      </c>
      <c r="AS33" s="492" t="inlineStr">
        <is>
          <t>4 way shuttle_Direction change time</t>
        </is>
      </c>
      <c r="AT33" s="28" t="inlineStr">
        <is>
          <t>While picking: Direction change time to change aisle</t>
        </is>
      </c>
      <c r="AU33" s="9">
        <f>IFERROR(VLOOKUP(AS33,'Master List'!$A:$D,2,0),0)</f>
        <v/>
      </c>
      <c r="AV33" s="9">
        <f>IFERROR(VLOOKUP(AS33,'Master List'!$A:$D,3,0),0)</f>
        <v/>
      </c>
      <c r="AW33" s="9">
        <f>IFERROR(VLOOKUP(AS33,'Master List'!$A:$D,4,0),0)</f>
        <v/>
      </c>
      <c r="AX33" s="32">
        <f>AF33</f>
        <v/>
      </c>
      <c r="AY33" s="7">
        <f>IFERROR(AV33/AW33,0)</f>
        <v/>
      </c>
      <c r="AZ33" s="8">
        <f>IFERROR(IF(AX33&lt;((1/2*AW33*AY33^2)*2),1/2*AW33*SQRT((AX33/2)*2/AW33)^2,1/2*AW33*AY33^2),0)</f>
        <v/>
      </c>
      <c r="BA33" s="9">
        <f>IFERROR(IF(AX33-AZ33-BB33&lt;=0,0,AX33-AZ33-BB33),0)</f>
        <v/>
      </c>
      <c r="BB33" s="10">
        <f>AZ33</f>
        <v/>
      </c>
      <c r="BC33" s="8">
        <f>IFERROR(IF(AX33&lt;((1/2*AW33*AY33^2)*2),SQRT((AX33/2)*2/AW33),AY33),0)</f>
        <v/>
      </c>
      <c r="BD33" s="9">
        <f>IFERROR(BA33/AV33,0)</f>
        <v/>
      </c>
      <c r="BE33" s="10">
        <f>BC33</f>
        <v/>
      </c>
      <c r="BF33" s="8">
        <f>IF(AU33&gt;0,AU33,SUM(BC33:BE33))</f>
        <v/>
      </c>
      <c r="BG33" s="32">
        <f>IF($B$27="Yes",$B$32,0)*$B$28</f>
        <v/>
      </c>
      <c r="BH33" s="10">
        <f>BF33*BG33</f>
        <v/>
      </c>
      <c r="BJ33" s="14">
        <f>BJ32+1</f>
        <v/>
      </c>
      <c r="BK33" s="492" t="inlineStr">
        <is>
          <t>Pallet lift poistitioning time</t>
        </is>
      </c>
      <c r="BL33" s="28" t="inlineStr">
        <is>
          <t>While getting shuttle out</t>
        </is>
      </c>
      <c r="BM33" s="9">
        <f>IFERROR(VLOOKUP(BK33,'Master List'!$A:$D,2,0),0)</f>
        <v/>
      </c>
      <c r="BN33" s="9">
        <f>IFERROR(VLOOKUP(BK33,'Master List'!$A:$D,3,0),0)</f>
        <v/>
      </c>
      <c r="BO33" s="9">
        <f>IFERROR(VLOOKUP(BK33,'Master List'!$A:$D,4,0),0)</f>
        <v/>
      </c>
      <c r="BP33" s="32">
        <f>AX42</f>
        <v/>
      </c>
      <c r="BQ33" s="7">
        <f>IFERROR(BN33/BO33,0)</f>
        <v/>
      </c>
      <c r="BR33" s="8">
        <f>IFERROR(IF(BP33&lt;((1/2*BO33*BQ33^2)*2),1/2*BO33*SQRT((BP33/2)*2/BO33)^2,1/2*BO33*BQ33^2),0)</f>
        <v/>
      </c>
      <c r="BS33" s="9">
        <f>IFERROR(IF(BP33-BR33-BT33&lt;=0,0,BP33-BR33-BT33),0)</f>
        <v/>
      </c>
      <c r="BT33" s="10">
        <f>BR33</f>
        <v/>
      </c>
      <c r="BU33" s="8">
        <f>IFERROR(IF(BP33&lt;((1/2*BO33*BQ33^2)*2),SQRT((BP33/2)*2/BO33),BQ33),0)</f>
        <v/>
      </c>
      <c r="BV33" s="9">
        <f>IFERROR(BS33/BN33,0)</f>
        <v/>
      </c>
      <c r="BW33" s="10">
        <f>BU33</f>
        <v/>
      </c>
      <c r="BX33" s="8">
        <f>IF(BM33&gt;0,BM33,SUM(BU33:BW33))</f>
        <v/>
      </c>
      <c r="BY33" s="32">
        <f>IF($B$29="Yes",$B$33,0)</f>
        <v/>
      </c>
      <c r="BZ33" s="10">
        <f>BX33*BY33</f>
        <v/>
      </c>
    </row>
    <row r="34">
      <c r="A34" s="30" t="inlineStr">
        <is>
          <t>Distance between highway and lift in m</t>
        </is>
      </c>
      <c r="B34" s="26" t="n">
        <v>1.5</v>
      </c>
      <c r="H34" s="14">
        <f>H33+1</f>
        <v/>
      </c>
      <c r="I34" s="492" t="inlineStr">
        <is>
          <t>4 way shuttle_Loaded</t>
        </is>
      </c>
      <c r="J34" s="28" t="inlineStr">
        <is>
          <t>While picking: Traveling through pallet storage lanes to reach desired aisle</t>
        </is>
      </c>
      <c r="K34" s="9">
        <f>IFERROR(VLOOKUP(I34,'Master List'!$A:$D,2,0),0)</f>
        <v/>
      </c>
      <c r="L34" s="9">
        <f>IFERROR(VLOOKUP(I34,'Master List'!$A:$D,3,0),0)</f>
        <v/>
      </c>
      <c r="M34" s="9">
        <f>IFERROR(VLOOKUP(I34,'Master List'!$A:$D,4,0),0)</f>
        <v/>
      </c>
      <c r="N34" s="32">
        <f>N31</f>
        <v/>
      </c>
      <c r="O34" s="7">
        <f>IFERROR(L34/M34,0)</f>
        <v/>
      </c>
      <c r="P34" s="8">
        <f>IFERROR(IF(N34&lt;((1/2*M34*O34^2)*2),1/2*M34*SQRT((N34/2)*2/M34)^2,1/2*M34*O34^2),0)</f>
        <v/>
      </c>
      <c r="Q34" s="9">
        <f>IFERROR(IF(N34-P34-R34&lt;=0,0,N34-P34-R34),0)</f>
        <v/>
      </c>
      <c r="R34" s="10">
        <f>P34</f>
        <v/>
      </c>
      <c r="S34" s="8">
        <f>IFERROR(IF(N34&lt;((1/2*M34*O34^2)*2),SQRT((N34/2)*2/M34),O34),0)</f>
        <v/>
      </c>
      <c r="T34" s="9">
        <f>IFERROR(Q34/L34,0)</f>
        <v/>
      </c>
      <c r="U34" s="10">
        <f>S34</f>
        <v/>
      </c>
      <c r="V34" s="8">
        <f>IF(K34&gt;0,K34,SUM(S34:U34))</f>
        <v/>
      </c>
      <c r="W34" s="32">
        <f>IF($B$27="Yes",$B$32,0)*$B$28</f>
        <v/>
      </c>
      <c r="X34" s="10">
        <f>V34*W34</f>
        <v/>
      </c>
      <c r="Z34" s="14">
        <f>Z33+1</f>
        <v/>
      </c>
      <c r="AA34" s="492" t="inlineStr">
        <is>
          <t>4 way shuttle_Loaded</t>
        </is>
      </c>
      <c r="AB34" s="28" t="inlineStr">
        <is>
          <t>While picking: Traveling through pallet storage lanes to reach desired aisle</t>
        </is>
      </c>
      <c r="AC34" s="9">
        <f>IFERROR(VLOOKUP(AA34,'Master List'!$A:$D,2,0),0)</f>
        <v/>
      </c>
      <c r="AD34" s="9">
        <f>IFERROR(VLOOKUP(AA34,'Master List'!$A:$D,3,0),0)</f>
        <v/>
      </c>
      <c r="AE34" s="9">
        <f>IFERROR(VLOOKUP(AA34,'Master List'!$A:$D,4,0),0)</f>
        <v/>
      </c>
      <c r="AF34" s="32">
        <f>N34</f>
        <v/>
      </c>
      <c r="AG34" s="7">
        <f>IFERROR(AD34/AE34,0)</f>
        <v/>
      </c>
      <c r="AH34" s="8">
        <f>IFERROR(IF(AF34&lt;((1/2*AE34*AG34^2)*2),1/2*AE34*SQRT((AF34/2)*2/AE34)^2,1/2*AE34*AG34^2),0)</f>
        <v/>
      </c>
      <c r="AI34" s="9">
        <f>IFERROR(IF(AF34-AH34-AJ34&lt;=0,0,AF34-AH34-AJ34),0)</f>
        <v/>
      </c>
      <c r="AJ34" s="10">
        <f>AH34</f>
        <v/>
      </c>
      <c r="AK34" s="8">
        <f>IFERROR(IF(AF34&lt;((1/2*AE34*AG34^2)*2),SQRT((AF34/2)*2/AE34),AG34),0)</f>
        <v/>
      </c>
      <c r="AL34" s="9">
        <f>IFERROR(AI34/AD34,0)</f>
        <v/>
      </c>
      <c r="AM34" s="10">
        <f>AK34</f>
        <v/>
      </c>
      <c r="AN34" s="8">
        <f>IF(AC34&gt;0,AC34,SUM(AK34:AM34))</f>
        <v/>
      </c>
      <c r="AO34" s="32">
        <f>IF($B$27="Yes",$B$32,0)*$B$28</f>
        <v/>
      </c>
      <c r="AP34" s="10">
        <f>AN34*AO34</f>
        <v/>
      </c>
      <c r="AR34" s="14">
        <f>AR33+1</f>
        <v/>
      </c>
      <c r="AS34" s="492" t="inlineStr">
        <is>
          <t>4 way shuttle_Loaded</t>
        </is>
      </c>
      <c r="AT34" s="28" t="inlineStr">
        <is>
          <t>While picking: Traveling through pallet storage lanes to reach desired aisle</t>
        </is>
      </c>
      <c r="AU34" s="9">
        <f>IFERROR(VLOOKUP(AS34,'Master List'!$A:$D,2,0),0)</f>
        <v/>
      </c>
      <c r="AV34" s="9">
        <f>IFERROR(VLOOKUP(AS34,'Master List'!$A:$D,3,0),0)</f>
        <v/>
      </c>
      <c r="AW34" s="9">
        <f>IFERROR(VLOOKUP(AS34,'Master List'!$A:$D,4,0),0)</f>
        <v/>
      </c>
      <c r="AX34" s="32">
        <f>AF34</f>
        <v/>
      </c>
      <c r="AY34" s="7">
        <f>IFERROR(AV34/AW34,0)</f>
        <v/>
      </c>
      <c r="AZ34" s="8">
        <f>IFERROR(IF(AX34&lt;((1/2*AW34*AY34^2)*2),1/2*AW34*SQRT((AX34/2)*2/AW34)^2,1/2*AW34*AY34^2),0)</f>
        <v/>
      </c>
      <c r="BA34" s="9">
        <f>IFERROR(IF(AX34-AZ34-BB34&lt;=0,0,AX34-AZ34-BB34),0)</f>
        <v/>
      </c>
      <c r="BB34" s="10">
        <f>AZ34</f>
        <v/>
      </c>
      <c r="BC34" s="8">
        <f>IFERROR(IF(AX34&lt;((1/2*AW34*AY34^2)*2),SQRT((AX34/2)*2/AW34),AY34),0)</f>
        <v/>
      </c>
      <c r="BD34" s="9">
        <f>IFERROR(BA34/AV34,0)</f>
        <v/>
      </c>
      <c r="BE34" s="10">
        <f>BC34</f>
        <v/>
      </c>
      <c r="BF34" s="8">
        <f>IF(AU34&gt;0,AU34,SUM(BC34:BE34))</f>
        <v/>
      </c>
      <c r="BG34" s="32">
        <f>IF($B$27="Yes",$B$32,0)*$B$28</f>
        <v/>
      </c>
      <c r="BH34" s="10">
        <f>BF34*BG34</f>
        <v/>
      </c>
      <c r="BJ34" s="14">
        <f>BJ33+1</f>
        <v/>
      </c>
      <c r="BK34" s="492" t="inlineStr">
        <is>
          <t>4 way shuttle_Unloaded</t>
        </is>
      </c>
      <c r="BL34" s="28" t="inlineStr">
        <is>
          <t>Move out of lift</t>
        </is>
      </c>
      <c r="BM34" s="9">
        <f>IFERROR(VLOOKUP(BK34,'Master List'!$A:$D,2,0),0)</f>
        <v/>
      </c>
      <c r="BN34" s="9">
        <f>IFERROR(VLOOKUP(BK34,'Master List'!$A:$D,3,0),0)</f>
        <v/>
      </c>
      <c r="BO34" s="9">
        <f>IFERROR(VLOOKUP(BK34,'Master List'!$A:$D,4,0),0)</f>
        <v/>
      </c>
      <c r="BP34" s="32">
        <f>AX43</f>
        <v/>
      </c>
      <c r="BQ34" s="7">
        <f>IFERROR(BN34/BO34,0)</f>
        <v/>
      </c>
      <c r="BR34" s="8">
        <f>IFERROR(IF(BP34&lt;((1/2*BO34*BQ34^2)*2),1/2*BO34*SQRT((BP34/2)*2/BO34)^2,1/2*BO34*BQ34^2),0)</f>
        <v/>
      </c>
      <c r="BS34" s="9">
        <f>IFERROR(IF(BP34-BR34-BT34&lt;=0,0,BP34-BR34-BT34),0)</f>
        <v/>
      </c>
      <c r="BT34" s="10">
        <f>BR34</f>
        <v/>
      </c>
      <c r="BU34" s="8">
        <f>IFERROR(IF(BP34&lt;((1/2*BO34*BQ34^2)*2),SQRT((BP34/2)*2/BO34),BQ34),0)</f>
        <v/>
      </c>
      <c r="BV34" s="9">
        <f>IFERROR(BS34/BN34,0)</f>
        <v/>
      </c>
      <c r="BW34" s="10">
        <f>BU34</f>
        <v/>
      </c>
      <c r="BX34" s="8">
        <f>IF(BM34&gt;0,BM34,SUM(BU34:BW34))</f>
        <v/>
      </c>
      <c r="BY34" s="32">
        <f>IF($B$29="Yes",$B$33,0)</f>
        <v/>
      </c>
      <c r="BZ34" s="10">
        <f>BX34*BY34</f>
        <v/>
      </c>
    </row>
    <row r="35">
      <c r="A35" s="30" t="inlineStr">
        <is>
          <t>Buffer conveyor inside lift in m</t>
        </is>
      </c>
      <c r="B35" s="26" t="n">
        <v>1.5</v>
      </c>
      <c r="H35" s="14">
        <f>H34+1</f>
        <v/>
      </c>
      <c r="I35" s="492" t="inlineStr">
        <is>
          <t>4 way shuttle_Direction change time</t>
        </is>
      </c>
      <c r="J35" s="28" t="inlineStr">
        <is>
          <t>While picking: Direction change time to change aisle</t>
        </is>
      </c>
      <c r="K35" s="9">
        <f>IFERROR(VLOOKUP(I35,'Master List'!$A:$D,2,0),0)</f>
        <v/>
      </c>
      <c r="L35" s="9">
        <f>IFERROR(VLOOKUP(I35,'Master List'!$A:$D,3,0),0)</f>
        <v/>
      </c>
      <c r="M35" s="9">
        <f>IFERROR(VLOOKUP(I35,'Master List'!$A:$D,4,0),0)</f>
        <v/>
      </c>
      <c r="N35" s="32" t="n"/>
      <c r="O35" s="7">
        <f>IFERROR(L35/M35,0)</f>
        <v/>
      </c>
      <c r="P35" s="8">
        <f>IFERROR(IF(N35&lt;((1/2*M35*O35^2)*2),1/2*M35*SQRT((N35/2)*2/M35)^2,1/2*M35*O35^2),0)</f>
        <v/>
      </c>
      <c r="Q35" s="9">
        <f>IFERROR(IF(N35-P35-R35&lt;=0,0,N35-P35-R35),0)</f>
        <v/>
      </c>
      <c r="R35" s="10">
        <f>P35</f>
        <v/>
      </c>
      <c r="S35" s="8">
        <f>IFERROR(IF(N35&lt;((1/2*M35*O35^2)*2),SQRT((N35/2)*2/M35),O35),0)</f>
        <v/>
      </c>
      <c r="T35" s="9">
        <f>IFERROR(Q35/L35,0)</f>
        <v/>
      </c>
      <c r="U35" s="10">
        <f>S35</f>
        <v/>
      </c>
      <c r="V35" s="8">
        <f>IF(K35&gt;0,K35,SUM(S35:U35))</f>
        <v/>
      </c>
      <c r="W35" s="32">
        <f>IF($B$27="Yes",$B$32,0)*$B$28</f>
        <v/>
      </c>
      <c r="X35" s="10">
        <f>V35*W35</f>
        <v/>
      </c>
      <c r="Z35" s="14">
        <f>Z34+1</f>
        <v/>
      </c>
      <c r="AA35" s="492" t="inlineStr">
        <is>
          <t>4 way shuttle_Direction change time</t>
        </is>
      </c>
      <c r="AB35" s="28" t="inlineStr">
        <is>
          <t>While picking: Direction change time to change aisle</t>
        </is>
      </c>
      <c r="AC35" s="9">
        <f>IFERROR(VLOOKUP(AA35,'Master List'!$A:$D,2,0),0)</f>
        <v/>
      </c>
      <c r="AD35" s="9">
        <f>IFERROR(VLOOKUP(AA35,'Master List'!$A:$D,3,0),0)</f>
        <v/>
      </c>
      <c r="AE35" s="9">
        <f>IFERROR(VLOOKUP(AA35,'Master List'!$A:$D,4,0),0)</f>
        <v/>
      </c>
      <c r="AF35" s="32">
        <f>N35</f>
        <v/>
      </c>
      <c r="AG35" s="7">
        <f>IFERROR(AD35/AE35,0)</f>
        <v/>
      </c>
      <c r="AH35" s="8">
        <f>IFERROR(IF(AF35&lt;((1/2*AE35*AG35^2)*2),1/2*AE35*SQRT((AF35/2)*2/AE35)^2,1/2*AE35*AG35^2),0)</f>
        <v/>
      </c>
      <c r="AI35" s="9">
        <f>IFERROR(IF(AF35-AH35-AJ35&lt;=0,0,AF35-AH35-AJ35),0)</f>
        <v/>
      </c>
      <c r="AJ35" s="10">
        <f>AH35</f>
        <v/>
      </c>
      <c r="AK35" s="8">
        <f>IFERROR(IF(AF35&lt;((1/2*AE35*AG35^2)*2),SQRT((AF35/2)*2/AE35),AG35),0)</f>
        <v/>
      </c>
      <c r="AL35" s="9">
        <f>IFERROR(AI35/AD35,0)</f>
        <v/>
      </c>
      <c r="AM35" s="10">
        <f>AK35</f>
        <v/>
      </c>
      <c r="AN35" s="8">
        <f>IF(AC35&gt;0,AC35,SUM(AK35:AM35))</f>
        <v/>
      </c>
      <c r="AO35" s="32">
        <f>IF($B$27="Yes",$B$32,0)*$B$28</f>
        <v/>
      </c>
      <c r="AP35" s="10">
        <f>AN35*AO35</f>
        <v/>
      </c>
      <c r="AR35" s="14">
        <f>AR34+1</f>
        <v/>
      </c>
      <c r="AS35" s="492" t="inlineStr">
        <is>
          <t>4 way shuttle_Direction change time</t>
        </is>
      </c>
      <c r="AT35" s="28" t="inlineStr">
        <is>
          <t>While picking: Direction change time to change aisle</t>
        </is>
      </c>
      <c r="AU35" s="9">
        <f>IFERROR(VLOOKUP(AS35,'Master List'!$A:$D,2,0),0)</f>
        <v/>
      </c>
      <c r="AV35" s="9">
        <f>IFERROR(VLOOKUP(AS35,'Master List'!$A:$D,3,0),0)</f>
        <v/>
      </c>
      <c r="AW35" s="9">
        <f>IFERROR(VLOOKUP(AS35,'Master List'!$A:$D,4,0),0)</f>
        <v/>
      </c>
      <c r="AX35" s="32">
        <f>AF35</f>
        <v/>
      </c>
      <c r="AY35" s="7">
        <f>IFERROR(AV35/AW35,0)</f>
        <v/>
      </c>
      <c r="AZ35" s="8">
        <f>IFERROR(IF(AX35&lt;((1/2*AW35*AY35^2)*2),1/2*AW35*SQRT((AX35/2)*2/AW35)^2,1/2*AW35*AY35^2),0)</f>
        <v/>
      </c>
      <c r="BA35" s="9">
        <f>IFERROR(IF(AX35-AZ35-BB35&lt;=0,0,AX35-AZ35-BB35),0)</f>
        <v/>
      </c>
      <c r="BB35" s="10">
        <f>AZ35</f>
        <v/>
      </c>
      <c r="BC35" s="8">
        <f>IFERROR(IF(AX35&lt;((1/2*AW35*AY35^2)*2),SQRT((AX35/2)*2/AW35),AY35),0)</f>
        <v/>
      </c>
      <c r="BD35" s="9">
        <f>IFERROR(BA35/AV35,0)</f>
        <v/>
      </c>
      <c r="BE35" s="10">
        <f>BC35</f>
        <v/>
      </c>
      <c r="BF35" s="8">
        <f>IF(AU35&gt;0,AU35,SUM(BC35:BE35))</f>
        <v/>
      </c>
      <c r="BG35" s="32">
        <f>IF($B$27="Yes",$B$32,0)*$B$28</f>
        <v/>
      </c>
      <c r="BH35" s="10">
        <f>BF35*BG35</f>
        <v/>
      </c>
      <c r="BJ35" s="14">
        <f>BJ34+1</f>
        <v/>
      </c>
      <c r="BK35" s="492" t="n"/>
      <c r="BL35" s="30" t="n"/>
      <c r="BM35" s="9">
        <f>IFERROR(VLOOKUP(BK35,'Master List'!$A:$D,2,0),0)</f>
        <v/>
      </c>
      <c r="BN35" s="9">
        <f>IFERROR(VLOOKUP(BK35,'Master List'!$A:$D,3,0),0)</f>
        <v/>
      </c>
      <c r="BO35" s="9">
        <f>IFERROR(VLOOKUP(BK35,'Master List'!$A:$D,4,0),0)</f>
        <v/>
      </c>
      <c r="BP35" s="32" t="n"/>
      <c r="BQ35" s="7">
        <f>IFERROR(BN35/BO35,0)</f>
        <v/>
      </c>
      <c r="BR35" s="8">
        <f>IFERROR(IF(BP35&lt;((1/2*BO35*BQ35^2)*2),1/2*BO35*SQRT((BP35/2)*2/BO35)^2,1/2*BO35*BQ35^2),0)</f>
        <v/>
      </c>
      <c r="BS35" s="9">
        <f>IFERROR(IF(BP35-BR35-BT35&lt;=0,0,BP35-BR35-BT35),0)</f>
        <v/>
      </c>
      <c r="BT35" s="10">
        <f>BR35</f>
        <v/>
      </c>
      <c r="BU35" s="8">
        <f>IFERROR(IF(BP35&lt;((1/2*BO35*BQ35^2)*2),SQRT((BP35/2)*2/BO35),BQ35),0)</f>
        <v/>
      </c>
      <c r="BV35" s="9">
        <f>IFERROR(BS35/BN35,0)</f>
        <v/>
      </c>
      <c r="BW35" s="10">
        <f>BU35</f>
        <v/>
      </c>
      <c r="BX35" s="8">
        <f>IF(BM35&gt;0,BM35,SUM(BU35:BW35))</f>
        <v/>
      </c>
      <c r="BY35" s="32" t="n"/>
      <c r="BZ35" s="10">
        <f>BX35*BY35</f>
        <v/>
      </c>
    </row>
    <row r="36">
      <c r="A36" s="30" t="inlineStr">
        <is>
          <t>Highway aisle width in m</t>
        </is>
      </c>
      <c r="B36" s="26" t="n">
        <v>1.4</v>
      </c>
      <c r="H36" s="14">
        <f>H35+1</f>
        <v/>
      </c>
      <c r="I36" s="500" t="n"/>
      <c r="J36" s="501" t="inlineStr">
        <is>
          <t>Level changing scenario additional times</t>
        </is>
      </c>
      <c r="K36" s="502">
        <f>IFERROR(VLOOKUP(I36,'Master List'!$A:$D,2,0),0)</f>
        <v/>
      </c>
      <c r="L36" s="502">
        <f>IFERROR(VLOOKUP(I36,'Master List'!$A:$D,3,0),0)</f>
        <v/>
      </c>
      <c r="M36" s="502">
        <f>IFERROR(VLOOKUP(I36,'Master List'!$A:$D,4,0),0)</f>
        <v/>
      </c>
      <c r="N36" s="503" t="n"/>
      <c r="O36" s="504">
        <f>IFERROR(L36/M36,0)</f>
        <v/>
      </c>
      <c r="P36" s="505">
        <f>IFERROR(IF(N36&lt;((1/2*M36*O36^2)*2),1/2*M36*SQRT((N36/2)*2/M36)^2,1/2*M36*O36^2),0)</f>
        <v/>
      </c>
      <c r="Q36" s="502">
        <f>IFERROR(IF(N36-P36-R36&lt;=0,0,N36-P36-R36),0)</f>
        <v/>
      </c>
      <c r="R36" s="506">
        <f>P36</f>
        <v/>
      </c>
      <c r="S36" s="505">
        <f>IFERROR(IF(N36&lt;((1/2*M36*O36^2)*2),SQRT((N36/2)*2/M36),O36),0)</f>
        <v/>
      </c>
      <c r="T36" s="502">
        <f>IFERROR(Q36/L36,0)</f>
        <v/>
      </c>
      <c r="U36" s="506">
        <f>S36</f>
        <v/>
      </c>
      <c r="V36" s="505">
        <f>IF(K36&gt;0,K36,SUM(S36:U36))</f>
        <v/>
      </c>
      <c r="W36" s="503" t="n"/>
      <c r="X36" s="506">
        <f>V36*W36</f>
        <v/>
      </c>
      <c r="Z36" s="14">
        <f>Z35+1</f>
        <v/>
      </c>
      <c r="AA36" s="500" t="n"/>
      <c r="AB36" s="501" t="inlineStr">
        <is>
          <t>Level changing scenario additional times</t>
        </is>
      </c>
      <c r="AC36" s="502">
        <f>IFERROR(VLOOKUP(AA36,'Master List'!$A:$D,2,0),0)</f>
        <v/>
      </c>
      <c r="AD36" s="502">
        <f>IFERROR(VLOOKUP(AA36,'Master List'!$A:$D,3,0),0)</f>
        <v/>
      </c>
      <c r="AE36" s="502">
        <f>IFERROR(VLOOKUP(AA36,'Master List'!$A:$D,4,0),0)</f>
        <v/>
      </c>
      <c r="AF36" s="503" t="n"/>
      <c r="AG36" s="504">
        <f>IFERROR(AD36/AE36,0)</f>
        <v/>
      </c>
      <c r="AH36" s="505">
        <f>IFERROR(IF(AF36&lt;((1/2*AE36*AG36^2)*2),1/2*AE36*SQRT((AF36/2)*2/AE36)^2,1/2*AE36*AG36^2),0)</f>
        <v/>
      </c>
      <c r="AI36" s="502">
        <f>IFERROR(IF(AF36-AH36-AJ36&lt;=0,0,AF36-AH36-AJ36),0)</f>
        <v/>
      </c>
      <c r="AJ36" s="506">
        <f>AH36</f>
        <v/>
      </c>
      <c r="AK36" s="505">
        <f>IFERROR(IF(AF36&lt;((1/2*AE36*AG36^2)*2),SQRT((AF36/2)*2/AE36),AG36),0)</f>
        <v/>
      </c>
      <c r="AL36" s="502">
        <f>IFERROR(AI36/AD36,0)</f>
        <v/>
      </c>
      <c r="AM36" s="506">
        <f>AK36</f>
        <v/>
      </c>
      <c r="AN36" s="505">
        <f>IF(AC36&gt;0,AC36,SUM(AK36:AM36))</f>
        <v/>
      </c>
      <c r="AO36" s="503" t="n"/>
      <c r="AP36" s="506">
        <f>AN36*AO36</f>
        <v/>
      </c>
      <c r="AR36" s="14">
        <f>AR35+1</f>
        <v/>
      </c>
      <c r="AS36" s="500" t="n"/>
      <c r="AT36" s="501" t="inlineStr">
        <is>
          <t>Level changing scenario additional times</t>
        </is>
      </c>
      <c r="AU36" s="502">
        <f>IFERROR(VLOOKUP(AS36,'Master List'!$A:$D,2,0),0)</f>
        <v/>
      </c>
      <c r="AV36" s="502">
        <f>IFERROR(VLOOKUP(AS36,'Master List'!$A:$D,3,0),0)</f>
        <v/>
      </c>
      <c r="AW36" s="502">
        <f>IFERROR(VLOOKUP(AS36,'Master List'!$A:$D,4,0),0)</f>
        <v/>
      </c>
      <c r="AX36" s="503" t="n"/>
      <c r="AY36" s="504">
        <f>IFERROR(AV36/AW36,0)</f>
        <v/>
      </c>
      <c r="AZ36" s="505">
        <f>IFERROR(IF(AX36&lt;((1/2*AW36*AY36^2)*2),1/2*AW36*SQRT((AX36/2)*2/AW36)^2,1/2*AW36*AY36^2),0)</f>
        <v/>
      </c>
      <c r="BA36" s="502">
        <f>IFERROR(IF(AX36-AZ36-BB36&lt;=0,0,AX36-AZ36-BB36),0)</f>
        <v/>
      </c>
      <c r="BB36" s="506">
        <f>AZ36</f>
        <v/>
      </c>
      <c r="BC36" s="505">
        <f>IFERROR(IF(AX36&lt;((1/2*AW36*AY36^2)*2),SQRT((AX36/2)*2/AW36),AY36),0)</f>
        <v/>
      </c>
      <c r="BD36" s="502">
        <f>IFERROR(BA36/AV36,0)</f>
        <v/>
      </c>
      <c r="BE36" s="506">
        <f>BC36</f>
        <v/>
      </c>
      <c r="BF36" s="505">
        <f>IF(AU36&gt;0,AU36,SUM(BC36:BE36))</f>
        <v/>
      </c>
      <c r="BG36" s="503" t="n"/>
      <c r="BH36" s="506">
        <f>BF36*BG36</f>
        <v/>
      </c>
      <c r="BJ36" s="14">
        <f>BJ35+1</f>
        <v/>
      </c>
      <c r="BK36" s="492" t="n"/>
      <c r="BL36" s="30" t="n"/>
      <c r="BM36" s="9">
        <f>IFERROR(VLOOKUP(BK36,'Master List'!$A:$D,2,0),0)</f>
        <v/>
      </c>
      <c r="BN36" s="9">
        <f>IFERROR(VLOOKUP(BK36,'Master List'!$A:$D,3,0),0)</f>
        <v/>
      </c>
      <c r="BO36" s="9">
        <f>IFERROR(VLOOKUP(BK36,'Master List'!$A:$D,4,0),0)</f>
        <v/>
      </c>
      <c r="BP36" s="32" t="n"/>
      <c r="BQ36" s="7">
        <f>IFERROR(BN36/BO36,0)</f>
        <v/>
      </c>
      <c r="BR36" s="8">
        <f>IFERROR(IF(BP36&lt;((1/2*BO36*BQ36^2)*2),1/2*BO36*SQRT((BP36/2)*2/BO36)^2,1/2*BO36*BQ36^2),0)</f>
        <v/>
      </c>
      <c r="BS36" s="9">
        <f>IFERROR(IF(BP36-BR36-BT36&lt;=0,0,BP36-BR36-BT36),0)</f>
        <v/>
      </c>
      <c r="BT36" s="10">
        <f>BR36</f>
        <v/>
      </c>
      <c r="BU36" s="8">
        <f>IFERROR(IF(BP36&lt;((1/2*BO36*BQ36^2)*2),SQRT((BP36/2)*2/BO36),BQ36),0)</f>
        <v/>
      </c>
      <c r="BV36" s="9">
        <f>IFERROR(BS36/BN36,0)</f>
        <v/>
      </c>
      <c r="BW36" s="10">
        <f>BU36</f>
        <v/>
      </c>
      <c r="BX36" s="8">
        <f>IF(BM36&gt;0,BM36,SUM(BU36:BW36))</f>
        <v/>
      </c>
      <c r="BY36" s="32" t="n"/>
      <c r="BZ36" s="10">
        <f>BX36*BY36</f>
        <v/>
      </c>
    </row>
    <row r="37">
      <c r="A37" s="30" t="inlineStr">
        <is>
          <t>Lift poistioning distance m</t>
        </is>
      </c>
      <c r="B37" s="533" t="n">
        <v>0.1</v>
      </c>
      <c r="H37" s="14">
        <f>H36+1</f>
        <v/>
      </c>
      <c r="I37" s="492" t="inlineStr">
        <is>
          <t>4 way shuttle_Unloaded</t>
        </is>
      </c>
      <c r="J37" s="28" t="inlineStr">
        <is>
          <t>Move in to lift</t>
        </is>
      </c>
      <c r="K37" s="9">
        <f>IFERROR(VLOOKUP(I37,'Master List'!$A:$D,2,0),0)</f>
        <v/>
      </c>
      <c r="L37" s="9">
        <f>IFERROR(VLOOKUP(I37,'Master List'!$A:$D,3,0),0)</f>
        <v/>
      </c>
      <c r="M37" s="9">
        <f>IFERROR(VLOOKUP(I37,'Master List'!$A:$D,4,0),0)</f>
        <v/>
      </c>
      <c r="N37" s="32">
        <f>B35</f>
        <v/>
      </c>
      <c r="O37" s="7">
        <f>IFERROR(L37/M37,0)</f>
        <v/>
      </c>
      <c r="P37" s="8">
        <f>IFERROR(IF(N37&lt;((1/2*M37*O37^2)*2),1/2*M37*SQRT((N37/2)*2/M37)^2,1/2*M37*O37^2),0)</f>
        <v/>
      </c>
      <c r="Q37" s="9">
        <f>IFERROR(IF(N37-P37-R37&lt;=0,0,N37-P37-R37),0)</f>
        <v/>
      </c>
      <c r="R37" s="10">
        <f>P37</f>
        <v/>
      </c>
      <c r="S37" s="8">
        <f>IFERROR(IF(N37&lt;((1/2*M37*O37^2)*2),SQRT((N37/2)*2/M37),O37),0)</f>
        <v/>
      </c>
      <c r="T37" s="9">
        <f>IFERROR(Q37/L37,0)</f>
        <v/>
      </c>
      <c r="U37" s="10">
        <f>S37</f>
        <v/>
      </c>
      <c r="V37" s="8">
        <f>IF(K37&gt;0,K37,SUM(S37:U37))</f>
        <v/>
      </c>
      <c r="W37" s="32">
        <f>IF($B$29="Yes",$B$33,0)</f>
        <v/>
      </c>
      <c r="X37" s="10">
        <f>V37*W37</f>
        <v/>
      </c>
      <c r="Z37" s="14">
        <f>Z36+1</f>
        <v/>
      </c>
      <c r="AA37" s="492" t="inlineStr">
        <is>
          <t>4 way shuttle_Unloaded</t>
        </is>
      </c>
      <c r="AB37" s="28" t="inlineStr">
        <is>
          <t>Move in to lift</t>
        </is>
      </c>
      <c r="AC37" s="9">
        <f>IFERROR(VLOOKUP(AA37,'Master List'!$A:$D,2,0),0)</f>
        <v/>
      </c>
      <c r="AD37" s="9">
        <f>IFERROR(VLOOKUP(AA37,'Master List'!$A:$D,3,0),0)</f>
        <v/>
      </c>
      <c r="AE37" s="9">
        <f>IFERROR(VLOOKUP(AA37,'Master List'!$A:$D,4,0),0)</f>
        <v/>
      </c>
      <c r="AF37" s="32">
        <f>N37</f>
        <v/>
      </c>
      <c r="AG37" s="7">
        <f>IFERROR(AD37/AE37,0)</f>
        <v/>
      </c>
      <c r="AH37" s="8">
        <f>IFERROR(IF(AF37&lt;((1/2*AE37*AG37^2)*2),1/2*AE37*SQRT((AF37/2)*2/AE37)^2,1/2*AE37*AG37^2),0)</f>
        <v/>
      </c>
      <c r="AI37" s="9">
        <f>IFERROR(IF(AF37-AH37-AJ37&lt;=0,0,AF37-AH37-AJ37),0)</f>
        <v/>
      </c>
      <c r="AJ37" s="10">
        <f>AH37</f>
        <v/>
      </c>
      <c r="AK37" s="8">
        <f>IFERROR(IF(AF37&lt;((1/2*AE37*AG37^2)*2),SQRT((AF37/2)*2/AE37),AG37),0)</f>
        <v/>
      </c>
      <c r="AL37" s="9">
        <f>IFERROR(AI37/AD37,0)</f>
        <v/>
      </c>
      <c r="AM37" s="10">
        <f>AK37</f>
        <v/>
      </c>
      <c r="AN37" s="8">
        <f>IF(AC37&gt;0,AC37,SUM(AK37:AM37))</f>
        <v/>
      </c>
      <c r="AO37" s="32">
        <f>IF($B$29="Yes",$B$33,0)</f>
        <v/>
      </c>
      <c r="AP37" s="10">
        <f>AN37*AO37</f>
        <v/>
      </c>
      <c r="AR37" s="14">
        <f>AR36+1</f>
        <v/>
      </c>
      <c r="AS37" s="492" t="inlineStr">
        <is>
          <t>4 way shuttle_Unloaded</t>
        </is>
      </c>
      <c r="AT37" s="28" t="inlineStr">
        <is>
          <t>Move in to lift</t>
        </is>
      </c>
      <c r="AU37" s="9">
        <f>IFERROR(VLOOKUP(AS37,'Master List'!$A:$D,2,0),0)</f>
        <v/>
      </c>
      <c r="AV37" s="9">
        <f>IFERROR(VLOOKUP(AS37,'Master List'!$A:$D,3,0),0)</f>
        <v/>
      </c>
      <c r="AW37" s="9">
        <f>IFERROR(VLOOKUP(AS37,'Master List'!$A:$D,4,0),0)</f>
        <v/>
      </c>
      <c r="AX37" s="32">
        <f>AF37</f>
        <v/>
      </c>
      <c r="AY37" s="7">
        <f>IFERROR(AV37/AW37,0)</f>
        <v/>
      </c>
      <c r="AZ37" s="8">
        <f>IFERROR(IF(AX37&lt;((1/2*AW37*AY37^2)*2),1/2*AW37*SQRT((AX37/2)*2/AW37)^2,1/2*AW37*AY37^2),0)</f>
        <v/>
      </c>
      <c r="BA37" s="9">
        <f>IFERROR(IF(AX37-AZ37-BB37&lt;=0,0,AX37-AZ37-BB37),0)</f>
        <v/>
      </c>
      <c r="BB37" s="10">
        <f>AZ37</f>
        <v/>
      </c>
      <c r="BC37" s="8">
        <f>IFERROR(IF(AX37&lt;((1/2*AW37*AY37^2)*2),SQRT((AX37/2)*2/AW37),AY37),0)</f>
        <v/>
      </c>
      <c r="BD37" s="9">
        <f>IFERROR(BA37/AV37,0)</f>
        <v/>
      </c>
      <c r="BE37" s="10">
        <f>BC37</f>
        <v/>
      </c>
      <c r="BF37" s="8">
        <f>IF(AU37&gt;0,AU37,SUM(BC37:BE37))</f>
        <v/>
      </c>
      <c r="BG37" s="32">
        <f>IF($B$29="Yes",$B$33,0)</f>
        <v/>
      </c>
      <c r="BH37" s="10">
        <f>BF37*BG37</f>
        <v/>
      </c>
      <c r="BJ37" s="14">
        <f>BJ36+1</f>
        <v/>
      </c>
      <c r="BK37" s="492" t="n"/>
      <c r="BL37" s="30" t="n"/>
      <c r="BM37" s="9">
        <f>IFERROR(VLOOKUP(BK37,'Master List'!$A:$D,2,0),0)</f>
        <v/>
      </c>
      <c r="BN37" s="9">
        <f>IFERROR(VLOOKUP(BK37,'Master List'!$A:$D,3,0),0)</f>
        <v/>
      </c>
      <c r="BO37" s="9">
        <f>IFERROR(VLOOKUP(BK37,'Master List'!$A:$D,4,0),0)</f>
        <v/>
      </c>
      <c r="BP37" s="32" t="n"/>
      <c r="BQ37" s="7">
        <f>IFERROR(BN37/BO37,0)</f>
        <v/>
      </c>
      <c r="BR37" s="8">
        <f>IFERROR(IF(BP37&lt;((1/2*BO37*BQ37^2)*2),1/2*BO37*SQRT((BP37/2)*2/BO37)^2,1/2*BO37*BQ37^2),0)</f>
        <v/>
      </c>
      <c r="BS37" s="9">
        <f>IFERROR(IF(BP37-BR37-BT37&lt;=0,0,BP37-BR37-BT37),0)</f>
        <v/>
      </c>
      <c r="BT37" s="10">
        <f>BR37</f>
        <v/>
      </c>
      <c r="BU37" s="8">
        <f>IFERROR(IF(BP37&lt;((1/2*BO37*BQ37^2)*2),SQRT((BP37/2)*2/BO37),BQ37),0)</f>
        <v/>
      </c>
      <c r="BV37" s="9">
        <f>IFERROR(BS37/BN37,0)</f>
        <v/>
      </c>
      <c r="BW37" s="10">
        <f>BU37</f>
        <v/>
      </c>
      <c r="BX37" s="8">
        <f>IF(BM37&gt;0,BM37,SUM(BU37:BW37))</f>
        <v/>
      </c>
      <c r="BY37" s="32" t="n"/>
      <c r="BZ37" s="10">
        <f>BX37*BY37</f>
        <v/>
      </c>
    </row>
    <row r="38">
      <c r="A38" s="30" t="inlineStr">
        <is>
          <t>Combined cycle next location distance m</t>
        </is>
      </c>
      <c r="B38" s="533">
        <f>B16*15%</f>
        <v/>
      </c>
      <c r="H38" s="14">
        <f>H37+1</f>
        <v/>
      </c>
      <c r="I38" s="492" t="inlineStr">
        <is>
          <t>Pallet lift positioning travel</t>
        </is>
      </c>
      <c r="J38" s="28" t="inlineStr">
        <is>
          <t>While getting shuttle in</t>
        </is>
      </c>
      <c r="K38" s="9">
        <f>IFERROR(VLOOKUP(I38,'Master List'!$A:$D,2,0),0)</f>
        <v/>
      </c>
      <c r="L38" s="9">
        <f>IFERROR(VLOOKUP(I38,'Master List'!$A:$D,3,0),0)</f>
        <v/>
      </c>
      <c r="M38" s="9">
        <f>IFERROR(VLOOKUP(I38,'Master List'!$A:$D,4,0),0)</f>
        <v/>
      </c>
      <c r="N38" s="32">
        <f>B37</f>
        <v/>
      </c>
      <c r="O38" s="7">
        <f>IFERROR(L38/M38,0)</f>
        <v/>
      </c>
      <c r="P38" s="8">
        <f>IFERROR(IF(N38&lt;((1/2*M38*O38^2)*2),1/2*M38*SQRT((N38/2)*2/M38)^2,1/2*M38*O38^2),0)</f>
        <v/>
      </c>
      <c r="Q38" s="9">
        <f>IFERROR(IF(N38-P38-R38&lt;=0,0,N38-P38-R38),0)</f>
        <v/>
      </c>
      <c r="R38" s="10">
        <f>P38</f>
        <v/>
      </c>
      <c r="S38" s="8">
        <f>IFERROR(IF(N38&lt;((1/2*M38*O38^2)*2),SQRT((N38/2)*2/M38),O38),0)</f>
        <v/>
      </c>
      <c r="T38" s="9">
        <f>IFERROR(Q38/L38,0)</f>
        <v/>
      </c>
      <c r="U38" s="10">
        <f>S38</f>
        <v/>
      </c>
      <c r="V38" s="8">
        <f>IF(K38&gt;0,K38,SUM(S38:U38))</f>
        <v/>
      </c>
      <c r="W38" s="32">
        <f>IF($B$29="Yes",$B$33,0)</f>
        <v/>
      </c>
      <c r="X38" s="10">
        <f>V38*W38</f>
        <v/>
      </c>
      <c r="Z38" s="14">
        <f>Z37+1</f>
        <v/>
      </c>
      <c r="AA38" s="492" t="inlineStr">
        <is>
          <t>Pallet lift positioning travel</t>
        </is>
      </c>
      <c r="AB38" s="28" t="inlineStr">
        <is>
          <t>While getting shuttle in</t>
        </is>
      </c>
      <c r="AC38" s="9">
        <f>IFERROR(VLOOKUP(AA38,'Master List'!$A:$D,2,0),0)</f>
        <v/>
      </c>
      <c r="AD38" s="9">
        <f>IFERROR(VLOOKUP(AA38,'Master List'!$A:$D,3,0),0)</f>
        <v/>
      </c>
      <c r="AE38" s="9">
        <f>IFERROR(VLOOKUP(AA38,'Master List'!$A:$D,4,0),0)</f>
        <v/>
      </c>
      <c r="AF38" s="32">
        <f>N38</f>
        <v/>
      </c>
      <c r="AG38" s="7">
        <f>IFERROR(AD38/AE38,0)</f>
        <v/>
      </c>
      <c r="AH38" s="8">
        <f>IFERROR(IF(AF38&lt;((1/2*AE38*AG38^2)*2),1/2*AE38*SQRT((AF38/2)*2/AE38)^2,1/2*AE38*AG38^2),0)</f>
        <v/>
      </c>
      <c r="AI38" s="9">
        <f>IFERROR(IF(AF38-AH38-AJ38&lt;=0,0,AF38-AH38-AJ38),0)</f>
        <v/>
      </c>
      <c r="AJ38" s="10">
        <f>AH38</f>
        <v/>
      </c>
      <c r="AK38" s="8">
        <f>IFERROR(IF(AF38&lt;((1/2*AE38*AG38^2)*2),SQRT((AF38/2)*2/AE38),AG38),0)</f>
        <v/>
      </c>
      <c r="AL38" s="9">
        <f>IFERROR(AI38/AD38,0)</f>
        <v/>
      </c>
      <c r="AM38" s="10">
        <f>AK38</f>
        <v/>
      </c>
      <c r="AN38" s="8">
        <f>IF(AC38&gt;0,AC38,SUM(AK38:AM38))</f>
        <v/>
      </c>
      <c r="AO38" s="32">
        <f>IF($B$29="Yes",$B$33,0)</f>
        <v/>
      </c>
      <c r="AP38" s="10">
        <f>AN38*AO38</f>
        <v/>
      </c>
      <c r="AR38" s="14">
        <f>AR37+1</f>
        <v/>
      </c>
      <c r="AS38" s="492" t="inlineStr">
        <is>
          <t>Pallet lift positioning travel</t>
        </is>
      </c>
      <c r="AT38" s="28" t="inlineStr">
        <is>
          <t>While getting shuttle in</t>
        </is>
      </c>
      <c r="AU38" s="9">
        <f>IFERROR(VLOOKUP(AS38,'Master List'!$A:$D,2,0),0)</f>
        <v/>
      </c>
      <c r="AV38" s="9">
        <f>IFERROR(VLOOKUP(AS38,'Master List'!$A:$D,3,0),0)</f>
        <v/>
      </c>
      <c r="AW38" s="9">
        <f>IFERROR(VLOOKUP(AS38,'Master List'!$A:$D,4,0),0)</f>
        <v/>
      </c>
      <c r="AX38" s="32">
        <f>AF38</f>
        <v/>
      </c>
      <c r="AY38" s="7">
        <f>IFERROR(AV38/AW38,0)</f>
        <v/>
      </c>
      <c r="AZ38" s="8">
        <f>IFERROR(IF(AX38&lt;((1/2*AW38*AY38^2)*2),1/2*AW38*SQRT((AX38/2)*2/AW38)^2,1/2*AW38*AY38^2),0)</f>
        <v/>
      </c>
      <c r="BA38" s="9">
        <f>IFERROR(IF(AX38-AZ38-BB38&lt;=0,0,AX38-AZ38-BB38),0)</f>
        <v/>
      </c>
      <c r="BB38" s="10">
        <f>AZ38</f>
        <v/>
      </c>
      <c r="BC38" s="8">
        <f>IFERROR(IF(AX38&lt;((1/2*AW38*AY38^2)*2),SQRT((AX38/2)*2/AW38),AY38),0)</f>
        <v/>
      </c>
      <c r="BD38" s="9">
        <f>IFERROR(BA38/AV38,0)</f>
        <v/>
      </c>
      <c r="BE38" s="10">
        <f>BC38</f>
        <v/>
      </c>
      <c r="BF38" s="8">
        <f>IF(AU38&gt;0,AU38,SUM(BC38:BE38))</f>
        <v/>
      </c>
      <c r="BG38" s="32">
        <f>IF($B$29="Yes",$B$33,0)</f>
        <v/>
      </c>
      <c r="BH38" s="10">
        <f>BF38*BG38</f>
        <v/>
      </c>
      <c r="BJ38" s="14">
        <f>BJ37+1</f>
        <v/>
      </c>
      <c r="BK38" s="492" t="n"/>
      <c r="BL38" s="30" t="n"/>
      <c r="BM38" s="9">
        <f>IFERROR(VLOOKUP(BK38,'Master List'!$A:$D,2,0),0)</f>
        <v/>
      </c>
      <c r="BN38" s="9">
        <f>IFERROR(VLOOKUP(BK38,'Master List'!$A:$D,3,0),0)</f>
        <v/>
      </c>
      <c r="BO38" s="9">
        <f>IFERROR(VLOOKUP(BK38,'Master List'!$A:$D,4,0),0)</f>
        <v/>
      </c>
      <c r="BP38" s="32" t="n"/>
      <c r="BQ38" s="7">
        <f>IFERROR(BN38/BO38,0)</f>
        <v/>
      </c>
      <c r="BR38" s="8">
        <f>IFERROR(IF(BP38&lt;((1/2*BO38*BQ38^2)*2),1/2*BO38*SQRT((BP38/2)*2/BO38)^2,1/2*BO38*BQ38^2),0)</f>
        <v/>
      </c>
      <c r="BS38" s="9">
        <f>IFERROR(IF(BP38-BR38-BT38&lt;=0,0,BP38-BR38-BT38),0)</f>
        <v/>
      </c>
      <c r="BT38" s="10">
        <f>BR38</f>
        <v/>
      </c>
      <c r="BU38" s="8">
        <f>IFERROR(IF(BP38&lt;((1/2*BO38*BQ38^2)*2),SQRT((BP38/2)*2/BO38),BQ38),0)</f>
        <v/>
      </c>
      <c r="BV38" s="9">
        <f>IFERROR(BS38/BN38,0)</f>
        <v/>
      </c>
      <c r="BW38" s="10">
        <f>BU38</f>
        <v/>
      </c>
      <c r="BX38" s="8">
        <f>IF(BM38&gt;0,BM38,SUM(BU38:BW38))</f>
        <v/>
      </c>
      <c r="BY38" s="32" t="n"/>
      <c r="BZ38" s="10">
        <f>BX38*BY38</f>
        <v/>
      </c>
    </row>
    <row r="39">
      <c r="A39" s="30" t="inlineStr">
        <is>
          <t>Travel length m inside pallet storage lane (Avg travel length)</t>
        </is>
      </c>
      <c r="B39" s="533">
        <f>B17*50%</f>
        <v/>
      </c>
      <c r="H39" s="14">
        <f>H38+1</f>
        <v/>
      </c>
      <c r="I39" s="492" t="inlineStr">
        <is>
          <t>Pallet lift poistitioning time</t>
        </is>
      </c>
      <c r="J39" s="28" t="inlineStr">
        <is>
          <t>While getting shuttle in</t>
        </is>
      </c>
      <c r="K39" s="9">
        <f>IFERROR(VLOOKUP(I39,'Master List'!$A:$D,2,0),0)</f>
        <v/>
      </c>
      <c r="L39" s="9">
        <f>IFERROR(VLOOKUP(I39,'Master List'!$A:$D,3,0),0)</f>
        <v/>
      </c>
      <c r="M39" s="9">
        <f>IFERROR(VLOOKUP(I39,'Master List'!$A:$D,4,0),0)</f>
        <v/>
      </c>
      <c r="N39" s="32">
        <f>N38</f>
        <v/>
      </c>
      <c r="O39" s="7">
        <f>IFERROR(L39/M39,0)</f>
        <v/>
      </c>
      <c r="P39" s="8">
        <f>IFERROR(IF(N39&lt;((1/2*M39*O39^2)*2),1/2*M39*SQRT((N39/2)*2/M39)^2,1/2*M39*O39^2),0)</f>
        <v/>
      </c>
      <c r="Q39" s="9">
        <f>IFERROR(IF(N39-P39-R39&lt;=0,0,N39-P39-R39),0)</f>
        <v/>
      </c>
      <c r="R39" s="10">
        <f>P39</f>
        <v/>
      </c>
      <c r="S39" s="8">
        <f>IFERROR(IF(N39&lt;((1/2*M39*O39^2)*2),SQRT((N39/2)*2/M39),O39),0)</f>
        <v/>
      </c>
      <c r="T39" s="9">
        <f>IFERROR(Q39/L39,0)</f>
        <v/>
      </c>
      <c r="U39" s="10">
        <f>S39</f>
        <v/>
      </c>
      <c r="V39" s="8">
        <f>IF(K39&gt;0,K39,SUM(S39:U39))</f>
        <v/>
      </c>
      <c r="W39" s="32">
        <f>IF($B$29="Yes",$B$33,0)</f>
        <v/>
      </c>
      <c r="X39" s="10">
        <f>V39*W39</f>
        <v/>
      </c>
      <c r="Z39" s="14">
        <f>Z38+1</f>
        <v/>
      </c>
      <c r="AA39" s="492" t="inlineStr">
        <is>
          <t>Pallet lift poistitioning time</t>
        </is>
      </c>
      <c r="AB39" s="28" t="inlineStr">
        <is>
          <t>While getting shuttle in</t>
        </is>
      </c>
      <c r="AC39" s="9">
        <f>IFERROR(VLOOKUP(AA39,'Master List'!$A:$D,2,0),0)</f>
        <v/>
      </c>
      <c r="AD39" s="9">
        <f>IFERROR(VLOOKUP(AA39,'Master List'!$A:$D,3,0),0)</f>
        <v/>
      </c>
      <c r="AE39" s="9">
        <f>IFERROR(VLOOKUP(AA39,'Master List'!$A:$D,4,0),0)</f>
        <v/>
      </c>
      <c r="AF39" s="32">
        <f>N39</f>
        <v/>
      </c>
      <c r="AG39" s="7">
        <f>IFERROR(AD39/AE39,0)</f>
        <v/>
      </c>
      <c r="AH39" s="8">
        <f>IFERROR(IF(AF39&lt;((1/2*AE39*AG39^2)*2),1/2*AE39*SQRT((AF39/2)*2/AE39)^2,1/2*AE39*AG39^2),0)</f>
        <v/>
      </c>
      <c r="AI39" s="9">
        <f>IFERROR(IF(AF39-AH39-AJ39&lt;=0,0,AF39-AH39-AJ39),0)</f>
        <v/>
      </c>
      <c r="AJ39" s="10">
        <f>AH39</f>
        <v/>
      </c>
      <c r="AK39" s="8">
        <f>IFERROR(IF(AF39&lt;((1/2*AE39*AG39^2)*2),SQRT((AF39/2)*2/AE39),AG39),0)</f>
        <v/>
      </c>
      <c r="AL39" s="9">
        <f>IFERROR(AI39/AD39,0)</f>
        <v/>
      </c>
      <c r="AM39" s="10">
        <f>AK39</f>
        <v/>
      </c>
      <c r="AN39" s="8">
        <f>IF(AC39&gt;0,AC39,SUM(AK39:AM39))</f>
        <v/>
      </c>
      <c r="AO39" s="32">
        <f>IF($B$29="Yes",$B$33,0)</f>
        <v/>
      </c>
      <c r="AP39" s="10">
        <f>AN39*AO39</f>
        <v/>
      </c>
      <c r="AR39" s="14">
        <f>AR38+1</f>
        <v/>
      </c>
      <c r="AS39" s="492" t="inlineStr">
        <is>
          <t>Pallet lift poistitioning time</t>
        </is>
      </c>
      <c r="AT39" s="28" t="inlineStr">
        <is>
          <t>While getting shuttle in</t>
        </is>
      </c>
      <c r="AU39" s="9">
        <f>IFERROR(VLOOKUP(AS39,'Master List'!$A:$D,2,0),0)</f>
        <v/>
      </c>
      <c r="AV39" s="9">
        <f>IFERROR(VLOOKUP(AS39,'Master List'!$A:$D,3,0),0)</f>
        <v/>
      </c>
      <c r="AW39" s="9">
        <f>IFERROR(VLOOKUP(AS39,'Master List'!$A:$D,4,0),0)</f>
        <v/>
      </c>
      <c r="AX39" s="32">
        <f>AF39</f>
        <v/>
      </c>
      <c r="AY39" s="7">
        <f>IFERROR(AV39/AW39,0)</f>
        <v/>
      </c>
      <c r="AZ39" s="8">
        <f>IFERROR(IF(AX39&lt;((1/2*AW39*AY39^2)*2),1/2*AW39*SQRT((AX39/2)*2/AW39)^2,1/2*AW39*AY39^2),0)</f>
        <v/>
      </c>
      <c r="BA39" s="9">
        <f>IFERROR(IF(AX39-AZ39-BB39&lt;=0,0,AX39-AZ39-BB39),0)</f>
        <v/>
      </c>
      <c r="BB39" s="10">
        <f>AZ39</f>
        <v/>
      </c>
      <c r="BC39" s="8">
        <f>IFERROR(IF(AX39&lt;((1/2*AW39*AY39^2)*2),SQRT((AX39/2)*2/AW39),AY39),0)</f>
        <v/>
      </c>
      <c r="BD39" s="9">
        <f>IFERROR(BA39/AV39,0)</f>
        <v/>
      </c>
      <c r="BE39" s="10">
        <f>BC39</f>
        <v/>
      </c>
      <c r="BF39" s="8">
        <f>IF(AU39&gt;0,AU39,SUM(BC39:BE39))</f>
        <v/>
      </c>
      <c r="BG39" s="32">
        <f>IF($B$29="Yes",$B$33,0)</f>
        <v/>
      </c>
      <c r="BH39" s="10">
        <f>BF39*BG39</f>
        <v/>
      </c>
      <c r="BJ39" s="14">
        <f>BJ38+1</f>
        <v/>
      </c>
      <c r="BK39" s="492" t="n"/>
      <c r="BL39" s="30" t="n"/>
      <c r="BM39" s="9">
        <f>IFERROR(VLOOKUP(BK39,'Master List'!$A:$D,2,0),0)</f>
        <v/>
      </c>
      <c r="BN39" s="9">
        <f>IFERROR(VLOOKUP(BK39,'Master List'!$A:$D,3,0),0)</f>
        <v/>
      </c>
      <c r="BO39" s="9">
        <f>IFERROR(VLOOKUP(BK39,'Master List'!$A:$D,4,0),0)</f>
        <v/>
      </c>
      <c r="BP39" s="32" t="n"/>
      <c r="BQ39" s="7">
        <f>IFERROR(BN39/BO39,0)</f>
        <v/>
      </c>
      <c r="BR39" s="8">
        <f>IFERROR(IF(BP39&lt;((1/2*BO39*BQ39^2)*2),1/2*BO39*SQRT((BP39/2)*2/BO39)^2,1/2*BO39*BQ39^2),0)</f>
        <v/>
      </c>
      <c r="BS39" s="9">
        <f>IFERROR(IF(BP39-BR39-BT39&lt;=0,0,BP39-BR39-BT39),0)</f>
        <v/>
      </c>
      <c r="BT39" s="10">
        <f>BR39</f>
        <v/>
      </c>
      <c r="BU39" s="8">
        <f>IFERROR(IF(BP39&lt;((1/2*BO39*BQ39^2)*2),SQRT((BP39/2)*2/BO39),BQ39),0)</f>
        <v/>
      </c>
      <c r="BV39" s="9">
        <f>IFERROR(BS39/BN39,0)</f>
        <v/>
      </c>
      <c r="BW39" s="10">
        <f>BU39</f>
        <v/>
      </c>
      <c r="BX39" s="8">
        <f>IF(BM39&gt;0,BM39,SUM(BU39:BW39))</f>
        <v/>
      </c>
      <c r="BY39" s="32" t="n"/>
      <c r="BZ39" s="10">
        <f>BX39*BY39</f>
        <v/>
      </c>
    </row>
    <row r="40">
      <c r="H40" s="14">
        <f>H39+1</f>
        <v/>
      </c>
      <c r="I40" s="492" t="inlineStr">
        <is>
          <t>Pallet lift loaded or unloaded travel 0.6 m/s</t>
        </is>
      </c>
      <c r="J40" s="28" t="inlineStr">
        <is>
          <t>Travel to desired level</t>
        </is>
      </c>
      <c r="K40" s="9">
        <f>IFERROR(VLOOKUP(I40,'Master List'!$A:$D,2,0),0)</f>
        <v/>
      </c>
      <c r="L40" s="9">
        <f>IFERROR(VLOOKUP(I40,'Master List'!$A:$D,3,0),0)</f>
        <v/>
      </c>
      <c r="M40" s="9">
        <f>IFERROR(VLOOKUP(I40,'Master List'!$A:$D,4,0),0)</f>
        <v/>
      </c>
      <c r="N40" s="32">
        <f>B31</f>
        <v/>
      </c>
      <c r="O40" s="7">
        <f>IFERROR(L40/M40,0)</f>
        <v/>
      </c>
      <c r="P40" s="8">
        <f>IFERROR(IF(N40&lt;((1/2*M40*O40^2)*2),1/2*M40*SQRT((N40/2)*2/M40)^2,1/2*M40*O40^2),0)</f>
        <v/>
      </c>
      <c r="Q40" s="9">
        <f>IFERROR(IF(N40-P40-R40&lt;=0,0,N40-P40-R40),0)</f>
        <v/>
      </c>
      <c r="R40" s="10">
        <f>P40</f>
        <v/>
      </c>
      <c r="S40" s="8">
        <f>IFERROR(IF(N40&lt;((1/2*M40*O40^2)*2),SQRT((N40/2)*2/M40),O40),0)</f>
        <v/>
      </c>
      <c r="T40" s="9">
        <f>IFERROR(Q40/L40,0)</f>
        <v/>
      </c>
      <c r="U40" s="10">
        <f>S40</f>
        <v/>
      </c>
      <c r="V40" s="8">
        <f>IF(K40&gt;0,K40,SUM(S40:U40))</f>
        <v/>
      </c>
      <c r="W40" s="32">
        <f>IF($B$29="Yes",$B$33,0)</f>
        <v/>
      </c>
      <c r="X40" s="10">
        <f>V40*W40</f>
        <v/>
      </c>
      <c r="Z40" s="14">
        <f>Z39+1</f>
        <v/>
      </c>
      <c r="AA40" s="492" t="inlineStr">
        <is>
          <t>Pallet lift loaded or unloaded travel 0.6 m/s</t>
        </is>
      </c>
      <c r="AB40" s="28" t="inlineStr">
        <is>
          <t>Travel to desired level</t>
        </is>
      </c>
      <c r="AC40" s="9">
        <f>IFERROR(VLOOKUP(AA40,'Master List'!$A:$D,2,0),0)</f>
        <v/>
      </c>
      <c r="AD40" s="9">
        <f>IFERROR(VLOOKUP(AA40,'Master List'!$A:$D,3,0),0)</f>
        <v/>
      </c>
      <c r="AE40" s="9">
        <f>IFERROR(VLOOKUP(AA40,'Master List'!$A:$D,4,0),0)</f>
        <v/>
      </c>
      <c r="AF40" s="32">
        <f>N40</f>
        <v/>
      </c>
      <c r="AG40" s="7">
        <f>IFERROR(AD40/AE40,0)</f>
        <v/>
      </c>
      <c r="AH40" s="8">
        <f>IFERROR(IF(AF40&lt;((1/2*AE40*AG40^2)*2),1/2*AE40*SQRT((AF40/2)*2/AE40)^2,1/2*AE40*AG40^2),0)</f>
        <v/>
      </c>
      <c r="AI40" s="9">
        <f>IFERROR(IF(AF40-AH40-AJ40&lt;=0,0,AF40-AH40-AJ40),0)</f>
        <v/>
      </c>
      <c r="AJ40" s="10">
        <f>AH40</f>
        <v/>
      </c>
      <c r="AK40" s="8">
        <f>IFERROR(IF(AF40&lt;((1/2*AE40*AG40^2)*2),SQRT((AF40/2)*2/AE40),AG40),0)</f>
        <v/>
      </c>
      <c r="AL40" s="9">
        <f>IFERROR(AI40/AD40,0)</f>
        <v/>
      </c>
      <c r="AM40" s="10">
        <f>AK40</f>
        <v/>
      </c>
      <c r="AN40" s="8">
        <f>IF(AC40&gt;0,AC40,SUM(AK40:AM40))</f>
        <v/>
      </c>
      <c r="AO40" s="32">
        <f>IF($B$29="Yes",$B$33,0)</f>
        <v/>
      </c>
      <c r="AP40" s="10">
        <f>AN40*AO40</f>
        <v/>
      </c>
      <c r="AR40" s="14">
        <f>AR39+1</f>
        <v/>
      </c>
      <c r="AS40" s="492" t="inlineStr">
        <is>
          <t>Pallet lift loaded or unloaded travel 0.6 m/s</t>
        </is>
      </c>
      <c r="AT40" s="28" t="inlineStr">
        <is>
          <t>Travel to desired level</t>
        </is>
      </c>
      <c r="AU40" s="9">
        <f>IFERROR(VLOOKUP(AS40,'Master List'!$A:$D,2,0),0)</f>
        <v/>
      </c>
      <c r="AV40" s="9">
        <f>IFERROR(VLOOKUP(AS40,'Master List'!$A:$D,3,0),0)</f>
        <v/>
      </c>
      <c r="AW40" s="9">
        <f>IFERROR(VLOOKUP(AS40,'Master List'!$A:$D,4,0),0)</f>
        <v/>
      </c>
      <c r="AX40" s="32">
        <f>AF40</f>
        <v/>
      </c>
      <c r="AY40" s="7">
        <f>IFERROR(AV40/AW40,0)</f>
        <v/>
      </c>
      <c r="AZ40" s="8">
        <f>IFERROR(IF(AX40&lt;((1/2*AW40*AY40^2)*2),1/2*AW40*SQRT((AX40/2)*2/AW40)^2,1/2*AW40*AY40^2),0)</f>
        <v/>
      </c>
      <c r="BA40" s="9">
        <f>IFERROR(IF(AX40-AZ40-BB40&lt;=0,0,AX40-AZ40-BB40),0)</f>
        <v/>
      </c>
      <c r="BB40" s="10">
        <f>AZ40</f>
        <v/>
      </c>
      <c r="BC40" s="8">
        <f>IFERROR(IF(AX40&lt;((1/2*AW40*AY40^2)*2),SQRT((AX40/2)*2/AW40),AY40),0)</f>
        <v/>
      </c>
      <c r="BD40" s="9">
        <f>IFERROR(BA40/AV40,0)</f>
        <v/>
      </c>
      <c r="BE40" s="10">
        <f>BC40</f>
        <v/>
      </c>
      <c r="BF40" s="8">
        <f>IF(AU40&gt;0,AU40,SUM(BC40:BE40))</f>
        <v/>
      </c>
      <c r="BG40" s="32">
        <f>IF($B$29="Yes",$B$33,0)</f>
        <v/>
      </c>
      <c r="BH40" s="10">
        <f>BF40*BG40</f>
        <v/>
      </c>
      <c r="BJ40" s="14">
        <f>BJ39+1</f>
        <v/>
      </c>
      <c r="BK40" s="492" t="n"/>
      <c r="BL40" s="30" t="n"/>
      <c r="BM40" s="9">
        <f>IFERROR(VLOOKUP(BK40,'Master List'!$A:$D,2,0),0)</f>
        <v/>
      </c>
      <c r="BN40" s="9">
        <f>IFERROR(VLOOKUP(BK40,'Master List'!$A:$D,3,0),0)</f>
        <v/>
      </c>
      <c r="BO40" s="9">
        <f>IFERROR(VLOOKUP(BK40,'Master List'!$A:$D,4,0),0)</f>
        <v/>
      </c>
      <c r="BP40" s="32" t="n"/>
      <c r="BQ40" s="7">
        <f>IFERROR(BN40/BO40,0)</f>
        <v/>
      </c>
      <c r="BR40" s="8">
        <f>IFERROR(IF(BP40&lt;((1/2*BO40*BQ40^2)*2),1/2*BO40*SQRT((BP40/2)*2/BO40)^2,1/2*BO40*BQ40^2),0)</f>
        <v/>
      </c>
      <c r="BS40" s="9">
        <f>IFERROR(IF(BP40-BR40-BT40&lt;=0,0,BP40-BR40-BT40),0)</f>
        <v/>
      </c>
      <c r="BT40" s="10">
        <f>BR40</f>
        <v/>
      </c>
      <c r="BU40" s="8">
        <f>IFERROR(IF(BP40&lt;((1/2*BO40*BQ40^2)*2),SQRT((BP40/2)*2/BO40),BQ40),0)</f>
        <v/>
      </c>
      <c r="BV40" s="9">
        <f>IFERROR(BS40/BN40,0)</f>
        <v/>
      </c>
      <c r="BW40" s="10">
        <f>BU40</f>
        <v/>
      </c>
      <c r="BX40" s="8">
        <f>IF(BM40&gt;0,BM40,SUM(BU40:BW40))</f>
        <v/>
      </c>
      <c r="BY40" s="32" t="n"/>
      <c r="BZ40" s="10">
        <f>BX40*BY40</f>
        <v/>
      </c>
    </row>
    <row r="41">
      <c r="H41" s="14">
        <f>H40+1</f>
        <v/>
      </c>
      <c r="I41" s="492" t="inlineStr">
        <is>
          <t>Pallet lift positioning travel</t>
        </is>
      </c>
      <c r="J41" s="28" t="inlineStr">
        <is>
          <t>While getting shuttle out</t>
        </is>
      </c>
      <c r="K41" s="9">
        <f>IFERROR(VLOOKUP(I41,'Master List'!$A:$D,2,0),0)</f>
        <v/>
      </c>
      <c r="L41" s="9">
        <f>IFERROR(VLOOKUP(I41,'Master List'!$A:$D,3,0),0)</f>
        <v/>
      </c>
      <c r="M41" s="9">
        <f>IFERROR(VLOOKUP(I41,'Master List'!$A:$D,4,0),0)</f>
        <v/>
      </c>
      <c r="N41" s="32">
        <f>N38</f>
        <v/>
      </c>
      <c r="O41" s="7">
        <f>IFERROR(L41/M41,0)</f>
        <v/>
      </c>
      <c r="P41" s="8">
        <f>IFERROR(IF(N41&lt;((1/2*M41*O41^2)*2),1/2*M41*SQRT((N41/2)*2/M41)^2,1/2*M41*O41^2),0)</f>
        <v/>
      </c>
      <c r="Q41" s="9">
        <f>IFERROR(IF(N41-P41-R41&lt;=0,0,N41-P41-R41),0)</f>
        <v/>
      </c>
      <c r="R41" s="10">
        <f>P41</f>
        <v/>
      </c>
      <c r="S41" s="8">
        <f>IFERROR(IF(N41&lt;((1/2*M41*O41^2)*2),SQRT((N41/2)*2/M41),O41),0)</f>
        <v/>
      </c>
      <c r="T41" s="9">
        <f>IFERROR(Q41/L41,0)</f>
        <v/>
      </c>
      <c r="U41" s="10">
        <f>S41</f>
        <v/>
      </c>
      <c r="V41" s="8">
        <f>IF(K41&gt;0,K41,SUM(S41:U41))</f>
        <v/>
      </c>
      <c r="W41" s="32">
        <f>IF($B$29="Yes",$B$33,0)</f>
        <v/>
      </c>
      <c r="X41" s="10">
        <f>V41*W41</f>
        <v/>
      </c>
      <c r="Z41" s="14">
        <f>Z40+1</f>
        <v/>
      </c>
      <c r="AA41" s="492" t="inlineStr">
        <is>
          <t>Pallet lift positioning travel</t>
        </is>
      </c>
      <c r="AB41" s="28" t="inlineStr">
        <is>
          <t>While getting shuttle out</t>
        </is>
      </c>
      <c r="AC41" s="9">
        <f>IFERROR(VLOOKUP(AA41,'Master List'!$A:$D,2,0),0)</f>
        <v/>
      </c>
      <c r="AD41" s="9">
        <f>IFERROR(VLOOKUP(AA41,'Master List'!$A:$D,3,0),0)</f>
        <v/>
      </c>
      <c r="AE41" s="9">
        <f>IFERROR(VLOOKUP(AA41,'Master List'!$A:$D,4,0),0)</f>
        <v/>
      </c>
      <c r="AF41" s="32">
        <f>N41</f>
        <v/>
      </c>
      <c r="AG41" s="7">
        <f>IFERROR(AD41/AE41,0)</f>
        <v/>
      </c>
      <c r="AH41" s="8">
        <f>IFERROR(IF(AF41&lt;((1/2*AE41*AG41^2)*2),1/2*AE41*SQRT((AF41/2)*2/AE41)^2,1/2*AE41*AG41^2),0)</f>
        <v/>
      </c>
      <c r="AI41" s="9">
        <f>IFERROR(IF(AF41-AH41-AJ41&lt;=0,0,AF41-AH41-AJ41),0)</f>
        <v/>
      </c>
      <c r="AJ41" s="10">
        <f>AH41</f>
        <v/>
      </c>
      <c r="AK41" s="8">
        <f>IFERROR(IF(AF41&lt;((1/2*AE41*AG41^2)*2),SQRT((AF41/2)*2/AE41),AG41),0)</f>
        <v/>
      </c>
      <c r="AL41" s="9">
        <f>IFERROR(AI41/AD41,0)</f>
        <v/>
      </c>
      <c r="AM41" s="10">
        <f>AK41</f>
        <v/>
      </c>
      <c r="AN41" s="8">
        <f>IF(AC41&gt;0,AC41,SUM(AK41:AM41))</f>
        <v/>
      </c>
      <c r="AO41" s="32">
        <f>IF($B$29="Yes",$B$33,0)</f>
        <v/>
      </c>
      <c r="AP41" s="10">
        <f>AN41*AO41</f>
        <v/>
      </c>
      <c r="AR41" s="14">
        <f>AR40+1</f>
        <v/>
      </c>
      <c r="AS41" s="492" t="inlineStr">
        <is>
          <t>Pallet lift positioning travel</t>
        </is>
      </c>
      <c r="AT41" s="28" t="inlineStr">
        <is>
          <t>While getting shuttle out</t>
        </is>
      </c>
      <c r="AU41" s="9">
        <f>IFERROR(VLOOKUP(AS41,'Master List'!$A:$D,2,0),0)</f>
        <v/>
      </c>
      <c r="AV41" s="9">
        <f>IFERROR(VLOOKUP(AS41,'Master List'!$A:$D,3,0),0)</f>
        <v/>
      </c>
      <c r="AW41" s="9">
        <f>IFERROR(VLOOKUP(AS41,'Master List'!$A:$D,4,0),0)</f>
        <v/>
      </c>
      <c r="AX41" s="32">
        <f>AF41</f>
        <v/>
      </c>
      <c r="AY41" s="7">
        <f>IFERROR(AV41/AW41,0)</f>
        <v/>
      </c>
      <c r="AZ41" s="8">
        <f>IFERROR(IF(AX41&lt;((1/2*AW41*AY41^2)*2),1/2*AW41*SQRT((AX41/2)*2/AW41)^2,1/2*AW41*AY41^2),0)</f>
        <v/>
      </c>
      <c r="BA41" s="9">
        <f>IFERROR(IF(AX41-AZ41-BB41&lt;=0,0,AX41-AZ41-BB41),0)</f>
        <v/>
      </c>
      <c r="BB41" s="10">
        <f>AZ41</f>
        <v/>
      </c>
      <c r="BC41" s="8">
        <f>IFERROR(IF(AX41&lt;((1/2*AW41*AY41^2)*2),SQRT((AX41/2)*2/AW41),AY41),0)</f>
        <v/>
      </c>
      <c r="BD41" s="9">
        <f>IFERROR(BA41/AV41,0)</f>
        <v/>
      </c>
      <c r="BE41" s="10">
        <f>BC41</f>
        <v/>
      </c>
      <c r="BF41" s="8">
        <f>IF(AU41&gt;0,AU41,SUM(BC41:BE41))</f>
        <v/>
      </c>
      <c r="BG41" s="32">
        <f>IF($B$29="Yes",$B$33,0)</f>
        <v/>
      </c>
      <c r="BH41" s="10">
        <f>BF41*BG41</f>
        <v/>
      </c>
      <c r="BJ41" s="14">
        <f>BJ40+1</f>
        <v/>
      </c>
      <c r="BK41" s="492" t="n"/>
      <c r="BL41" s="30" t="n"/>
      <c r="BM41" s="9">
        <f>IFERROR(VLOOKUP(BK41,'Master List'!$A:$D,2,0),0)</f>
        <v/>
      </c>
      <c r="BN41" s="9">
        <f>IFERROR(VLOOKUP(BK41,'Master List'!$A:$D,3,0),0)</f>
        <v/>
      </c>
      <c r="BO41" s="9">
        <f>IFERROR(VLOOKUP(BK41,'Master List'!$A:$D,4,0),0)</f>
        <v/>
      </c>
      <c r="BP41" s="32" t="n"/>
      <c r="BQ41" s="7">
        <f>IFERROR(BN41/BO41,0)</f>
        <v/>
      </c>
      <c r="BR41" s="8">
        <f>IFERROR(IF(BP41&lt;((1/2*BO41*BQ41^2)*2),1/2*BO41*SQRT((BP41/2)*2/BO41)^2,1/2*BO41*BQ41^2),0)</f>
        <v/>
      </c>
      <c r="BS41" s="9">
        <f>IFERROR(IF(BP41-BR41-BT41&lt;=0,0,BP41-BR41-BT41),0)</f>
        <v/>
      </c>
      <c r="BT41" s="10">
        <f>BR41</f>
        <v/>
      </c>
      <c r="BU41" s="8">
        <f>IFERROR(IF(BP41&lt;((1/2*BO41*BQ41^2)*2),SQRT((BP41/2)*2/BO41),BQ41),0)</f>
        <v/>
      </c>
      <c r="BV41" s="9">
        <f>IFERROR(BS41/BN41,0)</f>
        <v/>
      </c>
      <c r="BW41" s="10">
        <f>BU41</f>
        <v/>
      </c>
      <c r="BX41" s="8">
        <f>IF(BM41&gt;0,BM41,SUM(BU41:BW41))</f>
        <v/>
      </c>
      <c r="BY41" s="32" t="n"/>
      <c r="BZ41" s="10">
        <f>BX41*BY41</f>
        <v/>
      </c>
    </row>
    <row r="42">
      <c r="H42" s="14">
        <f>H41+1</f>
        <v/>
      </c>
      <c r="I42" s="492" t="inlineStr">
        <is>
          <t>Pallet lift poistitioning time</t>
        </is>
      </c>
      <c r="J42" s="28" t="inlineStr">
        <is>
          <t>While getting shuttle out</t>
        </is>
      </c>
      <c r="K42" s="9">
        <f>IFERROR(VLOOKUP(I42,'Master List'!$A:$D,2,0),0)</f>
        <v/>
      </c>
      <c r="L42" s="9">
        <f>IFERROR(VLOOKUP(I42,'Master List'!$A:$D,3,0),0)</f>
        <v/>
      </c>
      <c r="M42" s="9">
        <f>IFERROR(VLOOKUP(I42,'Master List'!$A:$D,4,0),0)</f>
        <v/>
      </c>
      <c r="N42" s="32">
        <f>N39</f>
        <v/>
      </c>
      <c r="O42" s="7">
        <f>IFERROR(L42/M42,0)</f>
        <v/>
      </c>
      <c r="P42" s="8">
        <f>IFERROR(IF(N42&lt;((1/2*M42*O42^2)*2),1/2*M42*SQRT((N42/2)*2/M42)^2,1/2*M42*O42^2),0)</f>
        <v/>
      </c>
      <c r="Q42" s="9">
        <f>IFERROR(IF(N42-P42-R42&lt;=0,0,N42-P42-R42),0)</f>
        <v/>
      </c>
      <c r="R42" s="10">
        <f>P42</f>
        <v/>
      </c>
      <c r="S42" s="8">
        <f>IFERROR(IF(N42&lt;((1/2*M42*O42^2)*2),SQRT((N42/2)*2/M42),O42),0)</f>
        <v/>
      </c>
      <c r="T42" s="9">
        <f>IFERROR(Q42/L42,0)</f>
        <v/>
      </c>
      <c r="U42" s="10">
        <f>S42</f>
        <v/>
      </c>
      <c r="V42" s="8">
        <f>IF(K42&gt;0,K42,SUM(S42:U42))</f>
        <v/>
      </c>
      <c r="W42" s="32">
        <f>IF($B$29="Yes",$B$33,0)</f>
        <v/>
      </c>
      <c r="X42" s="10">
        <f>V42*W42</f>
        <v/>
      </c>
      <c r="Z42" s="14">
        <f>Z41+1</f>
        <v/>
      </c>
      <c r="AA42" s="492" t="inlineStr">
        <is>
          <t>Pallet lift poistitioning time</t>
        </is>
      </c>
      <c r="AB42" s="28" t="inlineStr">
        <is>
          <t>While getting shuttle out</t>
        </is>
      </c>
      <c r="AC42" s="9">
        <f>IFERROR(VLOOKUP(AA42,'Master List'!$A:$D,2,0),0)</f>
        <v/>
      </c>
      <c r="AD42" s="9">
        <f>IFERROR(VLOOKUP(AA42,'Master List'!$A:$D,3,0),0)</f>
        <v/>
      </c>
      <c r="AE42" s="9">
        <f>IFERROR(VLOOKUP(AA42,'Master List'!$A:$D,4,0),0)</f>
        <v/>
      </c>
      <c r="AF42" s="32">
        <f>N42</f>
        <v/>
      </c>
      <c r="AG42" s="7">
        <f>IFERROR(AD42/AE42,0)</f>
        <v/>
      </c>
      <c r="AH42" s="8">
        <f>IFERROR(IF(AF42&lt;((1/2*AE42*AG42^2)*2),1/2*AE42*SQRT((AF42/2)*2/AE42)^2,1/2*AE42*AG42^2),0)</f>
        <v/>
      </c>
      <c r="AI42" s="9">
        <f>IFERROR(IF(AF42-AH42-AJ42&lt;=0,0,AF42-AH42-AJ42),0)</f>
        <v/>
      </c>
      <c r="AJ42" s="10">
        <f>AH42</f>
        <v/>
      </c>
      <c r="AK42" s="8">
        <f>IFERROR(IF(AF42&lt;((1/2*AE42*AG42^2)*2),SQRT((AF42/2)*2/AE42),AG42),0)</f>
        <v/>
      </c>
      <c r="AL42" s="9">
        <f>IFERROR(AI42/AD42,0)</f>
        <v/>
      </c>
      <c r="AM42" s="10">
        <f>AK42</f>
        <v/>
      </c>
      <c r="AN42" s="8">
        <f>IF(AC42&gt;0,AC42,SUM(AK42:AM42))</f>
        <v/>
      </c>
      <c r="AO42" s="32">
        <f>IF($B$29="Yes",$B$33,0)</f>
        <v/>
      </c>
      <c r="AP42" s="10">
        <f>AN42*AO42</f>
        <v/>
      </c>
      <c r="AR42" s="14">
        <f>AR41+1</f>
        <v/>
      </c>
      <c r="AS42" s="492" t="inlineStr">
        <is>
          <t>Pallet lift poistitioning time</t>
        </is>
      </c>
      <c r="AT42" s="28" t="inlineStr">
        <is>
          <t>While getting shuttle out</t>
        </is>
      </c>
      <c r="AU42" s="9">
        <f>IFERROR(VLOOKUP(AS42,'Master List'!$A:$D,2,0),0)</f>
        <v/>
      </c>
      <c r="AV42" s="9">
        <f>IFERROR(VLOOKUP(AS42,'Master List'!$A:$D,3,0),0)</f>
        <v/>
      </c>
      <c r="AW42" s="9">
        <f>IFERROR(VLOOKUP(AS42,'Master List'!$A:$D,4,0),0)</f>
        <v/>
      </c>
      <c r="AX42" s="32">
        <f>AF42</f>
        <v/>
      </c>
      <c r="AY42" s="7">
        <f>IFERROR(AV42/AW42,0)</f>
        <v/>
      </c>
      <c r="AZ42" s="8">
        <f>IFERROR(IF(AX42&lt;((1/2*AW42*AY42^2)*2),1/2*AW42*SQRT((AX42/2)*2/AW42)^2,1/2*AW42*AY42^2),0)</f>
        <v/>
      </c>
      <c r="BA42" s="9">
        <f>IFERROR(IF(AX42-AZ42-BB42&lt;=0,0,AX42-AZ42-BB42),0)</f>
        <v/>
      </c>
      <c r="BB42" s="10">
        <f>AZ42</f>
        <v/>
      </c>
      <c r="BC42" s="8">
        <f>IFERROR(IF(AX42&lt;((1/2*AW42*AY42^2)*2),SQRT((AX42/2)*2/AW42),AY42),0)</f>
        <v/>
      </c>
      <c r="BD42" s="9">
        <f>IFERROR(BA42/AV42,0)</f>
        <v/>
      </c>
      <c r="BE42" s="10">
        <f>BC42</f>
        <v/>
      </c>
      <c r="BF42" s="8">
        <f>IF(AU42&gt;0,AU42,SUM(BC42:BE42))</f>
        <v/>
      </c>
      <c r="BG42" s="32">
        <f>IF($B$29="Yes",$B$33,0)</f>
        <v/>
      </c>
      <c r="BH42" s="10">
        <f>BF42*BG42</f>
        <v/>
      </c>
      <c r="BJ42" s="14">
        <f>BJ41+1</f>
        <v/>
      </c>
      <c r="BK42" s="492" t="n"/>
      <c r="BL42" s="30" t="n"/>
      <c r="BM42" s="9">
        <f>IFERROR(VLOOKUP(BK42,'Master List'!$A:$D,2,0),0)</f>
        <v/>
      </c>
      <c r="BN42" s="9">
        <f>IFERROR(VLOOKUP(BK42,'Master List'!$A:$D,3,0),0)</f>
        <v/>
      </c>
      <c r="BO42" s="9">
        <f>IFERROR(VLOOKUP(BK42,'Master List'!$A:$D,4,0),0)</f>
        <v/>
      </c>
      <c r="BP42" s="32" t="n"/>
      <c r="BQ42" s="7">
        <f>IFERROR(BN42/BO42,0)</f>
        <v/>
      </c>
      <c r="BR42" s="8">
        <f>IFERROR(IF(BP42&lt;((1/2*BO42*BQ42^2)*2),1/2*BO42*SQRT((BP42/2)*2/BO42)^2,1/2*BO42*BQ42^2),0)</f>
        <v/>
      </c>
      <c r="BS42" s="9">
        <f>IFERROR(IF(BP42-BR42-BT42&lt;=0,0,BP42-BR42-BT42),0)</f>
        <v/>
      </c>
      <c r="BT42" s="10">
        <f>BR42</f>
        <v/>
      </c>
      <c r="BU42" s="8">
        <f>IFERROR(IF(BP42&lt;((1/2*BO42*BQ42^2)*2),SQRT((BP42/2)*2/BO42),BQ42),0)</f>
        <v/>
      </c>
      <c r="BV42" s="9">
        <f>IFERROR(BS42/BN42,0)</f>
        <v/>
      </c>
      <c r="BW42" s="10">
        <f>BU42</f>
        <v/>
      </c>
      <c r="BX42" s="8">
        <f>IF(BM42&gt;0,BM42,SUM(BU42:BW42))</f>
        <v/>
      </c>
      <c r="BY42" s="32" t="n"/>
      <c r="BZ42" s="10">
        <f>BX42*BY42</f>
        <v/>
      </c>
    </row>
    <row r="43">
      <c r="H43" s="14">
        <f>H42+1</f>
        <v/>
      </c>
      <c r="I43" s="492" t="inlineStr">
        <is>
          <t>4 way shuttle_Unloaded</t>
        </is>
      </c>
      <c r="J43" s="28" t="inlineStr">
        <is>
          <t>Move out of lift</t>
        </is>
      </c>
      <c r="K43" s="9">
        <f>IFERROR(VLOOKUP(I43,'Master List'!$A:$D,2,0),0)</f>
        <v/>
      </c>
      <c r="L43" s="9">
        <f>IFERROR(VLOOKUP(I43,'Master List'!$A:$D,3,0),0)</f>
        <v/>
      </c>
      <c r="M43" s="9">
        <f>IFERROR(VLOOKUP(I43,'Master List'!$A:$D,4,0),0)</f>
        <v/>
      </c>
      <c r="N43" s="32">
        <f>N37</f>
        <v/>
      </c>
      <c r="O43" s="7">
        <f>IFERROR(L43/M43,0)</f>
        <v/>
      </c>
      <c r="P43" s="8">
        <f>IFERROR(IF(N43&lt;((1/2*M43*O43^2)*2),1/2*M43*SQRT((N43/2)*2/M43)^2,1/2*M43*O43^2),0)</f>
        <v/>
      </c>
      <c r="Q43" s="9">
        <f>IFERROR(IF(N43-P43-R43&lt;=0,0,N43-P43-R43),0)</f>
        <v/>
      </c>
      <c r="R43" s="10">
        <f>P43</f>
        <v/>
      </c>
      <c r="S43" s="8">
        <f>IFERROR(IF(N43&lt;((1/2*M43*O43^2)*2),SQRT((N43/2)*2/M43),O43),0)</f>
        <v/>
      </c>
      <c r="T43" s="9">
        <f>IFERROR(Q43/L43,0)</f>
        <v/>
      </c>
      <c r="U43" s="10">
        <f>S43</f>
        <v/>
      </c>
      <c r="V43" s="8">
        <f>IF(K43&gt;0,K43,SUM(S43:U43))</f>
        <v/>
      </c>
      <c r="W43" s="32">
        <f>IF($B$29="Yes",$B$33,0)</f>
        <v/>
      </c>
      <c r="X43" s="10">
        <f>V43*W43</f>
        <v/>
      </c>
      <c r="Z43" s="14">
        <f>Z42+1</f>
        <v/>
      </c>
      <c r="AA43" s="492" t="inlineStr">
        <is>
          <t>4 way shuttle_Unloaded</t>
        </is>
      </c>
      <c r="AB43" s="28" t="inlineStr">
        <is>
          <t>Move out of lift</t>
        </is>
      </c>
      <c r="AC43" s="9">
        <f>IFERROR(VLOOKUP(AA43,'Master List'!$A:$D,2,0),0)</f>
        <v/>
      </c>
      <c r="AD43" s="9">
        <f>IFERROR(VLOOKUP(AA43,'Master List'!$A:$D,3,0),0)</f>
        <v/>
      </c>
      <c r="AE43" s="9">
        <f>IFERROR(VLOOKUP(AA43,'Master List'!$A:$D,4,0),0)</f>
        <v/>
      </c>
      <c r="AF43" s="32">
        <f>N43</f>
        <v/>
      </c>
      <c r="AG43" s="7">
        <f>IFERROR(AD43/AE43,0)</f>
        <v/>
      </c>
      <c r="AH43" s="8">
        <f>IFERROR(IF(AF43&lt;((1/2*AE43*AG43^2)*2),1/2*AE43*SQRT((AF43/2)*2/AE43)^2,1/2*AE43*AG43^2),0)</f>
        <v/>
      </c>
      <c r="AI43" s="9">
        <f>IFERROR(IF(AF43-AH43-AJ43&lt;=0,0,AF43-AH43-AJ43),0)</f>
        <v/>
      </c>
      <c r="AJ43" s="10">
        <f>AH43</f>
        <v/>
      </c>
      <c r="AK43" s="8">
        <f>IFERROR(IF(AF43&lt;((1/2*AE43*AG43^2)*2),SQRT((AF43/2)*2/AE43),AG43),0)</f>
        <v/>
      </c>
      <c r="AL43" s="9">
        <f>IFERROR(AI43/AD43,0)</f>
        <v/>
      </c>
      <c r="AM43" s="10">
        <f>AK43</f>
        <v/>
      </c>
      <c r="AN43" s="8">
        <f>IF(AC43&gt;0,AC43,SUM(AK43:AM43))</f>
        <v/>
      </c>
      <c r="AO43" s="32">
        <f>IF($B$29="Yes",$B$33,0)</f>
        <v/>
      </c>
      <c r="AP43" s="10">
        <f>AN43*AO43</f>
        <v/>
      </c>
      <c r="AR43" s="14">
        <f>AR42+1</f>
        <v/>
      </c>
      <c r="AS43" s="492" t="inlineStr">
        <is>
          <t>4 way shuttle_Unloaded</t>
        </is>
      </c>
      <c r="AT43" s="28" t="inlineStr">
        <is>
          <t>Move out of lift</t>
        </is>
      </c>
      <c r="AU43" s="9">
        <f>IFERROR(VLOOKUP(AS43,'Master List'!$A:$D,2,0),0)</f>
        <v/>
      </c>
      <c r="AV43" s="9">
        <f>IFERROR(VLOOKUP(AS43,'Master List'!$A:$D,3,0),0)</f>
        <v/>
      </c>
      <c r="AW43" s="9">
        <f>IFERROR(VLOOKUP(AS43,'Master List'!$A:$D,4,0),0)</f>
        <v/>
      </c>
      <c r="AX43" s="32">
        <f>AF43</f>
        <v/>
      </c>
      <c r="AY43" s="7">
        <f>IFERROR(AV43/AW43,0)</f>
        <v/>
      </c>
      <c r="AZ43" s="8">
        <f>IFERROR(IF(AX43&lt;((1/2*AW43*AY43^2)*2),1/2*AW43*SQRT((AX43/2)*2/AW43)^2,1/2*AW43*AY43^2),0)</f>
        <v/>
      </c>
      <c r="BA43" s="9">
        <f>IFERROR(IF(AX43-AZ43-BB43&lt;=0,0,AX43-AZ43-BB43),0)</f>
        <v/>
      </c>
      <c r="BB43" s="10">
        <f>AZ43</f>
        <v/>
      </c>
      <c r="BC43" s="8">
        <f>IFERROR(IF(AX43&lt;((1/2*AW43*AY43^2)*2),SQRT((AX43/2)*2/AW43),AY43),0)</f>
        <v/>
      </c>
      <c r="BD43" s="9">
        <f>IFERROR(BA43/AV43,0)</f>
        <v/>
      </c>
      <c r="BE43" s="10">
        <f>BC43</f>
        <v/>
      </c>
      <c r="BF43" s="8">
        <f>IF(AU43&gt;0,AU43,SUM(BC43:BE43))</f>
        <v/>
      </c>
      <c r="BG43" s="32">
        <f>IF($B$29="Yes",$B$33,0)</f>
        <v/>
      </c>
      <c r="BH43" s="10">
        <f>BF43*BG43</f>
        <v/>
      </c>
      <c r="BJ43" s="14">
        <f>BJ42+1</f>
        <v/>
      </c>
      <c r="BK43" s="492" t="n"/>
      <c r="BL43" s="30" t="n"/>
      <c r="BM43" s="9">
        <f>IFERROR(VLOOKUP(BK43,'Master List'!$A:$D,2,0),0)</f>
        <v/>
      </c>
      <c r="BN43" s="9">
        <f>IFERROR(VLOOKUP(BK43,'Master List'!$A:$D,3,0),0)</f>
        <v/>
      </c>
      <c r="BO43" s="9">
        <f>IFERROR(VLOOKUP(BK43,'Master List'!$A:$D,4,0),0)</f>
        <v/>
      </c>
      <c r="BP43" s="32" t="n"/>
      <c r="BQ43" s="7">
        <f>IFERROR(BN43/BO43,0)</f>
        <v/>
      </c>
      <c r="BR43" s="8">
        <f>IFERROR(IF(BP43&lt;((1/2*BO43*BQ43^2)*2),1/2*BO43*SQRT((BP43/2)*2/BO43)^2,1/2*BO43*BQ43^2),0)</f>
        <v/>
      </c>
      <c r="BS43" s="9">
        <f>IFERROR(IF(BP43-BR43-BT43&lt;=0,0,BP43-BR43-BT43),0)</f>
        <v/>
      </c>
      <c r="BT43" s="10">
        <f>BR43</f>
        <v/>
      </c>
      <c r="BU43" s="8">
        <f>IFERROR(IF(BP43&lt;((1/2*BO43*BQ43^2)*2),SQRT((BP43/2)*2/BO43),BQ43),0)</f>
        <v/>
      </c>
      <c r="BV43" s="9">
        <f>IFERROR(BS43/BN43,0)</f>
        <v/>
      </c>
      <c r="BW43" s="10">
        <f>BU43</f>
        <v/>
      </c>
      <c r="BX43" s="8">
        <f>IF(BM43&gt;0,BM43,SUM(BU43:BW43))</f>
        <v/>
      </c>
      <c r="BY43" s="32" t="n"/>
      <c r="BZ43" s="10">
        <f>BX43*BY43</f>
        <v/>
      </c>
    </row>
    <row r="44">
      <c r="H44" s="14">
        <f>H43+1</f>
        <v/>
      </c>
      <c r="I44" s="492" t="n"/>
      <c r="J44" s="28" t="n"/>
      <c r="K44" s="9">
        <f>IFERROR(VLOOKUP(I44,'Master List'!$A:$D,2,0),0)</f>
        <v/>
      </c>
      <c r="L44" s="9">
        <f>IFERROR(VLOOKUP(I44,'Master List'!$A:$D,3,0),0)</f>
        <v/>
      </c>
      <c r="M44" s="9">
        <f>IFERROR(VLOOKUP(I44,'Master List'!$A:$D,4,0),0)</f>
        <v/>
      </c>
      <c r="N44" s="32" t="n"/>
      <c r="O44" s="7">
        <f>IFERROR(L44/M44,0)</f>
        <v/>
      </c>
      <c r="P44" s="8">
        <f>IFERROR(IF(N44&lt;((1/2*M44*O44^2)*2),1/2*M44*SQRT((N44/2)*2/M44)^2,1/2*M44*O44^2),0)</f>
        <v/>
      </c>
      <c r="Q44" s="9">
        <f>IFERROR(IF(N44-P44-R44&lt;=0,0,N44-P44-R44),0)</f>
        <v/>
      </c>
      <c r="R44" s="10">
        <f>P44</f>
        <v/>
      </c>
      <c r="S44" s="8">
        <f>IFERROR(IF(N44&lt;((1/2*M44*O44^2)*2),SQRT((N44/2)*2/M44),O44),0)</f>
        <v/>
      </c>
      <c r="T44" s="9">
        <f>IFERROR(Q44/L44,0)</f>
        <v/>
      </c>
      <c r="U44" s="10">
        <f>S44</f>
        <v/>
      </c>
      <c r="V44" s="8">
        <f>IF(K44&gt;0,K44,SUM(S44:U44))</f>
        <v/>
      </c>
      <c r="W44" s="32" t="n"/>
      <c r="X44" s="10">
        <f>V44*W44</f>
        <v/>
      </c>
      <c r="Z44" s="14">
        <f>Z43+1</f>
        <v/>
      </c>
      <c r="AA44" s="492" t="n"/>
      <c r="AB44" s="30" t="n"/>
      <c r="AC44" s="9">
        <f>IFERROR(VLOOKUP(AA44,'Master List'!$A:$D,2,0),0)</f>
        <v/>
      </c>
      <c r="AD44" s="9">
        <f>IFERROR(VLOOKUP(AA44,'Master List'!$A:$D,3,0),0)</f>
        <v/>
      </c>
      <c r="AE44" s="9">
        <f>IFERROR(VLOOKUP(AA44,'Master List'!$A:$D,4,0),0)</f>
        <v/>
      </c>
      <c r="AF44" s="32" t="n"/>
      <c r="AG44" s="7">
        <f>IFERROR(AD44/AE44,0)</f>
        <v/>
      </c>
      <c r="AH44" s="8">
        <f>IFERROR(IF(AF44&lt;((1/2*AE44*AG44^2)*2),1/2*AE44*SQRT((AF44/2)*2/AE44)^2,1/2*AE44*AG44^2),0)</f>
        <v/>
      </c>
      <c r="AI44" s="9">
        <f>IFERROR(IF(AF44-AH44-AJ44&lt;=0,0,AF44-AH44-AJ44),0)</f>
        <v/>
      </c>
      <c r="AJ44" s="10">
        <f>AH44</f>
        <v/>
      </c>
      <c r="AK44" s="8">
        <f>IFERROR(IF(AF44&lt;((1/2*AE44*AG44^2)*2),SQRT((AF44/2)*2/AE44),AG44),0)</f>
        <v/>
      </c>
      <c r="AL44" s="9">
        <f>IFERROR(AI44/AD44,0)</f>
        <v/>
      </c>
      <c r="AM44" s="10">
        <f>AK44</f>
        <v/>
      </c>
      <c r="AN44" s="8">
        <f>IF(AC44&gt;0,AC44,SUM(AK44:AM44))</f>
        <v/>
      </c>
      <c r="AO44" s="32" t="n"/>
      <c r="AP44" s="10">
        <f>AN44*AO44</f>
        <v/>
      </c>
      <c r="AR44" s="14">
        <f>AR43+1</f>
        <v/>
      </c>
      <c r="AS44" s="492" t="n"/>
      <c r="AT44" s="30" t="n"/>
      <c r="AU44" s="9">
        <f>IFERROR(VLOOKUP(AS44,'Master List'!$A:$D,2,0),0)</f>
        <v/>
      </c>
      <c r="AV44" s="9">
        <f>IFERROR(VLOOKUP(AS44,'Master List'!$A:$D,3,0),0)</f>
        <v/>
      </c>
      <c r="AW44" s="9">
        <f>IFERROR(VLOOKUP(AS44,'Master List'!$A:$D,4,0),0)</f>
        <v/>
      </c>
      <c r="AX44" s="32" t="n"/>
      <c r="AY44" s="7">
        <f>IFERROR(AV44/AW44,0)</f>
        <v/>
      </c>
      <c r="AZ44" s="8">
        <f>IFERROR(IF(AX44&lt;((1/2*AW44*AY44^2)*2),1/2*AW44*SQRT((AX44/2)*2/AW44)^2,1/2*AW44*AY44^2),0)</f>
        <v/>
      </c>
      <c r="BA44" s="9">
        <f>IFERROR(IF(AX44-AZ44-BB44&lt;=0,0,AX44-AZ44-BB44),0)</f>
        <v/>
      </c>
      <c r="BB44" s="10">
        <f>AZ44</f>
        <v/>
      </c>
      <c r="BC44" s="8">
        <f>IFERROR(IF(AX44&lt;((1/2*AW44*AY44^2)*2),SQRT((AX44/2)*2/AW44),AY44),0)</f>
        <v/>
      </c>
      <c r="BD44" s="9">
        <f>IFERROR(BA44/AV44,0)</f>
        <v/>
      </c>
      <c r="BE44" s="10">
        <f>BC44</f>
        <v/>
      </c>
      <c r="BF44" s="8">
        <f>IF(AU44&gt;0,AU44,SUM(BC44:BE44))</f>
        <v/>
      </c>
      <c r="BG44" s="32" t="n"/>
      <c r="BH44" s="10">
        <f>BF44*BG44</f>
        <v/>
      </c>
      <c r="BJ44" s="14">
        <f>BJ43+1</f>
        <v/>
      </c>
      <c r="BK44" s="492" t="n"/>
      <c r="BL44" s="30" t="n"/>
      <c r="BM44" s="9">
        <f>IFERROR(VLOOKUP(BK44,'Master List'!$A:$D,2,0),0)</f>
        <v/>
      </c>
      <c r="BN44" s="9">
        <f>IFERROR(VLOOKUP(BK44,'Master List'!$A:$D,3,0),0)</f>
        <v/>
      </c>
      <c r="BO44" s="9">
        <f>IFERROR(VLOOKUP(BK44,'Master List'!$A:$D,4,0),0)</f>
        <v/>
      </c>
      <c r="BP44" s="32" t="n"/>
      <c r="BQ44" s="7">
        <f>IFERROR(BN44/BO44,0)</f>
        <v/>
      </c>
      <c r="BR44" s="8">
        <f>IFERROR(IF(BP44&lt;((1/2*BO44*BQ44^2)*2),1/2*BO44*SQRT((BP44/2)*2/BO44)^2,1/2*BO44*BQ44^2),0)</f>
        <v/>
      </c>
      <c r="BS44" s="9">
        <f>IFERROR(IF(BP44-BR44-BT44&lt;=0,0,BP44-BR44-BT44),0)</f>
        <v/>
      </c>
      <c r="BT44" s="10">
        <f>BR44</f>
        <v/>
      </c>
      <c r="BU44" s="8">
        <f>IFERROR(IF(BP44&lt;((1/2*BO44*BQ44^2)*2),SQRT((BP44/2)*2/BO44),BQ44),0)</f>
        <v/>
      </c>
      <c r="BV44" s="9">
        <f>IFERROR(BS44/BN44,0)</f>
        <v/>
      </c>
      <c r="BW44" s="10">
        <f>BU44</f>
        <v/>
      </c>
      <c r="BX44" s="8">
        <f>IF(BM44&gt;0,BM44,SUM(BU44:BW44))</f>
        <v/>
      </c>
      <c r="BY44" s="32" t="n"/>
      <c r="BZ44" s="10">
        <f>BX44*BY44</f>
        <v/>
      </c>
    </row>
    <row r="45">
      <c r="H45" s="14">
        <f>H44+1</f>
        <v/>
      </c>
      <c r="I45" s="492" t="n"/>
      <c r="J45" s="28" t="n"/>
      <c r="K45" s="9">
        <f>IFERROR(VLOOKUP(I45,'Master List'!$A:$D,2,0),0)</f>
        <v/>
      </c>
      <c r="L45" s="9">
        <f>IFERROR(VLOOKUP(I45,'Master List'!$A:$D,3,0),0)</f>
        <v/>
      </c>
      <c r="M45" s="9">
        <f>IFERROR(VLOOKUP(I45,'Master List'!$A:$D,4,0),0)</f>
        <v/>
      </c>
      <c r="N45" s="32" t="n"/>
      <c r="O45" s="7">
        <f>IFERROR(L45/M45,0)</f>
        <v/>
      </c>
      <c r="P45" s="8">
        <f>IFERROR(IF(N45&lt;((1/2*M45*O45^2)*2),1/2*M45*SQRT((N45/2)*2/M45)^2,1/2*M45*O45^2),0)</f>
        <v/>
      </c>
      <c r="Q45" s="9">
        <f>IFERROR(IF(N45-P45-R45&lt;=0,0,N45-P45-R45),0)</f>
        <v/>
      </c>
      <c r="R45" s="10">
        <f>P45</f>
        <v/>
      </c>
      <c r="S45" s="8">
        <f>IFERROR(IF(N45&lt;((1/2*M45*O45^2)*2),SQRT((N45/2)*2/M45),O45),0)</f>
        <v/>
      </c>
      <c r="T45" s="9">
        <f>IFERROR(Q45/L45,0)</f>
        <v/>
      </c>
      <c r="U45" s="10">
        <f>S45</f>
        <v/>
      </c>
      <c r="V45" s="8">
        <f>IF(K45&gt;0,K45,SUM(S45:U45))</f>
        <v/>
      </c>
      <c r="W45" s="32" t="n"/>
      <c r="X45" s="10">
        <f>V45*W45</f>
        <v/>
      </c>
      <c r="Z45" s="14">
        <f>Z44+1</f>
        <v/>
      </c>
      <c r="AA45" s="492" t="n"/>
      <c r="AB45" s="30" t="n"/>
      <c r="AC45" s="9">
        <f>IFERROR(VLOOKUP(AA45,'Master List'!$A:$D,2,0),0)</f>
        <v/>
      </c>
      <c r="AD45" s="9">
        <f>IFERROR(VLOOKUP(AA45,'Master List'!$A:$D,3,0),0)</f>
        <v/>
      </c>
      <c r="AE45" s="9">
        <f>IFERROR(VLOOKUP(AA45,'Master List'!$A:$D,4,0),0)</f>
        <v/>
      </c>
      <c r="AF45" s="32" t="n"/>
      <c r="AG45" s="7">
        <f>IFERROR(AD45/AE45,0)</f>
        <v/>
      </c>
      <c r="AH45" s="8">
        <f>IFERROR(IF(AF45&lt;((1/2*AE45*AG45^2)*2),1/2*AE45*SQRT((AF45/2)*2/AE45)^2,1/2*AE45*AG45^2),0)</f>
        <v/>
      </c>
      <c r="AI45" s="9">
        <f>IFERROR(IF(AF45-AH45-AJ45&lt;=0,0,AF45-AH45-AJ45),0)</f>
        <v/>
      </c>
      <c r="AJ45" s="10">
        <f>AH45</f>
        <v/>
      </c>
      <c r="AK45" s="8">
        <f>IFERROR(IF(AF45&lt;((1/2*AE45*AG45^2)*2),SQRT((AF45/2)*2/AE45),AG45),0)</f>
        <v/>
      </c>
      <c r="AL45" s="9">
        <f>IFERROR(AI45/AD45,0)</f>
        <v/>
      </c>
      <c r="AM45" s="10">
        <f>AK45</f>
        <v/>
      </c>
      <c r="AN45" s="8">
        <f>IF(AC45&gt;0,AC45,SUM(AK45:AM45))</f>
        <v/>
      </c>
      <c r="AO45" s="32" t="n"/>
      <c r="AP45" s="10">
        <f>AN45*AO45</f>
        <v/>
      </c>
      <c r="AR45" s="14">
        <f>AR44+1</f>
        <v/>
      </c>
      <c r="AS45" s="492" t="n"/>
      <c r="AT45" s="30" t="n"/>
      <c r="AU45" s="9">
        <f>IFERROR(VLOOKUP(AS45,'Master List'!$A:$D,2,0),0)</f>
        <v/>
      </c>
      <c r="AV45" s="9">
        <f>IFERROR(VLOOKUP(AS45,'Master List'!$A:$D,3,0),0)</f>
        <v/>
      </c>
      <c r="AW45" s="9">
        <f>IFERROR(VLOOKUP(AS45,'Master List'!$A:$D,4,0),0)</f>
        <v/>
      </c>
      <c r="AX45" s="32" t="n"/>
      <c r="AY45" s="7">
        <f>IFERROR(AV45/AW45,0)</f>
        <v/>
      </c>
      <c r="AZ45" s="8">
        <f>IFERROR(IF(AX45&lt;((1/2*AW45*AY45^2)*2),1/2*AW45*SQRT((AX45/2)*2/AW45)^2,1/2*AW45*AY45^2),0)</f>
        <v/>
      </c>
      <c r="BA45" s="9">
        <f>IFERROR(IF(AX45-AZ45-BB45&lt;=0,0,AX45-AZ45-BB45),0)</f>
        <v/>
      </c>
      <c r="BB45" s="10">
        <f>AZ45</f>
        <v/>
      </c>
      <c r="BC45" s="8">
        <f>IFERROR(IF(AX45&lt;((1/2*AW45*AY45^2)*2),SQRT((AX45/2)*2/AW45),AY45),0)</f>
        <v/>
      </c>
      <c r="BD45" s="9">
        <f>IFERROR(BA45/AV45,0)</f>
        <v/>
      </c>
      <c r="BE45" s="10">
        <f>BC45</f>
        <v/>
      </c>
      <c r="BF45" s="8">
        <f>IF(AU45&gt;0,AU45,SUM(BC45:BE45))</f>
        <v/>
      </c>
      <c r="BG45" s="32" t="n"/>
      <c r="BH45" s="10">
        <f>BF45*BG45</f>
        <v/>
      </c>
      <c r="BJ45" s="14">
        <f>BJ44+1</f>
        <v/>
      </c>
      <c r="BK45" s="492" t="n"/>
      <c r="BL45" s="30" t="n"/>
      <c r="BM45" s="9">
        <f>IFERROR(VLOOKUP(BK45,'Master List'!$A:$D,2,0),0)</f>
        <v/>
      </c>
      <c r="BN45" s="9">
        <f>IFERROR(VLOOKUP(BK45,'Master List'!$A:$D,3,0),0)</f>
        <v/>
      </c>
      <c r="BO45" s="9">
        <f>IFERROR(VLOOKUP(BK45,'Master List'!$A:$D,4,0),0)</f>
        <v/>
      </c>
      <c r="BP45" s="32" t="n"/>
      <c r="BQ45" s="7">
        <f>IFERROR(BN45/BO45,0)</f>
        <v/>
      </c>
      <c r="BR45" s="8">
        <f>IFERROR(IF(BP45&lt;((1/2*BO45*BQ45^2)*2),1/2*BO45*SQRT((BP45/2)*2/BO45)^2,1/2*BO45*BQ45^2),0)</f>
        <v/>
      </c>
      <c r="BS45" s="9">
        <f>IFERROR(IF(BP45-BR45-BT45&lt;=0,0,BP45-BR45-BT45),0)</f>
        <v/>
      </c>
      <c r="BT45" s="10">
        <f>BR45</f>
        <v/>
      </c>
      <c r="BU45" s="8">
        <f>IFERROR(IF(BP45&lt;((1/2*BO45*BQ45^2)*2),SQRT((BP45/2)*2/BO45),BQ45),0)</f>
        <v/>
      </c>
      <c r="BV45" s="9">
        <f>IFERROR(BS45/BN45,0)</f>
        <v/>
      </c>
      <c r="BW45" s="10">
        <f>BU45</f>
        <v/>
      </c>
      <c r="BX45" s="8">
        <f>IF(BM45&gt;0,BM45,SUM(BU45:BW45))</f>
        <v/>
      </c>
      <c r="BY45" s="32" t="n"/>
      <c r="BZ45" s="10">
        <f>BX45*BY45</f>
        <v/>
      </c>
    </row>
    <row r="46">
      <c r="H46" s="14">
        <f>H45+1</f>
        <v/>
      </c>
      <c r="I46" s="492" t="n"/>
      <c r="J46" s="28" t="n"/>
      <c r="K46" s="9">
        <f>IFERROR(VLOOKUP(I46,'Master List'!$A:$D,2,0),0)</f>
        <v/>
      </c>
      <c r="L46" s="9">
        <f>IFERROR(VLOOKUP(I46,'Master List'!$A:$D,3,0),0)</f>
        <v/>
      </c>
      <c r="M46" s="9">
        <f>IFERROR(VLOOKUP(I46,'Master List'!$A:$D,4,0),0)</f>
        <v/>
      </c>
      <c r="N46" s="32" t="n"/>
      <c r="O46" s="7">
        <f>IFERROR(L46/M46,0)</f>
        <v/>
      </c>
      <c r="P46" s="8">
        <f>IFERROR(IF(N46&lt;((1/2*M46*O46^2)*2),1/2*M46*SQRT((N46/2)*2/M46)^2,1/2*M46*O46^2),0)</f>
        <v/>
      </c>
      <c r="Q46" s="9">
        <f>IFERROR(IF(N46-P46-R46&lt;=0,0,N46-P46-R46),0)</f>
        <v/>
      </c>
      <c r="R46" s="10">
        <f>P46</f>
        <v/>
      </c>
      <c r="S46" s="8">
        <f>IFERROR(IF(N46&lt;((1/2*M46*O46^2)*2),SQRT((N46/2)*2/M46),O46),0)</f>
        <v/>
      </c>
      <c r="T46" s="9">
        <f>IFERROR(Q46/L46,0)</f>
        <v/>
      </c>
      <c r="U46" s="10">
        <f>S46</f>
        <v/>
      </c>
      <c r="V46" s="8">
        <f>IF(K46&gt;0,K46,SUM(S46:U46))</f>
        <v/>
      </c>
      <c r="W46" s="32" t="n"/>
      <c r="X46" s="10">
        <f>V46*W46</f>
        <v/>
      </c>
      <c r="Z46" s="14">
        <f>Z45+1</f>
        <v/>
      </c>
      <c r="AA46" s="492" t="n"/>
      <c r="AB46" s="30" t="n"/>
      <c r="AC46" s="9">
        <f>IFERROR(VLOOKUP(AA46,'Master List'!$A:$D,2,0),0)</f>
        <v/>
      </c>
      <c r="AD46" s="9">
        <f>IFERROR(VLOOKUP(AA46,'Master List'!$A:$D,3,0),0)</f>
        <v/>
      </c>
      <c r="AE46" s="9">
        <f>IFERROR(VLOOKUP(AA46,'Master List'!$A:$D,4,0),0)</f>
        <v/>
      </c>
      <c r="AF46" s="32" t="n"/>
      <c r="AG46" s="7">
        <f>IFERROR(AD46/AE46,0)</f>
        <v/>
      </c>
      <c r="AH46" s="8">
        <f>IFERROR(IF(AF46&lt;((1/2*AE46*AG46^2)*2),1/2*AE46*SQRT((AF46/2)*2/AE46)^2,1/2*AE46*AG46^2),0)</f>
        <v/>
      </c>
      <c r="AI46" s="9">
        <f>IFERROR(IF(AF46-AH46-AJ46&lt;=0,0,AF46-AH46-AJ46),0)</f>
        <v/>
      </c>
      <c r="AJ46" s="10">
        <f>AH46</f>
        <v/>
      </c>
      <c r="AK46" s="8">
        <f>IFERROR(IF(AF46&lt;((1/2*AE46*AG46^2)*2),SQRT((AF46/2)*2/AE46),AG46),0)</f>
        <v/>
      </c>
      <c r="AL46" s="9">
        <f>IFERROR(AI46/AD46,0)</f>
        <v/>
      </c>
      <c r="AM46" s="10">
        <f>AK46</f>
        <v/>
      </c>
      <c r="AN46" s="8">
        <f>IF(AC46&gt;0,AC46,SUM(AK46:AM46))</f>
        <v/>
      </c>
      <c r="AO46" s="32" t="n"/>
      <c r="AP46" s="10">
        <f>AN46*AO46</f>
        <v/>
      </c>
      <c r="AR46" s="14">
        <f>AR45+1</f>
        <v/>
      </c>
      <c r="AS46" s="492" t="n"/>
      <c r="AT46" s="30" t="n"/>
      <c r="AU46" s="9">
        <f>IFERROR(VLOOKUP(AS46,'Master List'!$A:$D,2,0),0)</f>
        <v/>
      </c>
      <c r="AV46" s="9">
        <f>IFERROR(VLOOKUP(AS46,'Master List'!$A:$D,3,0),0)</f>
        <v/>
      </c>
      <c r="AW46" s="9">
        <f>IFERROR(VLOOKUP(AS46,'Master List'!$A:$D,4,0),0)</f>
        <v/>
      </c>
      <c r="AX46" s="32" t="n"/>
      <c r="AY46" s="7">
        <f>IFERROR(AV46/AW46,0)</f>
        <v/>
      </c>
      <c r="AZ46" s="8">
        <f>IFERROR(IF(AX46&lt;((1/2*AW46*AY46^2)*2),1/2*AW46*SQRT((AX46/2)*2/AW46)^2,1/2*AW46*AY46^2),0)</f>
        <v/>
      </c>
      <c r="BA46" s="9">
        <f>IFERROR(IF(AX46-AZ46-BB46&lt;=0,0,AX46-AZ46-BB46),0)</f>
        <v/>
      </c>
      <c r="BB46" s="10">
        <f>AZ46</f>
        <v/>
      </c>
      <c r="BC46" s="8">
        <f>IFERROR(IF(AX46&lt;((1/2*AW46*AY46^2)*2),SQRT((AX46/2)*2/AW46),AY46),0)</f>
        <v/>
      </c>
      <c r="BD46" s="9">
        <f>IFERROR(BA46/AV46,0)</f>
        <v/>
      </c>
      <c r="BE46" s="10">
        <f>BC46</f>
        <v/>
      </c>
      <c r="BF46" s="8">
        <f>IF(AU46&gt;0,AU46,SUM(BC46:BE46))</f>
        <v/>
      </c>
      <c r="BG46" s="32" t="n"/>
      <c r="BH46" s="10">
        <f>BF46*BG46</f>
        <v/>
      </c>
      <c r="BJ46" s="14">
        <f>BJ45+1</f>
        <v/>
      </c>
      <c r="BK46" s="492" t="n"/>
      <c r="BL46" s="30" t="n"/>
      <c r="BM46" s="9">
        <f>IFERROR(VLOOKUP(BK46,'Master List'!$A:$D,2,0),0)</f>
        <v/>
      </c>
      <c r="BN46" s="9">
        <f>IFERROR(VLOOKUP(BK46,'Master List'!$A:$D,3,0),0)</f>
        <v/>
      </c>
      <c r="BO46" s="9">
        <f>IFERROR(VLOOKUP(BK46,'Master List'!$A:$D,4,0),0)</f>
        <v/>
      </c>
      <c r="BP46" s="32" t="n"/>
      <c r="BQ46" s="7">
        <f>IFERROR(BN46/BO46,0)</f>
        <v/>
      </c>
      <c r="BR46" s="8">
        <f>IFERROR(IF(BP46&lt;((1/2*BO46*BQ46^2)*2),1/2*BO46*SQRT((BP46/2)*2/BO46)^2,1/2*BO46*BQ46^2),0)</f>
        <v/>
      </c>
      <c r="BS46" s="9">
        <f>IFERROR(IF(BP46-BR46-BT46&lt;=0,0,BP46-BR46-BT46),0)</f>
        <v/>
      </c>
      <c r="BT46" s="10">
        <f>BR46</f>
        <v/>
      </c>
      <c r="BU46" s="8">
        <f>IFERROR(IF(BP46&lt;((1/2*BO46*BQ46^2)*2),SQRT((BP46/2)*2/BO46),BQ46),0)</f>
        <v/>
      </c>
      <c r="BV46" s="9">
        <f>IFERROR(BS46/BN46,0)</f>
        <v/>
      </c>
      <c r="BW46" s="10">
        <f>BU46</f>
        <v/>
      </c>
      <c r="BX46" s="8">
        <f>IF(BM46&gt;0,BM46,SUM(BU46:BW46))</f>
        <v/>
      </c>
      <c r="BY46" s="32" t="n"/>
      <c r="BZ46" s="10">
        <f>BX46*BY46</f>
        <v/>
      </c>
    </row>
    <row r="47">
      <c r="H47" s="15" t="n"/>
      <c r="Z47" s="14" t="n"/>
      <c r="BP47" s="32" t="n"/>
    </row>
    <row r="62">
      <c r="H62" s="31" t="n"/>
    </row>
  </sheetData>
  <mergeCells count="24">
    <mergeCell ref="AR3:BH3"/>
    <mergeCell ref="AA6:AO6"/>
    <mergeCell ref="AR4:AR8"/>
    <mergeCell ref="I7:W7"/>
    <mergeCell ref="AA5:AO5"/>
    <mergeCell ref="AS6:BG6"/>
    <mergeCell ref="Z4:Z8"/>
    <mergeCell ref="AA4:AO4"/>
    <mergeCell ref="BK4:BY4"/>
    <mergeCell ref="AA7:AO7"/>
    <mergeCell ref="AS7:BG7"/>
    <mergeCell ref="I5:W5"/>
    <mergeCell ref="BK5:BY5"/>
    <mergeCell ref="I4:W4"/>
    <mergeCell ref="H4:H8"/>
    <mergeCell ref="Z3:AP3"/>
    <mergeCell ref="BJ4:BJ8"/>
    <mergeCell ref="BK7:BY7"/>
    <mergeCell ref="AS5:BG5"/>
    <mergeCell ref="I6:W6"/>
    <mergeCell ref="H3:X3"/>
    <mergeCell ref="BK6:BY6"/>
    <mergeCell ref="BJ3:BZ3"/>
    <mergeCell ref="AS4:BG4"/>
  </mergeCells>
  <conditionalFormatting sqref="B7:B9">
    <cfRule type="cellIs" priority="2" operator="lessThan" dxfId="1">
      <formula>#REF!</formula>
    </cfRule>
  </conditionalFormatting>
  <conditionalFormatting sqref="E25">
    <cfRule type="cellIs" priority="1" operator="notEqual" dxfId="0">
      <formula>1</formula>
    </cfRule>
  </conditionalFormatting>
  <dataValidations count="1">
    <dataValidation sqref="B27 B29" showDropDown="0" showInputMessage="1" showErrorMessage="1" allowBlank="1" type="list">
      <formula1>$CD$10:$CD$11</formula1>
    </dataValidation>
  </dataValidations>
  <pageMargins left="0.7" right="0.7" top="0.75" bottom="0.75" header="0.3" footer="0.3"/>
  <pageSetup orientation="portrait"/>
  <drawing r:id="rId1"/>
</worksheet>
</file>

<file path=xl/worksheets/sheet32.xml><?xml version="1.0" encoding="utf-8"?>
<worksheet xmlns="http://schemas.openxmlformats.org/spreadsheetml/2006/main">
  <sheetPr codeName="Sheet110">
    <outlinePr summaryBelow="1" summaryRight="1"/>
    <pageSetUpPr/>
  </sheetPr>
  <dimension ref="A1:G222"/>
  <sheetViews>
    <sheetView showGridLines="0" zoomScale="115" zoomScaleNormal="115" workbookViewId="0">
      <pane xSplit="1" ySplit="3" topLeftCell="B34" activePane="bottomRight" state="frozen"/>
      <selection pane="topRight" activeCell="G14" sqref="G14"/>
      <selection pane="bottomLeft" activeCell="G14" sqref="G14"/>
      <selection pane="bottomRight" activeCell="H47" sqref="H47"/>
    </sheetView>
  </sheetViews>
  <sheetFormatPr baseColWidth="10" defaultColWidth="8.83203125" defaultRowHeight="15"/>
  <cols>
    <col width="69.33203125" customWidth="1" style="582" min="1" max="1"/>
    <col width="8.83203125" customWidth="1" style="582" min="2" max="2"/>
    <col width="12.33203125" customWidth="1" style="582" min="3" max="3"/>
    <col width="19.6640625" customWidth="1" style="583" min="4" max="4"/>
    <col width="8.83203125" customWidth="1" style="582" min="5" max="5"/>
    <col width="19.1640625" customWidth="1" style="582" min="6" max="6"/>
    <col width="4.5" customWidth="1" style="582" min="7" max="7"/>
    <col width="8.83203125" customWidth="1" style="582" min="8" max="8"/>
    <col width="8.83203125" customWidth="1" style="69" min="9" max="9"/>
    <col width="8.83203125" customWidth="1" style="69" min="10" max="16384"/>
  </cols>
  <sheetData>
    <row r="1" ht="30" customHeight="1" s="516">
      <c r="A1" s="67" t="inlineStr">
        <is>
          <t>Activity Master List</t>
        </is>
      </c>
      <c r="B1" s="581" t="inlineStr">
        <is>
          <t xml:space="preserve">Not to Edit </t>
        </is>
      </c>
      <c r="F1" s="139" t="inlineStr">
        <is>
          <t>Equipment utilization</t>
        </is>
      </c>
      <c r="G1" s="140" t="n">
        <v>0.8</v>
      </c>
    </row>
    <row r="2">
      <c r="A2" s="70" t="n"/>
      <c r="B2" s="71" t="n"/>
      <c r="C2" s="71" t="n"/>
      <c r="D2" s="71" t="n"/>
      <c r="F2" s="582" t="inlineStr">
        <is>
          <t>File R24</t>
        </is>
      </c>
    </row>
    <row r="3">
      <c r="A3" s="72" t="inlineStr">
        <is>
          <t>Activity Type</t>
        </is>
      </c>
      <c r="B3" s="73" t="inlineStr">
        <is>
          <t>Time (s)</t>
        </is>
      </c>
      <c r="C3" s="73" t="inlineStr">
        <is>
          <t>Speed (m/s)</t>
        </is>
      </c>
      <c r="D3" s="73" t="inlineStr">
        <is>
          <t>Acceleration (m/s^2)</t>
        </is>
      </c>
    </row>
    <row r="4">
      <c r="A4" s="70" t="inlineStr">
        <is>
          <t>Walking Speed</t>
        </is>
      </c>
      <c r="B4" s="74" t="n"/>
      <c r="C4" s="74">
        <f>3*1000/3600</f>
        <v/>
      </c>
      <c r="D4" s="74" t="n"/>
    </row>
    <row r="5">
      <c r="A5" s="70" t="inlineStr">
        <is>
          <t>Walking Turning Speed</t>
        </is>
      </c>
      <c r="B5" s="74" t="n"/>
      <c r="C5" s="74">
        <f>C4/2</f>
        <v/>
      </c>
      <c r="D5" s="74" t="n"/>
    </row>
    <row r="6">
      <c r="A6" s="70" t="inlineStr">
        <is>
          <t>HMI Screen</t>
        </is>
      </c>
      <c r="B6" s="74" t="n">
        <v>3</v>
      </c>
      <c r="C6" s="74" t="n"/>
      <c r="D6" s="74" t="n"/>
    </row>
    <row r="7">
      <c r="A7" s="70" t="inlineStr">
        <is>
          <t>Waiting</t>
        </is>
      </c>
      <c r="B7" s="74" t="n">
        <v>2</v>
      </c>
      <c r="C7" s="74" t="n"/>
      <c r="D7" s="74" t="n"/>
    </row>
    <row r="8">
      <c r="A8" s="70" t="inlineStr">
        <is>
          <t>Verification</t>
        </is>
      </c>
      <c r="B8" s="74" t="n">
        <v>6</v>
      </c>
      <c r="C8" s="74" t="n"/>
      <c r="D8" s="74" t="n"/>
    </row>
    <row r="9">
      <c r="A9" s="70" t="inlineStr">
        <is>
          <t>On Spot - 90 Deg Turn</t>
        </is>
      </c>
      <c r="B9" s="74" t="n">
        <v>2</v>
      </c>
      <c r="C9" s="74" t="n"/>
      <c r="D9" s="74" t="n"/>
    </row>
    <row r="10">
      <c r="A10" s="70" t="inlineStr">
        <is>
          <t>Scanning</t>
        </is>
      </c>
      <c r="B10" s="74" t="n">
        <v>3.96</v>
      </c>
      <c r="C10" s="74" t="n"/>
      <c r="D10" s="74" t="n"/>
    </row>
    <row r="11">
      <c r="A11" s="70" t="inlineStr">
        <is>
          <t>Bending down</t>
        </is>
      </c>
      <c r="B11" s="74" t="n">
        <v>2.16</v>
      </c>
      <c r="C11" s="74" t="n"/>
      <c r="D11" s="74" t="n"/>
    </row>
    <row r="12">
      <c r="A12" s="70" t="inlineStr">
        <is>
          <t>Pick and put units in pouch</t>
        </is>
      </c>
      <c r="B12" s="74" t="n">
        <v>3.6</v>
      </c>
      <c r="C12" s="74" t="n"/>
      <c r="D12" s="74" t="n"/>
    </row>
    <row r="13">
      <c r="A13" s="70" t="inlineStr">
        <is>
          <t>PTL Confirmation</t>
        </is>
      </c>
      <c r="B13" s="74" t="n">
        <v>1.8</v>
      </c>
      <c r="C13" s="74" t="n"/>
      <c r="D13" s="74" t="n"/>
    </row>
    <row r="14">
      <c r="A14" s="70" t="inlineStr">
        <is>
          <t>Manual: Carton Opening/ Taping(600x400x400)</t>
        </is>
      </c>
      <c r="B14" s="74" t="n">
        <v>10.8</v>
      </c>
      <c r="C14" s="74" t="n"/>
      <c r="D14" s="74" t="n"/>
    </row>
    <row r="15">
      <c r="A15" s="70" t="inlineStr">
        <is>
          <t>Apply label</t>
        </is>
      </c>
      <c r="B15" s="74" t="n">
        <v>2.88</v>
      </c>
      <c r="C15" s="74" t="n"/>
      <c r="D15" s="74" t="n"/>
    </row>
    <row r="16">
      <c r="A16" s="70" t="inlineStr">
        <is>
          <t>Enter Qty in RF</t>
        </is>
      </c>
      <c r="B16" s="74" t="n">
        <v>1.08</v>
      </c>
      <c r="C16" s="74" t="n"/>
      <c r="D16" s="74" t="n"/>
    </row>
    <row r="17">
      <c r="A17" s="70" t="inlineStr">
        <is>
          <t>Count cases on pallet - per pallet 5 layers</t>
        </is>
      </c>
      <c r="B17" s="74" t="n">
        <v>14.04</v>
      </c>
      <c r="C17" s="74" t="n"/>
      <c r="D17" s="74" t="n"/>
    </row>
    <row r="18">
      <c r="A18" s="70" t="inlineStr">
        <is>
          <t>Seal the pouch</t>
        </is>
      </c>
      <c r="B18" s="74" t="n">
        <v>3.6</v>
      </c>
      <c r="C18" s="74" t="n"/>
      <c r="D18" s="74" t="n"/>
    </row>
    <row r="19">
      <c r="A19" s="70" t="inlineStr">
        <is>
          <t>Crease the paper</t>
        </is>
      </c>
      <c r="B19" s="74" t="n">
        <v>5.76</v>
      </c>
      <c r="C19" s="74" t="n"/>
      <c r="D19" s="74" t="n"/>
    </row>
    <row r="20">
      <c r="A20" s="70" t="inlineStr">
        <is>
          <t>Pallet stretch wrap removal</t>
        </is>
      </c>
      <c r="B20" s="74" t="n">
        <v>15</v>
      </c>
      <c r="C20" s="74" t="n"/>
      <c r="D20" s="74" t="n"/>
    </row>
    <row r="21">
      <c r="A21" s="70" t="inlineStr">
        <is>
          <t>Carton erecting includes bottom sealing (600x400x400)</t>
        </is>
      </c>
      <c r="B21" s="74" t="n">
        <v>25</v>
      </c>
      <c r="C21" s="74" t="n"/>
      <c r="D21" s="74" t="n"/>
    </row>
    <row r="22">
      <c r="A22" s="70" t="inlineStr">
        <is>
          <t>Carton erecting small includes bottom sealing</t>
        </is>
      </c>
      <c r="B22" s="74" t="n">
        <v>18</v>
      </c>
      <c r="C22" s="74" t="n"/>
      <c r="D22" s="74" t="n"/>
    </row>
    <row r="23">
      <c r="A23" s="70" t="inlineStr">
        <is>
          <t>Drag or push tote/ carton on conveyor</t>
        </is>
      </c>
      <c r="B23" s="74" t="n">
        <v>4.319999999999999</v>
      </c>
      <c r="C23" s="74" t="n"/>
      <c r="D23" s="74" t="n"/>
    </row>
    <row r="24">
      <c r="A24" s="70" t="inlineStr">
        <is>
          <t>Visual inspection Per pallet</t>
        </is>
      </c>
      <c r="B24" s="74" t="n">
        <v>14.76</v>
      </c>
      <c r="C24" s="74" t="n"/>
      <c r="D24" s="74" t="n"/>
    </row>
    <row r="25">
      <c r="A25" s="70" t="inlineStr">
        <is>
          <t>Visual inspection Per case</t>
        </is>
      </c>
      <c r="B25" s="74" t="n">
        <v>3.24</v>
      </c>
      <c r="C25" s="74" t="n"/>
      <c r="D25" s="74" t="n"/>
    </row>
    <row r="26">
      <c r="A26" s="70" t="inlineStr">
        <is>
          <t>Profile correction per pallet - 4 cases to be adjusted</t>
        </is>
      </c>
      <c r="B26" s="74" t="n">
        <v>25.92</v>
      </c>
      <c r="C26" s="74" t="n"/>
      <c r="D26" s="74" t="n"/>
    </row>
    <row r="27">
      <c r="A27" s="70" t="inlineStr">
        <is>
          <t>Fill dunnage in case</t>
        </is>
      </c>
      <c r="B27" s="74" t="n">
        <v>5.76</v>
      </c>
      <c r="C27" s="74" t="n"/>
      <c r="D27" s="74" t="n"/>
    </row>
    <row r="28">
      <c r="A28" s="70" t="inlineStr">
        <is>
          <t>Enter digits in touch screen (up to 11 digits)</t>
        </is>
      </c>
      <c r="B28" s="74" t="n">
        <v>3.6</v>
      </c>
      <c r="C28" s="74" t="n"/>
      <c r="D28" s="74" t="n"/>
    </row>
    <row r="29">
      <c r="A29" s="70" t="inlineStr">
        <is>
          <t>Staple manually</t>
        </is>
      </c>
      <c r="B29" s="74" t="n">
        <v>5.04</v>
      </c>
      <c r="C29" s="74" t="n"/>
      <c r="D29" s="74" t="n"/>
    </row>
    <row r="30">
      <c r="A30" s="70" t="inlineStr">
        <is>
          <t>Palletize cases - per case - 2 to 3 steps included</t>
        </is>
      </c>
      <c r="B30" s="74" t="n">
        <v>4.68</v>
      </c>
      <c r="C30" s="74" t="n"/>
      <c r="D30" s="74" t="n"/>
    </row>
    <row r="31">
      <c r="A31" s="70" t="inlineStr">
        <is>
          <t>Open roll cage door</t>
        </is>
      </c>
      <c r="B31" s="74" t="n">
        <v>6.119999999999999</v>
      </c>
      <c r="C31" s="74" t="n"/>
      <c r="D31" s="74" t="n"/>
    </row>
    <row r="32">
      <c r="A32" s="70" t="inlineStr">
        <is>
          <t>Unit pick: Pick and place Unit within reach - Waist level</t>
        </is>
      </c>
      <c r="B32" s="74" t="n">
        <v>2.52</v>
      </c>
      <c r="C32" s="74" t="n"/>
      <c r="D32" s="74" t="n"/>
    </row>
    <row r="33">
      <c r="A33" s="70" t="inlineStr">
        <is>
          <t>Unit pick: Pick and place Unit within reach - Shoulder or knee level</t>
        </is>
      </c>
      <c r="B33" s="74" t="n">
        <v>4.68</v>
      </c>
      <c r="C33" s="74" t="n"/>
      <c r="D33" s="74" t="n"/>
    </row>
    <row r="34">
      <c r="A34" s="70" t="inlineStr">
        <is>
          <t>Unit pick: Pick and place Unit - 2 to 3 steps - Waist level</t>
        </is>
      </c>
      <c r="B34" s="74" t="n">
        <v>4.319999999999999</v>
      </c>
      <c r="C34" s="74" t="n"/>
      <c r="D34" s="74" t="n"/>
    </row>
    <row r="35">
      <c r="A35" s="70" t="inlineStr">
        <is>
          <t>Unit pick: Pick and place Unit - 2 to 3 steps - Shoulder or knee level</t>
        </is>
      </c>
      <c r="B35" s="74" t="n">
        <v>6.119999999999999</v>
      </c>
      <c r="C35" s="74" t="n"/>
      <c r="D35" s="74" t="n"/>
    </row>
    <row r="36">
      <c r="A36" s="70" t="inlineStr">
        <is>
          <t>Unit pick with both hand: Pick and place Unit within reach - Waist level</t>
        </is>
      </c>
      <c r="B36" s="74" t="n">
        <v>1.8</v>
      </c>
      <c r="C36" s="74" t="n"/>
      <c r="D36" s="74" t="n"/>
    </row>
    <row r="37">
      <c r="A37" s="70" t="inlineStr">
        <is>
          <t>Unit pick with both hand: Pick and place Unit within reach - Shoulder or Knee level</t>
        </is>
      </c>
      <c r="B37" s="74" t="n">
        <v>3.96</v>
      </c>
      <c r="C37" s="74" t="n"/>
      <c r="D37" s="74" t="n"/>
    </row>
    <row r="38">
      <c r="A38" s="70" t="inlineStr">
        <is>
          <t>Unit pick with both hand: Pick and place Unit - 2 to 3 steps - Waist level</t>
        </is>
      </c>
      <c r="B38" s="74" t="n">
        <v>3.6</v>
      </c>
      <c r="C38" s="74" t="n"/>
      <c r="D38" s="74" t="n"/>
    </row>
    <row r="39">
      <c r="A39" s="70" t="inlineStr">
        <is>
          <t>Unit pick with both hand: Pick and place Unit - 2 to 3 steps - Shoulder or knee level</t>
        </is>
      </c>
      <c r="B39" s="74" t="n">
        <v>5.399999999999999</v>
      </c>
      <c r="C39" s="74" t="n"/>
      <c r="D39" s="74" t="n"/>
    </row>
    <row r="40">
      <c r="A40" s="70" t="inlineStr">
        <is>
          <t>Pick and place Cases within reach - Waist level</t>
        </is>
      </c>
      <c r="B40" s="74" t="n">
        <v>3.24</v>
      </c>
      <c r="C40" s="74" t="n"/>
      <c r="D40" s="74" t="n"/>
    </row>
    <row r="41">
      <c r="A41" s="70" t="inlineStr">
        <is>
          <t>Pick and place Cases within reach - Shoulder or knee level</t>
        </is>
      </c>
      <c r="B41" s="74" t="n">
        <v>5.399999999999999</v>
      </c>
      <c r="C41" s="74" t="n"/>
      <c r="D41" s="74" t="n"/>
    </row>
    <row r="42">
      <c r="A42" s="70" t="inlineStr">
        <is>
          <t>Pick and place Cases - 2 to 3 steps - Waist level</t>
        </is>
      </c>
      <c r="B42" s="74" t="n">
        <v>5.04</v>
      </c>
      <c r="C42" s="74" t="n"/>
      <c r="D42" s="74" t="n"/>
    </row>
    <row r="43">
      <c r="A43" s="70" t="inlineStr">
        <is>
          <t>Pick and place Cases - 2 to 3 steps - Shoulder or knee level</t>
        </is>
      </c>
      <c r="B43" s="74" t="n">
        <v>6.84</v>
      </c>
      <c r="C43" s="74" t="n"/>
      <c r="D43" s="74" t="n"/>
    </row>
    <row r="44">
      <c r="A44" s="70" t="inlineStr">
        <is>
          <t>Quadron Running</t>
        </is>
      </c>
      <c r="B44" s="74" t="n"/>
      <c r="C44" s="74" t="n">
        <v>3</v>
      </c>
      <c r="D44" s="74" t="n">
        <v>1</v>
      </c>
    </row>
    <row r="45">
      <c r="A45" s="70" t="inlineStr">
        <is>
          <t>Quadron Forking Single Deep</t>
        </is>
      </c>
      <c r="B45" s="74" t="n">
        <v>6.8</v>
      </c>
      <c r="C45" s="74" t="n"/>
      <c r="D45" s="74" t="n"/>
    </row>
    <row r="46">
      <c r="A46" s="70" t="inlineStr">
        <is>
          <t>Quadron Forking Double Deep</t>
        </is>
      </c>
      <c r="B46" s="74" t="n">
        <v>8.800000000000001</v>
      </c>
      <c r="C46" s="74" t="n"/>
      <c r="D46" s="74" t="n"/>
    </row>
    <row r="47">
      <c r="A47" s="70" t="inlineStr">
        <is>
          <t>Multipro Running Loaded/Unloaded</t>
        </is>
      </c>
      <c r="B47" s="74" t="n"/>
      <c r="C47" s="74" t="n">
        <v>3</v>
      </c>
      <c r="D47" s="74" t="n">
        <v>0.5</v>
      </c>
    </row>
    <row r="48">
      <c r="A48" s="70" t="inlineStr">
        <is>
          <t>Cruiser Running Unloaded</t>
        </is>
      </c>
      <c r="B48" s="74" t="n"/>
      <c r="C48" s="74" t="n">
        <v>1</v>
      </c>
      <c r="D48" s="74" t="n">
        <v>0.5</v>
      </c>
    </row>
    <row r="49">
      <c r="A49" s="70" t="inlineStr">
        <is>
          <t>Cruiser Running loaded</t>
        </is>
      </c>
      <c r="B49" s="74" t="n"/>
      <c r="C49" s="74" t="n">
        <v>0.8</v>
      </c>
      <c r="D49" s="74" t="n">
        <v>0.5</v>
      </c>
    </row>
    <row r="50">
      <c r="A50" s="70" t="inlineStr">
        <is>
          <t>Carton Lift (Addverb) Vertical Movement</t>
        </is>
      </c>
      <c r="B50" s="74" t="n"/>
      <c r="C50" s="74" t="n">
        <v>4</v>
      </c>
      <c r="D50" s="74" t="n">
        <v>3</v>
      </c>
    </row>
    <row r="51">
      <c r="A51" s="70" t="inlineStr">
        <is>
          <t>Carton Lift transfer time</t>
        </is>
      </c>
      <c r="B51" s="74" t="n">
        <v>3.7</v>
      </c>
      <c r="C51" s="74" t="n"/>
      <c r="D51" s="74" t="n"/>
    </row>
    <row r="52">
      <c r="A52" s="70" t="inlineStr">
        <is>
          <t>Pallet Chain Conveyor</t>
        </is>
      </c>
      <c r="B52" s="74" t="n"/>
      <c r="C52" s="74" t="n">
        <v>0.3</v>
      </c>
      <c r="D52" s="74" t="n">
        <v>0.15</v>
      </c>
    </row>
    <row r="53">
      <c r="A53" s="70" t="inlineStr">
        <is>
          <t>Pallet Roller Conveyor</t>
        </is>
      </c>
      <c r="B53" s="74" t="n"/>
      <c r="C53" s="74" t="n">
        <v>0.3</v>
      </c>
      <c r="D53" s="74" t="n">
        <v>0.15</v>
      </c>
    </row>
    <row r="54">
      <c r="A54" s="70" t="inlineStr">
        <is>
          <t>Pallet Crosstransfer</t>
        </is>
      </c>
      <c r="B54" s="74" t="n">
        <v>28</v>
      </c>
      <c r="C54" s="74" t="n"/>
      <c r="D54" s="74" t="n"/>
    </row>
    <row r="55">
      <c r="A55" s="70" t="inlineStr">
        <is>
          <t>Pallet Turn-table</t>
        </is>
      </c>
      <c r="B55" s="74" t="n">
        <v>47</v>
      </c>
      <c r="C55" s="74" t="n"/>
      <c r="D55" s="74" t="n"/>
    </row>
    <row r="56">
      <c r="A56" s="70" t="inlineStr">
        <is>
          <t>Veloce Vertical Movement</t>
        </is>
      </c>
      <c r="B56" s="74" t="n"/>
      <c r="C56" s="74" t="n">
        <v>0.5</v>
      </c>
      <c r="D56" s="74" t="n">
        <v>0.3</v>
      </c>
    </row>
    <row r="57">
      <c r="A57" s="70" t="inlineStr">
        <is>
          <t>Veloce Horizontal Running Loaded</t>
        </is>
      </c>
      <c r="B57" s="74" t="n"/>
      <c r="C57" s="74" t="n">
        <v>1</v>
      </c>
      <c r="D57" s="74" t="n">
        <v>1</v>
      </c>
    </row>
    <row r="58">
      <c r="A58" s="70" t="inlineStr">
        <is>
          <t>Veloce Horizontal Running Unloaded</t>
        </is>
      </c>
      <c r="B58" s="74" t="n"/>
      <c r="C58" s="74" t="n">
        <v>1.5</v>
      </c>
      <c r="D58" s="74" t="n">
        <v>1</v>
      </c>
    </row>
    <row r="59">
      <c r="A59" s="70" t="inlineStr">
        <is>
          <t>Veloce 90 degree Turn</t>
        </is>
      </c>
      <c r="B59" s="74" t="n">
        <v>3</v>
      </c>
      <c r="C59" s="74" t="n"/>
      <c r="D59" s="74" t="n"/>
    </row>
    <row r="60">
      <c r="A60" s="70" t="inlineStr">
        <is>
          <t>Veloce Craddle Rotation</t>
        </is>
      </c>
      <c r="B60" s="74" t="n">
        <v>1</v>
      </c>
      <c r="C60" s="74" t="n"/>
      <c r="D60" s="74" t="n"/>
    </row>
    <row r="61">
      <c r="A61" s="70" t="inlineStr">
        <is>
          <t>Veloce Fork Movement</t>
        </is>
      </c>
      <c r="B61" s="74" t="n">
        <v>8</v>
      </c>
      <c r="C61" s="74" t="n"/>
      <c r="D61" s="74" t="n"/>
    </row>
    <row r="62">
      <c r="A62" s="70" t="inlineStr">
        <is>
          <t>Zippy 6 Running</t>
        </is>
      </c>
      <c r="B62" s="74" t="n"/>
      <c r="C62" s="74" t="n">
        <v>1.5</v>
      </c>
      <c r="D62" s="74" t="n">
        <v>1</v>
      </c>
    </row>
    <row r="63">
      <c r="A63" s="70" t="inlineStr">
        <is>
          <t>Zippy 6 Tilting</t>
        </is>
      </c>
      <c r="B63" s="74" t="n">
        <v>2.5</v>
      </c>
      <c r="C63" s="74" t="n"/>
      <c r="D63" s="74" t="n"/>
    </row>
    <row r="64">
      <c r="A64" s="70" t="inlineStr">
        <is>
          <t>Zippy 6 90 degree Turn</t>
        </is>
      </c>
      <c r="B64" s="74" t="n">
        <v>0.9</v>
      </c>
      <c r="C64" s="74" t="n"/>
      <c r="D64" s="74" t="n"/>
    </row>
    <row r="65">
      <c r="A65" s="70" t="inlineStr">
        <is>
          <t>Zippy 10 Running</t>
        </is>
      </c>
      <c r="B65" s="74" t="n"/>
      <c r="C65" s="74" t="n">
        <v>1.5</v>
      </c>
      <c r="D65" s="74" t="n">
        <v>1</v>
      </c>
    </row>
    <row r="66">
      <c r="A66" s="70" t="inlineStr">
        <is>
          <t>Zippy 10 Sorting Conveyor Running</t>
        </is>
      </c>
      <c r="B66" s="74" t="n"/>
      <c r="C66" s="74" t="n">
        <v>0.9</v>
      </c>
      <c r="D66" s="74" t="n">
        <v>1</v>
      </c>
    </row>
    <row r="67">
      <c r="A67" s="70" t="inlineStr">
        <is>
          <t>Zippy 10 90 degree Turn</t>
        </is>
      </c>
      <c r="B67" s="74" t="n">
        <v>0.9</v>
      </c>
      <c r="C67" s="74" t="n"/>
      <c r="D67" s="74" t="n"/>
    </row>
    <row r="68">
      <c r="A68" s="70" t="inlineStr">
        <is>
          <t>Zippy 30 Running</t>
        </is>
      </c>
      <c r="B68" s="74" t="n"/>
      <c r="C68" s="74" t="n">
        <v>2</v>
      </c>
      <c r="D68" s="74" t="n">
        <v>0.8</v>
      </c>
    </row>
    <row r="69">
      <c r="A69" s="257" t="inlineStr">
        <is>
          <t>Zippy 25 Sorting Conveyor Running</t>
        </is>
      </c>
      <c r="B69" s="74" t="n"/>
      <c r="C69" s="74" t="n">
        <v>0.9</v>
      </c>
      <c r="D69" s="74" t="n">
        <v>1</v>
      </c>
    </row>
    <row r="70">
      <c r="A70" s="70" t="inlineStr">
        <is>
          <t>Zippy 30 90 degree Turn</t>
        </is>
      </c>
      <c r="B70" s="74" t="n">
        <v>0.9</v>
      </c>
      <c r="C70" s="74" t="n"/>
      <c r="D70" s="74" t="n"/>
    </row>
    <row r="71">
      <c r="A71" s="70" t="inlineStr">
        <is>
          <t>Zippy 40 Running</t>
        </is>
      </c>
      <c r="B71" s="74" t="n"/>
      <c r="C71" s="74" t="n">
        <v>2</v>
      </c>
      <c r="D71" s="74" t="n">
        <v>0.8</v>
      </c>
    </row>
    <row r="72">
      <c r="A72" s="70" t="inlineStr">
        <is>
          <t>Zippy 40 Sorting Conveyor Running</t>
        </is>
      </c>
      <c r="B72" s="74" t="n"/>
      <c r="C72" s="74" t="n"/>
      <c r="D72" s="74" t="n"/>
    </row>
    <row r="73">
      <c r="A73" s="70" t="inlineStr">
        <is>
          <t>Zippy 40 90 degree Turn</t>
        </is>
      </c>
      <c r="B73" s="74" t="n">
        <v>1.2</v>
      </c>
      <c r="C73" s="74" t="n"/>
      <c r="D73" s="74" t="n"/>
    </row>
    <row r="74">
      <c r="A74" s="70" t="inlineStr">
        <is>
          <t>MLS Running</t>
        </is>
      </c>
      <c r="B74" s="74" t="n"/>
      <c r="C74" s="74" t="n">
        <v>3</v>
      </c>
      <c r="D74" s="74" t="n">
        <v>1</v>
      </c>
    </row>
    <row r="75">
      <c r="A75" s="70" t="inlineStr">
        <is>
          <t>MLS Hoist Movement</t>
        </is>
      </c>
      <c r="B75" s="74" t="n"/>
      <c r="C75" s="74" t="n">
        <v>0.5</v>
      </c>
      <c r="D75" s="74" t="n">
        <v>0.5</v>
      </c>
    </row>
    <row r="76">
      <c r="A76" s="70" t="inlineStr">
        <is>
          <t>MLS Fork Movement Single Deep</t>
        </is>
      </c>
      <c r="B76" s="74" t="n">
        <v>6.8</v>
      </c>
      <c r="C76" s="74" t="n"/>
      <c r="D76" s="74" t="n"/>
    </row>
    <row r="77">
      <c r="A77" s="70" t="inlineStr">
        <is>
          <t>MLS Fork Movement Double Deep</t>
        </is>
      </c>
      <c r="B77" s="74" t="n">
        <v>8.800000000000001</v>
      </c>
      <c r="C77" s="74" t="n"/>
      <c r="D77" s="74" t="n"/>
    </row>
    <row r="78">
      <c r="A78" s="70" t="inlineStr">
        <is>
          <t>Cruiser lift/ drop time</t>
        </is>
      </c>
      <c r="B78" s="74" t="n">
        <v>4</v>
      </c>
      <c r="C78" s="74" t="n"/>
      <c r="D78" s="74" t="n"/>
    </row>
    <row r="79">
      <c r="A79" s="70" t="inlineStr">
        <is>
          <t>Pallet lift loaded or unloaded travel 0.6 m/s</t>
        </is>
      </c>
      <c r="B79" s="74" t="n"/>
      <c r="C79" s="74" t="n">
        <v>0.6</v>
      </c>
      <c r="D79" s="74" t="n">
        <v>0.3</v>
      </c>
    </row>
    <row r="80">
      <c r="A80" s="70" t="inlineStr">
        <is>
          <t>Pallet lift positioning travel</t>
        </is>
      </c>
      <c r="B80" s="74" t="n"/>
      <c r="C80" s="74" t="n">
        <v>0.1</v>
      </c>
      <c r="D80" s="74" t="n">
        <v>0.1</v>
      </c>
    </row>
    <row r="81">
      <c r="A81" s="70" t="inlineStr">
        <is>
          <t>Pallet lift poistitioning time</t>
        </is>
      </c>
      <c r="B81" s="74" t="n">
        <v>1</v>
      </c>
      <c r="C81" s="74" t="n"/>
      <c r="D81" s="74" t="n"/>
    </row>
    <row r="82">
      <c r="A82" s="70" t="inlineStr">
        <is>
          <t>Pallet lift loaded or unloaded travel 0.3 m/s</t>
        </is>
      </c>
      <c r="B82" s="74" t="n"/>
      <c r="C82" s="74" t="n">
        <v>0.3</v>
      </c>
      <c r="D82" s="74">
        <f>C82/2</f>
        <v/>
      </c>
    </row>
    <row r="83">
      <c r="A83" s="70" t="inlineStr">
        <is>
          <t>Pallet lift loaded or unloaded travel 0.9 m/s</t>
        </is>
      </c>
      <c r="B83" s="74" t="n"/>
      <c r="C83" s="74" t="n">
        <v>0.9</v>
      </c>
      <c r="D83" s="74">
        <f>C83/2</f>
        <v/>
      </c>
    </row>
    <row r="84">
      <c r="A84" s="70" t="inlineStr">
        <is>
          <t>Sortie X direction movement</t>
        </is>
      </c>
      <c r="B84" s="74" t="n"/>
      <c r="C84" s="74" t="n">
        <v>3</v>
      </c>
      <c r="D84" s="74" t="n">
        <v>3</v>
      </c>
    </row>
    <row r="85">
      <c r="A85" s="70" t="inlineStr">
        <is>
          <t>Sortie Y direction movement</t>
        </is>
      </c>
      <c r="B85" s="74" t="n"/>
      <c r="C85" s="74" t="n">
        <v>0.8</v>
      </c>
      <c r="D85" s="74" t="n">
        <v>1.2</v>
      </c>
    </row>
    <row r="86">
      <c r="A86" s="70" t="inlineStr">
        <is>
          <t>Sortie Conveyor transfer</t>
        </is>
      </c>
      <c r="B86" s="74" t="n">
        <v>1</v>
      </c>
      <c r="C86" s="74" t="n"/>
      <c r="D86" s="74" t="n"/>
    </row>
    <row r="87">
      <c r="A87" s="70" t="inlineStr">
        <is>
          <t>Sortie positioning time</t>
        </is>
      </c>
      <c r="B87" s="74" t="n">
        <v>1</v>
      </c>
      <c r="C87" s="74" t="n"/>
      <c r="D87" s="74" t="n"/>
    </row>
    <row r="88">
      <c r="A88" s="70" t="inlineStr">
        <is>
          <t>RGV Running straight line</t>
        </is>
      </c>
      <c r="B88" s="74" t="n"/>
      <c r="C88" s="74" t="n">
        <v>3</v>
      </c>
      <c r="D88" s="74" t="n">
        <v>0.6</v>
      </c>
    </row>
    <row r="89">
      <c r="A89" s="70" t="inlineStr">
        <is>
          <t>RGV Running Curve</t>
        </is>
      </c>
      <c r="B89" s="74" t="n"/>
      <c r="C89" s="74" t="n">
        <v>0.5</v>
      </c>
      <c r="D89" s="74" t="n"/>
    </row>
    <row r="90">
      <c r="A90" s="70" t="inlineStr">
        <is>
          <t>RGV positioning time</t>
        </is>
      </c>
      <c r="B90" s="74" t="n">
        <v>2</v>
      </c>
      <c r="C90" s="74" t="n"/>
      <c r="D90" s="74" t="n"/>
    </row>
    <row r="91">
      <c r="A91" s="70" t="inlineStr">
        <is>
          <t>RGV positioning speed</t>
        </is>
      </c>
      <c r="B91" s="74" t="n"/>
      <c r="C91" s="74" t="n">
        <v>0.1</v>
      </c>
      <c r="D91" s="74" t="n"/>
    </row>
    <row r="92">
      <c r="A92" s="70" t="inlineStr">
        <is>
          <t>Dynamo100_loaded_1.8</t>
        </is>
      </c>
      <c r="B92" s="74" t="n"/>
      <c r="C92" s="74" t="n">
        <v>1.5</v>
      </c>
      <c r="D92" s="74" t="n">
        <v>0.5</v>
      </c>
    </row>
    <row r="93">
      <c r="A93" s="70" t="inlineStr">
        <is>
          <t>Dynamo100_loaded_1.6</t>
        </is>
      </c>
      <c r="B93" s="74" t="n"/>
      <c r="C93" s="74" t="n">
        <v>1.2</v>
      </c>
      <c r="D93" s="74" t="n">
        <v>0.5</v>
      </c>
    </row>
    <row r="94">
      <c r="A94" s="70" t="inlineStr">
        <is>
          <t>Dynamo100_loaded_1.5</t>
        </is>
      </c>
      <c r="B94" s="74" t="n"/>
      <c r="C94" s="74" t="n">
        <v>0.6</v>
      </c>
      <c r="D94" s="74" t="n">
        <v>0.5</v>
      </c>
    </row>
    <row r="95">
      <c r="A95" s="70" t="inlineStr">
        <is>
          <t>Dynamo100_loaded_1.2</t>
        </is>
      </c>
      <c r="B95" s="74" t="n"/>
      <c r="C95" s="74" t="n">
        <v>0.3</v>
      </c>
      <c r="D95" s="74" t="n">
        <v>0.5</v>
      </c>
    </row>
    <row r="96">
      <c r="A96" s="70" t="inlineStr">
        <is>
          <t>Dynamo100_unloaded_1.8</t>
        </is>
      </c>
      <c r="B96" s="74" t="n"/>
      <c r="C96" s="74" t="n">
        <v>2</v>
      </c>
      <c r="D96" s="74" t="n">
        <v>0.5</v>
      </c>
    </row>
    <row r="97">
      <c r="A97" s="70" t="inlineStr">
        <is>
          <t>Dynamo100_unloaded_1.6</t>
        </is>
      </c>
      <c r="B97" s="74" t="n"/>
      <c r="C97" s="74" t="n">
        <v>1.2</v>
      </c>
      <c r="D97" s="74" t="n">
        <v>0.5</v>
      </c>
    </row>
    <row r="98">
      <c r="A98" s="70" t="inlineStr">
        <is>
          <t>Dynamo100_unloaded_1.5</t>
        </is>
      </c>
      <c r="B98" s="74" t="n"/>
      <c r="C98" s="74" t="n">
        <v>0.6</v>
      </c>
      <c r="D98" s="74" t="n">
        <v>0.5</v>
      </c>
    </row>
    <row r="99">
      <c r="A99" s="70" t="inlineStr">
        <is>
          <t>Dynamo100_unloaded_1.2</t>
        </is>
      </c>
      <c r="B99" s="74" t="n"/>
      <c r="C99" s="74" t="n">
        <v>0.3</v>
      </c>
      <c r="D99" s="74" t="n">
        <v>0.5</v>
      </c>
    </row>
    <row r="100">
      <c r="A100" s="70" t="inlineStr">
        <is>
          <t>Dynamo100_loaded_turning</t>
        </is>
      </c>
      <c r="B100" s="74" t="n">
        <v>6</v>
      </c>
      <c r="C100" s="74" t="n"/>
      <c r="D100" s="74" t="n">
        <v>0</v>
      </c>
    </row>
    <row r="101">
      <c r="A101" s="70" t="inlineStr">
        <is>
          <t>Dynamo100_unloaded_turning</t>
        </is>
      </c>
      <c r="B101" s="74" t="n">
        <v>6</v>
      </c>
      <c r="C101" s="74" t="n"/>
      <c r="D101" s="74" t="n">
        <v>0</v>
      </c>
    </row>
    <row r="102">
      <c r="A102" s="70" t="inlineStr">
        <is>
          <t>Dynamo100_docking</t>
        </is>
      </c>
      <c r="B102" s="74" t="n"/>
      <c r="C102" s="74" t="n">
        <v>0.3</v>
      </c>
      <c r="D102" s="74" t="n">
        <v>0.15</v>
      </c>
    </row>
    <row r="103">
      <c r="A103" s="70" t="inlineStr">
        <is>
          <t>Dynamo100_detection time</t>
        </is>
      </c>
      <c r="B103" s="74" t="n">
        <v>5</v>
      </c>
      <c r="C103" s="74" t="n">
        <v>0</v>
      </c>
      <c r="D103" s="74" t="n">
        <v>0</v>
      </c>
    </row>
    <row r="104">
      <c r="A104" s="70" t="inlineStr">
        <is>
          <t>Dynamo100_Conveyor transfer</t>
        </is>
      </c>
      <c r="B104" s="74" t="n">
        <v>6</v>
      </c>
      <c r="C104" s="74" t="n"/>
      <c r="D104" s="74" t="n"/>
    </row>
    <row r="105">
      <c r="A105" s="70" t="inlineStr">
        <is>
          <t>Dynamo100_PinHookup/Hookdown</t>
        </is>
      </c>
      <c r="B105" s="74" t="n">
        <v>3</v>
      </c>
      <c r="C105" s="74" t="n"/>
      <c r="D105" s="74" t="n"/>
    </row>
    <row r="106">
      <c r="A106" s="70" t="inlineStr">
        <is>
          <t>Dynamo200_loaded_2</t>
        </is>
      </c>
      <c r="B106" s="74" t="n"/>
      <c r="C106" s="74" t="n">
        <v>1.5</v>
      </c>
      <c r="D106" s="74" t="n">
        <v>0.5</v>
      </c>
    </row>
    <row r="107">
      <c r="A107" s="70" t="inlineStr">
        <is>
          <t>Dynamo200_loaded_1.8</t>
        </is>
      </c>
      <c r="B107" s="74" t="n"/>
      <c r="C107" s="74" t="n">
        <v>1.2</v>
      </c>
      <c r="D107" s="74" t="n">
        <v>0.5</v>
      </c>
    </row>
    <row r="108">
      <c r="A108" s="70" t="inlineStr">
        <is>
          <t>Dynamo200_loaded_1.7</t>
        </is>
      </c>
      <c r="B108" s="74" t="n"/>
      <c r="C108" s="74" t="n">
        <v>0.6</v>
      </c>
      <c r="D108" s="74" t="n">
        <v>0.5</v>
      </c>
    </row>
    <row r="109">
      <c r="A109" s="70" t="inlineStr">
        <is>
          <t>Dynamo200_loaded_1.4</t>
        </is>
      </c>
      <c r="B109" s="74" t="n"/>
      <c r="C109" s="74" t="n">
        <v>0.3</v>
      </c>
      <c r="D109" s="74" t="n">
        <v>0.5</v>
      </c>
    </row>
    <row r="110">
      <c r="A110" s="70" t="inlineStr">
        <is>
          <t>Dynamo200_unloaded_2</t>
        </is>
      </c>
      <c r="B110" s="74" t="n"/>
      <c r="C110" s="74" t="n">
        <v>2</v>
      </c>
      <c r="D110" s="74" t="n">
        <v>0.5</v>
      </c>
    </row>
    <row r="111">
      <c r="A111" s="70" t="inlineStr">
        <is>
          <t>Dynamo200_unloaded_1.8</t>
        </is>
      </c>
      <c r="B111" s="74" t="n"/>
      <c r="C111" s="74" t="n">
        <v>1.2</v>
      </c>
      <c r="D111" s="74" t="n">
        <v>0.5</v>
      </c>
    </row>
    <row r="112">
      <c r="A112" s="70" t="inlineStr">
        <is>
          <t>Dynamo200_unloaded_1.7</t>
        </is>
      </c>
      <c r="B112" s="74" t="n"/>
      <c r="C112" s="74" t="n">
        <v>0.6</v>
      </c>
      <c r="D112" s="74" t="n">
        <v>0.5</v>
      </c>
    </row>
    <row r="113">
      <c r="A113" s="70" t="inlineStr">
        <is>
          <t>Dynamo200_unloaded_1.4</t>
        </is>
      </c>
      <c r="B113" s="74" t="n"/>
      <c r="C113" s="74" t="n">
        <v>0.3</v>
      </c>
      <c r="D113" s="74" t="n">
        <v>0.5</v>
      </c>
    </row>
    <row r="114">
      <c r="A114" s="70" t="inlineStr">
        <is>
          <t>Dynamo200_loaded_turning</t>
        </is>
      </c>
      <c r="B114" s="74" t="n">
        <v>6</v>
      </c>
      <c r="C114" s="74" t="n"/>
      <c r="D114" s="74" t="n">
        <v>0</v>
      </c>
    </row>
    <row r="115">
      <c r="A115" s="70" t="inlineStr">
        <is>
          <t>Dynamo200_unloaded_turning</t>
        </is>
      </c>
      <c r="B115" s="74" t="n">
        <v>6</v>
      </c>
      <c r="C115" s="74" t="n"/>
      <c r="D115" s="74" t="n">
        <v>0</v>
      </c>
    </row>
    <row r="116">
      <c r="A116" s="70" t="inlineStr">
        <is>
          <t>Dynamo200_docking</t>
        </is>
      </c>
      <c r="B116" s="74" t="n"/>
      <c r="C116" s="74" t="n">
        <v>0.3</v>
      </c>
      <c r="D116" s="74" t="n">
        <v>0.15</v>
      </c>
    </row>
    <row r="117">
      <c r="A117" s="70" t="inlineStr">
        <is>
          <t>Dynamo200_detection time</t>
        </is>
      </c>
      <c r="B117" s="74" t="n">
        <v>5</v>
      </c>
      <c r="C117" s="74" t="n">
        <v>0</v>
      </c>
      <c r="D117" s="74" t="n">
        <v>0</v>
      </c>
    </row>
    <row r="118">
      <c r="A118" s="70" t="inlineStr">
        <is>
          <t>Dynamo200_Conveyor transfer</t>
        </is>
      </c>
      <c r="B118" s="74" t="n">
        <v>6</v>
      </c>
      <c r="C118" s="74" t="n"/>
      <c r="D118" s="74" t="n"/>
    </row>
    <row r="119">
      <c r="A119" s="70" t="inlineStr">
        <is>
          <t>Dynamo200_PinHookup/Hookdown</t>
        </is>
      </c>
      <c r="B119" s="74" t="n">
        <v>3</v>
      </c>
      <c r="C119" s="74" t="n"/>
      <c r="D119" s="74" t="n"/>
    </row>
    <row r="120">
      <c r="A120" s="70" t="inlineStr">
        <is>
          <t>Dynamo500_loaded_2.2</t>
        </is>
      </c>
      <c r="B120" s="74" t="n"/>
      <c r="C120" s="74" t="n">
        <v>1.5</v>
      </c>
      <c r="D120" s="74" t="n">
        <v>0.5</v>
      </c>
    </row>
    <row r="121">
      <c r="A121" s="70" t="inlineStr">
        <is>
          <t>Dynamo500_loaded_2</t>
        </is>
      </c>
      <c r="B121" s="74" t="n"/>
      <c r="C121" s="74" t="n">
        <v>1.2</v>
      </c>
      <c r="D121" s="74" t="n">
        <v>0.5</v>
      </c>
    </row>
    <row r="122">
      <c r="A122" s="70" t="inlineStr">
        <is>
          <t>Dynamo500_loaded_1.9</t>
        </is>
      </c>
      <c r="B122" s="74" t="n"/>
      <c r="C122" s="74" t="n">
        <v>0.6</v>
      </c>
      <c r="D122" s="74" t="n">
        <v>0.5</v>
      </c>
    </row>
    <row r="123">
      <c r="A123" s="70" t="inlineStr">
        <is>
          <t>Dynamo500_loaded_1.6</t>
        </is>
      </c>
      <c r="B123" s="74" t="n"/>
      <c r="C123" s="74" t="n">
        <v>0.3</v>
      </c>
      <c r="D123" s="74" t="n">
        <v>0.5</v>
      </c>
    </row>
    <row r="124">
      <c r="A124" s="70" t="inlineStr">
        <is>
          <t>Dynamo500_unloaded_2.2</t>
        </is>
      </c>
      <c r="B124" s="74" t="n"/>
      <c r="C124" s="74" t="n">
        <v>2</v>
      </c>
      <c r="D124" s="74" t="n">
        <v>0.5</v>
      </c>
    </row>
    <row r="125">
      <c r="A125" s="70" t="inlineStr">
        <is>
          <t>Dynamo500_unloaded_2</t>
        </is>
      </c>
      <c r="B125" s="74" t="n"/>
      <c r="C125" s="74" t="n">
        <v>1.2</v>
      </c>
      <c r="D125" s="74" t="n">
        <v>0.5</v>
      </c>
    </row>
    <row r="126">
      <c r="A126" s="70" t="inlineStr">
        <is>
          <t>Dynamo500_unloaded_1.9</t>
        </is>
      </c>
      <c r="B126" s="74" t="n"/>
      <c r="C126" s="74" t="n">
        <v>0.6</v>
      </c>
      <c r="D126" s="74" t="n">
        <v>0.5</v>
      </c>
    </row>
    <row r="127">
      <c r="A127" s="70" t="inlineStr">
        <is>
          <t>Dynamo500_unloaded_1.6</t>
        </is>
      </c>
      <c r="B127" s="74" t="n"/>
      <c r="C127" s="74" t="n">
        <v>0.3</v>
      </c>
      <c r="D127" s="74" t="n">
        <v>0.5</v>
      </c>
    </row>
    <row r="128">
      <c r="A128" s="70" t="inlineStr">
        <is>
          <t>Dynamo500_loaded_turning</t>
        </is>
      </c>
      <c r="B128" s="74" t="n">
        <v>6</v>
      </c>
      <c r="C128" s="74" t="n"/>
      <c r="D128" s="74" t="n">
        <v>0</v>
      </c>
    </row>
    <row r="129">
      <c r="A129" s="70" t="inlineStr">
        <is>
          <t>Dynamo500_unloaded_turning</t>
        </is>
      </c>
      <c r="B129" s="74" t="n">
        <v>6</v>
      </c>
      <c r="C129" s="74" t="n"/>
      <c r="D129" s="74" t="n">
        <v>0</v>
      </c>
    </row>
    <row r="130">
      <c r="A130" s="70" t="inlineStr">
        <is>
          <t>Dynamo500_docking</t>
        </is>
      </c>
      <c r="B130" s="74" t="n"/>
      <c r="C130" s="74" t="n">
        <v>0.3</v>
      </c>
      <c r="D130" s="74" t="n">
        <v>0.15</v>
      </c>
    </row>
    <row r="131">
      <c r="A131" s="70" t="inlineStr">
        <is>
          <t>Dynamo500_detection time</t>
        </is>
      </c>
      <c r="B131" s="74" t="n">
        <v>5</v>
      </c>
      <c r="C131" s="74" t="n">
        <v>0</v>
      </c>
      <c r="D131" s="74" t="n">
        <v>0</v>
      </c>
    </row>
    <row r="132">
      <c r="A132" s="70" t="inlineStr">
        <is>
          <t>Dynamo500_Conveyor transfer</t>
        </is>
      </c>
      <c r="B132" s="74" t="n">
        <v>6</v>
      </c>
      <c r="C132" s="74" t="n"/>
      <c r="D132" s="74" t="n"/>
    </row>
    <row r="133">
      <c r="A133" s="70" t="inlineStr">
        <is>
          <t>Dynamo500_PinHookup/Hookdown</t>
        </is>
      </c>
      <c r="B133" s="74" t="n">
        <v>3</v>
      </c>
      <c r="C133" s="74" t="n"/>
      <c r="D133" s="74" t="n"/>
    </row>
    <row r="134">
      <c r="A134" s="70" t="inlineStr">
        <is>
          <t>Dynamo500_LifterUp/Down</t>
        </is>
      </c>
      <c r="B134" s="74" t="n">
        <v>10</v>
      </c>
      <c r="C134" s="74" t="n"/>
      <c r="D134" s="74" t="n"/>
    </row>
    <row r="135">
      <c r="A135" s="70" t="inlineStr">
        <is>
          <t>Dynamo1000_loaded_2.2</t>
        </is>
      </c>
      <c r="B135" s="74" t="n"/>
      <c r="C135" s="74" t="n">
        <v>1.5</v>
      </c>
      <c r="D135" s="74" t="n">
        <v>0.5</v>
      </c>
    </row>
    <row r="136">
      <c r="A136" s="70" t="inlineStr">
        <is>
          <t>Dynamo1000_loaded_2</t>
        </is>
      </c>
      <c r="B136" s="74" t="n"/>
      <c r="C136" s="74" t="n">
        <v>1.2</v>
      </c>
      <c r="D136" s="74" t="n">
        <v>0.5</v>
      </c>
    </row>
    <row r="137">
      <c r="A137" s="70" t="inlineStr">
        <is>
          <t>Dynamo1000_loaded_1.9</t>
        </is>
      </c>
      <c r="B137" s="74" t="n"/>
      <c r="C137" s="74" t="n">
        <v>0.6</v>
      </c>
      <c r="D137" s="74" t="n">
        <v>0.5</v>
      </c>
    </row>
    <row r="138">
      <c r="A138" s="70" t="inlineStr">
        <is>
          <t>Dynamo1000_loaded_1.6</t>
        </is>
      </c>
      <c r="B138" s="74" t="n"/>
      <c r="C138" s="74" t="n">
        <v>0.3</v>
      </c>
      <c r="D138" s="74" t="n">
        <v>0.5</v>
      </c>
    </row>
    <row r="139">
      <c r="A139" s="70" t="inlineStr">
        <is>
          <t>Dynamo1000_unloaded_2.2</t>
        </is>
      </c>
      <c r="B139" s="74" t="n"/>
      <c r="C139" s="74" t="n">
        <v>2</v>
      </c>
      <c r="D139" s="74" t="n">
        <v>0.5</v>
      </c>
    </row>
    <row r="140">
      <c r="A140" s="70" t="inlineStr">
        <is>
          <t>Dynamo1000_unloaded_2</t>
        </is>
      </c>
      <c r="B140" s="74" t="n"/>
      <c r="C140" s="74" t="n">
        <v>1.2</v>
      </c>
      <c r="D140" s="74" t="n">
        <v>0.5</v>
      </c>
    </row>
    <row r="141">
      <c r="A141" s="70" t="inlineStr">
        <is>
          <t>Dynamo1000_unloaded_1.9</t>
        </is>
      </c>
      <c r="B141" s="74" t="n"/>
      <c r="C141" s="74" t="n">
        <v>0.6</v>
      </c>
      <c r="D141" s="74" t="n">
        <v>0.5</v>
      </c>
    </row>
    <row r="142">
      <c r="A142" s="70" t="inlineStr">
        <is>
          <t>Dynamo1000_unloaded_1.6</t>
        </is>
      </c>
      <c r="B142" s="74" t="n"/>
      <c r="C142" s="74" t="n">
        <v>0.3</v>
      </c>
      <c r="D142" s="74" t="n">
        <v>0.5</v>
      </c>
    </row>
    <row r="143">
      <c r="A143" s="70" t="inlineStr">
        <is>
          <t>Dynamo1000_loaded_turning</t>
        </is>
      </c>
      <c r="B143" s="74" t="n">
        <v>6</v>
      </c>
      <c r="C143" s="74" t="n"/>
      <c r="D143" s="74" t="n">
        <v>0</v>
      </c>
    </row>
    <row r="144">
      <c r="A144" s="70" t="inlineStr">
        <is>
          <t>Dynamo1000_unloaded_turning</t>
        </is>
      </c>
      <c r="B144" s="74" t="n">
        <v>6</v>
      </c>
      <c r="C144" s="74" t="n"/>
      <c r="D144" s="74" t="n">
        <v>0</v>
      </c>
    </row>
    <row r="145">
      <c r="A145" s="70" t="inlineStr">
        <is>
          <t>Dynamo1000_docking</t>
        </is>
      </c>
      <c r="B145" s="74" t="n"/>
      <c r="C145" s="74" t="n">
        <v>0.3</v>
      </c>
      <c r="D145" s="74" t="n">
        <v>0.15</v>
      </c>
    </row>
    <row r="146">
      <c r="A146" s="70" t="inlineStr">
        <is>
          <t>Dynamo1000_detection time</t>
        </is>
      </c>
      <c r="B146" s="74" t="n">
        <v>5</v>
      </c>
      <c r="C146" s="74" t="n">
        <v>0</v>
      </c>
      <c r="D146" s="74" t="n">
        <v>0</v>
      </c>
    </row>
    <row r="147">
      <c r="A147" s="70" t="inlineStr">
        <is>
          <t>Dynamo1000_Conveyor transfer</t>
        </is>
      </c>
      <c r="B147" s="74" t="n">
        <v>6</v>
      </c>
      <c r="C147" s="74" t="n"/>
      <c r="D147" s="74" t="n"/>
    </row>
    <row r="148">
      <c r="A148" s="70" t="inlineStr">
        <is>
          <t>Dynamo1000_PinHookup/Hookdown</t>
        </is>
      </c>
      <c r="B148" s="74" t="n">
        <v>3</v>
      </c>
      <c r="C148" s="74" t="n"/>
      <c r="D148" s="74" t="n"/>
    </row>
    <row r="149">
      <c r="A149" s="70" t="inlineStr">
        <is>
          <t>Dynamo1000_LifterUp/Down</t>
        </is>
      </c>
      <c r="B149" s="74" t="n">
        <v>10</v>
      </c>
      <c r="C149" s="74" t="n"/>
      <c r="D149" s="74" t="n"/>
    </row>
    <row r="150">
      <c r="A150" s="70" t="inlineStr">
        <is>
          <t>Dynamo1500_loaded_2.5</t>
        </is>
      </c>
      <c r="B150" s="74" t="n"/>
      <c r="C150" s="74" t="n">
        <v>0.8</v>
      </c>
      <c r="D150" s="74" t="n">
        <v>0.5</v>
      </c>
    </row>
    <row r="151">
      <c r="A151" s="70" t="inlineStr">
        <is>
          <t>Dynamo1500_loaded_2.3</t>
        </is>
      </c>
      <c r="B151" s="74" t="n"/>
      <c r="C151" s="74" t="n">
        <v>0.6</v>
      </c>
      <c r="D151" s="74" t="n">
        <v>0.5</v>
      </c>
    </row>
    <row r="152">
      <c r="A152" s="70" t="inlineStr">
        <is>
          <t>Dynamo1500_loaded_2.2</t>
        </is>
      </c>
      <c r="B152" s="74" t="n"/>
      <c r="C152" s="74" t="n">
        <v>0.3</v>
      </c>
      <c r="D152" s="74" t="n">
        <v>0.5</v>
      </c>
    </row>
    <row r="153">
      <c r="A153" s="70" t="inlineStr">
        <is>
          <t>Dynamo1500_unloaded_2.5</t>
        </is>
      </c>
      <c r="B153" s="74" t="n"/>
      <c r="C153" s="74" t="n">
        <v>1.2</v>
      </c>
      <c r="D153" s="74" t="n">
        <v>0.5</v>
      </c>
    </row>
    <row r="154">
      <c r="A154" s="70" t="inlineStr">
        <is>
          <t>Dynamo1500_unloaded_2.3</t>
        </is>
      </c>
      <c r="B154" s="74" t="n"/>
      <c r="C154" s="74" t="n">
        <v>0.6</v>
      </c>
      <c r="D154" s="74" t="n">
        <v>0.5</v>
      </c>
    </row>
    <row r="155">
      <c r="A155" s="70" t="inlineStr">
        <is>
          <t>Dynamo1500_unloaded_2.2</t>
        </is>
      </c>
      <c r="B155" s="74" t="n"/>
      <c r="C155" s="74" t="n">
        <v>0.3</v>
      </c>
      <c r="D155" s="74" t="n">
        <v>0.5</v>
      </c>
    </row>
    <row r="156">
      <c r="A156" s="70" t="inlineStr">
        <is>
          <t>Dynamo1500_loaded_turning</t>
        </is>
      </c>
      <c r="B156" s="74" t="n">
        <v>6</v>
      </c>
      <c r="C156" s="74" t="n"/>
      <c r="D156" s="74" t="n">
        <v>0</v>
      </c>
    </row>
    <row r="157">
      <c r="A157" s="70" t="inlineStr">
        <is>
          <t>Dynamo1500_unloaded_turning</t>
        </is>
      </c>
      <c r="B157" s="74" t="n">
        <v>6</v>
      </c>
      <c r="C157" s="74" t="n"/>
      <c r="D157" s="74" t="n">
        <v>0</v>
      </c>
    </row>
    <row r="158">
      <c r="A158" s="70" t="inlineStr">
        <is>
          <t>Dynamo1500_docking</t>
        </is>
      </c>
      <c r="B158" s="74" t="n"/>
      <c r="C158" s="74" t="n">
        <v>0.3</v>
      </c>
      <c r="D158" s="74" t="n">
        <v>0.15</v>
      </c>
    </row>
    <row r="159">
      <c r="A159" s="70" t="inlineStr">
        <is>
          <t>Dynamo1500_detection time</t>
        </is>
      </c>
      <c r="B159" s="74" t="n">
        <v>5</v>
      </c>
      <c r="C159" s="74" t="n">
        <v>0</v>
      </c>
      <c r="D159" s="74" t="n">
        <v>0</v>
      </c>
    </row>
    <row r="160">
      <c r="A160" s="70" t="inlineStr">
        <is>
          <t>Dynamo1500_Conveyor transfer</t>
        </is>
      </c>
      <c r="B160" s="74" t="n">
        <v>6</v>
      </c>
      <c r="C160" s="74" t="n"/>
      <c r="D160" s="74" t="n"/>
    </row>
    <row r="161">
      <c r="A161" s="70" t="inlineStr">
        <is>
          <t>Dynamo1000_PinHookup/Hookdown</t>
        </is>
      </c>
      <c r="B161" s="74" t="n">
        <v>3</v>
      </c>
      <c r="C161" s="74" t="n"/>
      <c r="D161" s="74" t="n"/>
    </row>
    <row r="162">
      <c r="A162" s="70" t="inlineStr">
        <is>
          <t>Dynamo1500_LifterUp/Down</t>
        </is>
      </c>
      <c r="B162" s="74" t="n">
        <v>10</v>
      </c>
      <c r="C162" s="74" t="n"/>
      <c r="D162" s="74" t="n"/>
    </row>
    <row r="163">
      <c r="A163" s="70" t="inlineStr">
        <is>
          <t>Dynamo1000_LifterUp/Down</t>
        </is>
      </c>
      <c r="B163" s="74" t="n">
        <v>10</v>
      </c>
      <c r="C163" s="74" t="n"/>
      <c r="D163" s="74" t="n"/>
    </row>
    <row r="164" ht="28" customHeight="1" s="516">
      <c r="A164" s="256" t="inlineStr">
        <is>
          <t>Time taken by Veloce to complete one Pick/ Drop cycle with 
Veloce Tower</t>
        </is>
      </c>
      <c r="B164" s="71" t="n">
        <v>45</v>
      </c>
      <c r="C164" s="71" t="n"/>
      <c r="D164" s="71" t="n"/>
    </row>
    <row r="165">
      <c r="A165" s="70" t="inlineStr">
        <is>
          <t>4 way shuttle_Unloaded</t>
        </is>
      </c>
      <c r="B165" s="74" t="n"/>
      <c r="C165" s="74" t="n">
        <v>1.5</v>
      </c>
      <c r="D165" s="74" t="n">
        <v>0.5</v>
      </c>
    </row>
    <row r="166">
      <c r="A166" s="70" t="inlineStr">
        <is>
          <t>4 way shuttle_Loaded</t>
        </is>
      </c>
      <c r="B166" s="74" t="n"/>
      <c r="C166" s="74" t="n">
        <v>1.3</v>
      </c>
      <c r="D166" s="74" t="n">
        <v>0.3</v>
      </c>
    </row>
    <row r="167">
      <c r="A167" s="70" t="inlineStr">
        <is>
          <t>4 way shuttle_Lifting time</t>
        </is>
      </c>
      <c r="B167" s="74" t="n">
        <v>4</v>
      </c>
      <c r="C167" s="74" t="n"/>
      <c r="D167" s="74" t="n"/>
    </row>
    <row r="168">
      <c r="A168" s="70" t="inlineStr">
        <is>
          <t>4 way shuttle_Direction change time</t>
        </is>
      </c>
      <c r="B168" s="74" t="n">
        <v>5</v>
      </c>
      <c r="C168" s="74" t="n"/>
      <c r="D168" s="74" t="n"/>
    </row>
    <row r="169">
      <c r="A169" s="70" t="n"/>
      <c r="B169" s="71" t="n"/>
      <c r="C169" s="71" t="n"/>
      <c r="D169" s="71" t="n"/>
    </row>
    <row r="170">
      <c r="A170" s="70" t="n"/>
      <c r="B170" s="71" t="n"/>
      <c r="C170" s="71" t="n"/>
      <c r="D170" s="71" t="n"/>
    </row>
    <row r="171">
      <c r="A171" s="70" t="n"/>
      <c r="B171" s="71" t="n"/>
      <c r="C171" s="71" t="n"/>
      <c r="D171" s="71" t="n"/>
    </row>
    <row r="172">
      <c r="A172" s="70" t="n"/>
      <c r="B172" s="71" t="n"/>
      <c r="C172" s="71" t="n"/>
      <c r="D172" s="71" t="n"/>
    </row>
    <row r="173">
      <c r="A173" s="70" t="n"/>
      <c r="B173" s="71" t="n"/>
      <c r="C173" s="71" t="n"/>
      <c r="D173" s="71" t="n"/>
    </row>
    <row r="174">
      <c r="A174" s="70" t="n"/>
      <c r="B174" s="71" t="n"/>
      <c r="C174" s="71" t="n"/>
      <c r="D174" s="71" t="n"/>
    </row>
    <row r="175">
      <c r="A175" s="70" t="n"/>
      <c r="B175" s="71" t="n"/>
      <c r="C175" s="71" t="n"/>
      <c r="D175" s="71" t="n"/>
    </row>
    <row r="176">
      <c r="A176" s="70" t="n"/>
      <c r="B176" s="71" t="n"/>
      <c r="C176" s="71" t="n"/>
      <c r="D176" s="71" t="n"/>
    </row>
    <row r="177">
      <c r="A177" s="70" t="n"/>
      <c r="B177" s="71" t="n"/>
      <c r="C177" s="71" t="n"/>
      <c r="D177" s="71" t="n"/>
    </row>
    <row r="178">
      <c r="A178" s="70" t="n"/>
      <c r="B178" s="71" t="n"/>
      <c r="C178" s="71" t="n"/>
      <c r="D178" s="71" t="n"/>
    </row>
    <row r="179">
      <c r="A179" s="70" t="n"/>
      <c r="B179" s="71" t="n"/>
      <c r="C179" s="71" t="n"/>
      <c r="D179" s="71" t="n"/>
    </row>
    <row r="180">
      <c r="A180" s="70" t="n"/>
      <c r="B180" s="71" t="n"/>
      <c r="C180" s="71" t="n"/>
      <c r="D180" s="71" t="n"/>
    </row>
    <row r="181">
      <c r="A181" s="70" t="n"/>
      <c r="B181" s="71" t="n"/>
      <c r="C181" s="71" t="n"/>
      <c r="D181" s="71" t="n"/>
    </row>
    <row r="182">
      <c r="A182" s="70" t="n"/>
      <c r="B182" s="71" t="n"/>
      <c r="C182" s="71" t="n"/>
      <c r="D182" s="71" t="n"/>
    </row>
    <row r="183">
      <c r="A183" s="70" t="n"/>
      <c r="B183" s="71" t="n"/>
      <c r="C183" s="71" t="n"/>
      <c r="D183" s="71" t="n"/>
    </row>
    <row r="184">
      <c r="A184" s="70" t="n"/>
      <c r="B184" s="71" t="n"/>
      <c r="C184" s="71" t="n"/>
      <c r="D184" s="71" t="n"/>
    </row>
    <row r="185">
      <c r="A185" s="70" t="n"/>
      <c r="B185" s="71" t="n"/>
      <c r="C185" s="71" t="n"/>
      <c r="D185" s="71" t="n"/>
    </row>
    <row r="186">
      <c r="A186" s="70" t="n"/>
      <c r="B186" s="71" t="n"/>
      <c r="C186" s="71" t="n"/>
      <c r="D186" s="71" t="n"/>
    </row>
    <row r="187">
      <c r="A187" s="70" t="n"/>
      <c r="B187" s="71" t="n"/>
      <c r="C187" s="71" t="n"/>
      <c r="D187" s="71" t="n"/>
    </row>
    <row r="188">
      <c r="A188" s="70" t="n"/>
      <c r="B188" s="71" t="n"/>
      <c r="C188" s="71" t="n"/>
      <c r="D188" s="71" t="n"/>
    </row>
    <row r="189">
      <c r="A189" s="70" t="n"/>
      <c r="B189" s="71" t="n"/>
      <c r="C189" s="71" t="n"/>
      <c r="D189" s="71" t="n"/>
    </row>
    <row r="190">
      <c r="A190" s="70" t="n"/>
      <c r="B190" s="71" t="n"/>
      <c r="C190" s="71" t="n"/>
      <c r="D190" s="71" t="n"/>
    </row>
    <row r="191">
      <c r="A191" s="70" t="n"/>
      <c r="B191" s="71" t="n"/>
      <c r="C191" s="71" t="n"/>
      <c r="D191" s="71" t="n"/>
    </row>
    <row r="192">
      <c r="A192" s="70" t="n"/>
      <c r="B192" s="71" t="n"/>
      <c r="C192" s="71" t="n"/>
      <c r="D192" s="71" t="n"/>
    </row>
    <row r="193">
      <c r="A193" s="70" t="n"/>
      <c r="B193" s="71" t="n"/>
      <c r="C193" s="71" t="n"/>
      <c r="D193" s="71" t="n"/>
    </row>
    <row r="194">
      <c r="A194" s="70" t="n"/>
      <c r="B194" s="71" t="n"/>
      <c r="C194" s="71" t="n"/>
      <c r="D194" s="71" t="n"/>
    </row>
    <row r="195">
      <c r="A195" s="70" t="n"/>
      <c r="B195" s="71" t="n"/>
      <c r="C195" s="71" t="n"/>
      <c r="D195" s="71" t="n"/>
    </row>
    <row r="196">
      <c r="A196" s="70" t="n"/>
      <c r="B196" s="71" t="n"/>
      <c r="C196" s="71" t="n"/>
      <c r="D196" s="71" t="n"/>
    </row>
    <row r="197">
      <c r="A197" s="70" t="n"/>
      <c r="B197" s="71" t="n"/>
      <c r="C197" s="71" t="n"/>
      <c r="D197" s="71" t="n"/>
    </row>
    <row r="198">
      <c r="A198" s="70" t="n"/>
      <c r="B198" s="71" t="n"/>
      <c r="C198" s="71" t="n"/>
      <c r="D198" s="71" t="n"/>
    </row>
    <row r="199">
      <c r="A199" s="70" t="n"/>
      <c r="B199" s="71" t="n"/>
      <c r="C199" s="71" t="n"/>
      <c r="D199" s="71" t="n"/>
    </row>
    <row r="200">
      <c r="A200" s="70" t="n"/>
      <c r="B200" s="71" t="n"/>
      <c r="C200" s="71" t="n"/>
      <c r="D200" s="71" t="n"/>
    </row>
    <row r="201">
      <c r="A201" s="70" t="n"/>
      <c r="B201" s="71" t="n"/>
      <c r="C201" s="71" t="n"/>
      <c r="D201" s="71" t="n"/>
    </row>
    <row r="202">
      <c r="A202" s="70" t="n"/>
      <c r="B202" s="71" t="n"/>
      <c r="C202" s="71" t="n"/>
      <c r="D202" s="71" t="n"/>
    </row>
    <row r="203">
      <c r="A203" s="70" t="n"/>
      <c r="B203" s="71" t="n"/>
      <c r="C203" s="71" t="n"/>
      <c r="D203" s="71" t="n"/>
    </row>
    <row r="204">
      <c r="A204" s="70" t="n"/>
      <c r="B204" s="71" t="n"/>
      <c r="C204" s="71" t="n"/>
      <c r="D204" s="71" t="n"/>
    </row>
    <row r="205">
      <c r="A205" s="70" t="n"/>
      <c r="B205" s="71" t="n"/>
      <c r="C205" s="71" t="n"/>
      <c r="D205" s="71" t="n"/>
    </row>
    <row r="206">
      <c r="A206" s="70" t="n"/>
      <c r="B206" s="71" t="n"/>
      <c r="C206" s="71" t="n"/>
      <c r="D206" s="71" t="n"/>
    </row>
    <row r="207">
      <c r="A207" s="70" t="n"/>
      <c r="B207" s="71" t="n"/>
      <c r="C207" s="71" t="n"/>
      <c r="D207" s="71" t="n"/>
    </row>
    <row r="208">
      <c r="A208" s="70" t="n"/>
      <c r="B208" s="71" t="n"/>
      <c r="C208" s="71" t="n"/>
      <c r="D208" s="71" t="n"/>
    </row>
    <row r="209">
      <c r="A209" s="70" t="n"/>
      <c r="B209" s="71" t="n"/>
      <c r="C209" s="71" t="n"/>
      <c r="D209" s="71" t="n"/>
    </row>
    <row r="210">
      <c r="A210" s="70" t="n"/>
      <c r="B210" s="71" t="n"/>
      <c r="C210" s="71" t="n"/>
      <c r="D210" s="71" t="n"/>
    </row>
    <row r="211">
      <c r="A211" s="70" t="n"/>
      <c r="B211" s="71" t="n"/>
      <c r="C211" s="71" t="n"/>
      <c r="D211" s="71" t="n"/>
    </row>
    <row r="212">
      <c r="A212" s="70" t="n"/>
      <c r="B212" s="71" t="n"/>
      <c r="C212" s="71" t="n"/>
      <c r="D212" s="71" t="n"/>
    </row>
    <row r="213">
      <c r="A213" s="70" t="n"/>
      <c r="B213" s="71" t="n"/>
      <c r="C213" s="71" t="n"/>
      <c r="D213" s="71" t="n"/>
    </row>
    <row r="214">
      <c r="A214" s="70" t="n"/>
      <c r="B214" s="71" t="n"/>
      <c r="C214" s="71" t="n"/>
      <c r="D214" s="71" t="n"/>
    </row>
    <row r="215">
      <c r="A215" s="70" t="n"/>
      <c r="B215" s="71" t="n"/>
      <c r="C215" s="71" t="n"/>
      <c r="D215" s="71" t="n"/>
    </row>
    <row r="216">
      <c r="A216" s="70" t="n"/>
      <c r="B216" s="71" t="n"/>
      <c r="C216" s="71" t="n"/>
      <c r="D216" s="71" t="n"/>
    </row>
    <row r="217">
      <c r="A217" s="70" t="n"/>
      <c r="B217" s="71" t="n"/>
      <c r="C217" s="71" t="n"/>
      <c r="D217" s="71" t="n"/>
    </row>
    <row r="218">
      <c r="A218" s="70" t="n"/>
      <c r="B218" s="71" t="n"/>
      <c r="C218" s="71" t="n"/>
      <c r="D218" s="71" t="n"/>
    </row>
    <row r="219">
      <c r="A219" s="70" t="n"/>
      <c r="B219" s="71" t="n"/>
      <c r="C219" s="71" t="n"/>
      <c r="D219" s="71" t="n"/>
    </row>
    <row r="220">
      <c r="A220" s="70" t="n"/>
      <c r="B220" s="71" t="n"/>
      <c r="C220" s="71" t="n"/>
      <c r="D220" s="71" t="n"/>
    </row>
    <row r="221">
      <c r="A221" s="70" t="n"/>
      <c r="B221" s="71" t="n"/>
      <c r="C221" s="71" t="n"/>
      <c r="D221" s="71" t="n"/>
    </row>
    <row r="222">
      <c r="A222" s="70" t="n"/>
      <c r="B222" s="71" t="n"/>
      <c r="C222" s="71" t="n"/>
      <c r="D222" s="71" t="n"/>
    </row>
  </sheetData>
  <sheetProtection selectLockedCells="0" selectUnlockedCells="0" algorithmName="SHA-512" sheet="1" objects="1" insertRows="1" insertHyperlinks="1" autoFilter="1" scenarios="1" formatColumns="1" deleteColumns="1" insertColumns="1" pivotTables="1" deleteRows="1" formatCells="1" saltValue="VVzCyphVcUv3jrWvqHTGLw==" formatRows="1" sort="1" spinCount="100000" hashValue="rwsvtf78q3Mg7hzwoC6Fw/BTxMEnI/p4WpdXrv9hC0QVGeGI3t7CiKG0zNG0mDswRvnER3t0A+xwA8SS5yJuDQ=="/>
  <mergeCells count="1">
    <mergeCell ref="B1:D1"/>
  </mergeCells>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Piyush  Jain</dc:creator>
  <dcterms:created xsi:type="dcterms:W3CDTF">2021-07-31T05:11:32Z</dcterms:created>
  <dcterms:modified xsi:type="dcterms:W3CDTF">2024-06-18T21:07:00Z</dcterms:modified>
  <cp:lastModifiedBy>Kathi, Raja Ravindra</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0x010100661F3CD970B34542A07AF9B26DB22D4F</vt:lpwstr>
  </property>
  <property name="MediaServiceImageTags" fmtid="{D5CDD505-2E9C-101B-9397-08002B2CF9AE}" pid="3">
    <vt:lpwstr/>
  </property>
  <property name="Tax" linkTarget="Prop_Tax" fmtid="{D5CDD505-2E9C-101B-9397-08002B2CF9AE}" pid="4">
    <vt:lpwstr/>
  </property>
</Properties>
</file>