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er Internships" sheetId="1" r:id="rId4"/>
    <sheet state="visible" name="Graduate Schemes" sheetId="2" r:id="rId5"/>
    <sheet state="visible" name="Industrial Placements" sheetId="3" r:id="rId6"/>
    <sheet state="visible" name="Insight Programmes" sheetId="4" r:id="rId7"/>
  </sheets>
  <definedNames/>
  <calcPr/>
</workbook>
</file>

<file path=xl/sharedStrings.xml><?xml version="1.0" encoding="utf-8"?>
<sst xmlns="http://schemas.openxmlformats.org/spreadsheetml/2006/main" count="32" uniqueCount="14">
  <si>
    <t>For improved functionality, view our free upgraded tracker at: https://www.the-trackr.com/uk-technology</t>
  </si>
  <si>
    <t>Summer Internships</t>
  </si>
  <si>
    <t>Website</t>
  </si>
  <si>
    <t>Group Chat</t>
  </si>
  <si>
    <t>Instagram</t>
  </si>
  <si>
    <t>LinkedIn</t>
  </si>
  <si>
    <t>Recently Opened: Galaxy</t>
  </si>
  <si>
    <t>ANNOUNCEMENT: For better functionality, view our upgraded tracker on our website: https://the-trackr.com/uk-technology/</t>
  </si>
  <si>
    <t>Graduate Schemes</t>
  </si>
  <si>
    <t>Recently Opened: Capital One</t>
  </si>
  <si>
    <t>Industrial Placements</t>
  </si>
  <si>
    <t>Recently Opened: Deloitte</t>
  </si>
  <si>
    <t>Insight Programmes</t>
  </si>
  <si>
    <t>Recently Opened: SIG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</si>
</sst>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&quot; &quot;mmm&quot; &quot;yy"/>
    <numFmt numFmtId="165" formatCode="dd mmm yy"/>
    <numFmt numFmtId="166" formatCode="d mmm yy"/>
    <numFmt numFmtId="167" formatCode="dd\ mmm\ yy"/>
  </numFmts>
  <fonts count="21">
    <font>
      <sz val="11.0"/>
      <color theme="1"/>
      <name val="Calibri"/>
      <scheme val="minor"/>
    </font>
    <font>
      <sz val="11.0"/>
      <color theme="1"/>
      <name val="Calibri"/>
    </font>
    <font>
      <u/>
      <sz val="18.0"/>
      <color rgb="FF0000FF"/>
      <name val="Trebuchet MS"/>
    </font>
    <font>
      <sz val="9.0"/>
      <color theme="1"/>
      <name val="Trebuchet MS"/>
    </font>
    <font>
      <sz val="28.0"/>
      <color rgb="FFFFFFFF"/>
      <name val="Trebuchet MS"/>
    </font>
    <font>
      <u/>
      <sz val="9.0"/>
      <color rgb="FFFFFFFF"/>
      <name val="Trebuchet MS"/>
    </font>
    <font>
      <u/>
      <sz val="9.0"/>
      <color rgb="FFFFFFFF"/>
      <name val="&quot;Trebuchet MS&quot;"/>
    </font>
    <font>
      <u/>
      <sz val="9.0"/>
      <color rgb="FFFFFFFF"/>
      <name val="Trebuchet MS"/>
    </font>
    <font>
      <b/>
      <sz val="9.0"/>
      <color theme="1"/>
      <name val="Trebuchet MS"/>
    </font>
    <font>
      <b/>
      <u/>
      <sz val="9.0"/>
      <color rgb="FF0000FF"/>
      <name val="Trebuchet MS"/>
    </font>
    <font>
      <b/>
      <u/>
      <sz val="9.0"/>
      <color rgb="FF0000FF"/>
      <name val="Trebuchet MS"/>
    </font>
    <font>
      <u/>
      <sz val="9.0"/>
      <color rgb="FF0000FF"/>
      <name val="Trebuchet MS"/>
    </font>
    <font>
      <u/>
      <sz val="9.0"/>
      <color rgb="FF0563C1"/>
      <name val="Trebuchet MS"/>
    </font>
    <font>
      <u/>
      <sz val="9.0"/>
      <color rgb="FF0000FF"/>
      <name val="Trebuchet MS"/>
    </font>
    <font>
      <u/>
      <sz val="9.0"/>
      <color rgb="FF0000FF"/>
      <name val="Trebuchet MS"/>
    </font>
    <font>
      <sz val="9.0"/>
      <color theme="1"/>
      <name val="&quot;Trebuchet MS&quot;"/>
    </font>
    <font>
      <u/>
      <sz val="9.0"/>
      <color theme="1"/>
      <name val="Trebuchet MS"/>
    </font>
    <font>
      <color theme="1"/>
      <name val="Calibri"/>
      <scheme val="minor"/>
    </font>
    <font>
      <u/>
      <color rgb="FF0000FF"/>
    </font>
    <font>
      <sz val="9.0"/>
      <color rgb="FF5B9BD5"/>
      <name val="Trebuchet MS"/>
    </font>
    <font>
      <sz val="9.0"/>
      <color rgb="FF000000"/>
      <name val="Trebuchet MS"/>
    </font>
  </fonts>
  <fills count="5">
    <fill>
      <patternFill patternType="none"/>
    </fill>
    <fill>
      <patternFill patternType="lightGray"/>
    </fill>
    <fill>
      <patternFill patternType="solid">
        <fgColor rgb="FF051726"/>
        <bgColor rgb="FF051726"/>
      </patternFill>
    </fill>
    <fill>
      <patternFill patternType="solid">
        <fgColor rgb="FFD9EAD3"/>
        <bgColor rgb="FFD9EAD3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3" fontId="1" numFmtId="0" xfId="0" applyAlignment="1" applyFill="1" applyFont="1">
      <alignment vertical="bottom"/>
    </xf>
    <xf borderId="0" fillId="3" fontId="2" numFmtId="0" xfId="0" applyAlignment="1" applyFont="1">
      <alignment readingOrder="0"/>
    </xf>
    <xf borderId="0" fillId="2" fontId="3" numFmtId="0" xfId="0" applyAlignment="1" applyFont="1">
      <alignment horizontal="center"/>
    </xf>
    <xf borderId="0" fillId="2" fontId="4" numFmtId="0" xfId="0" applyAlignment="1" applyFont="1">
      <alignment horizontal="left" readingOrder="0" textRotation="0" vertical="center"/>
    </xf>
    <xf borderId="0" fillId="2" fontId="3" numFmtId="164" xfId="0" applyAlignment="1" applyFont="1" applyNumberFormat="1">
      <alignment horizontal="center"/>
    </xf>
    <xf borderId="0" fillId="2" fontId="5" numFmtId="0" xfId="0" applyAlignment="1" applyFont="1">
      <alignment horizontal="center" readingOrder="0" vertical="center"/>
    </xf>
    <xf borderId="0" fillId="2" fontId="6" numFmtId="0" xfId="0" applyAlignment="1" applyFont="1">
      <alignment horizontal="center" vertical="center"/>
    </xf>
    <xf borderId="0" fillId="2" fontId="7" numFmtId="0" xfId="0" applyAlignment="1" applyFont="1">
      <alignment horizontal="left" readingOrder="0" vertical="center"/>
    </xf>
    <xf borderId="0" fillId="4" fontId="8" numFmtId="0" xfId="0" applyAlignment="1" applyFill="1" applyFont="1">
      <alignment horizontal="center" readingOrder="0"/>
    </xf>
    <xf borderId="0" fillId="4" fontId="9" numFmtId="0" xfId="0" applyAlignment="1" applyFont="1">
      <alignment horizontal="center" readingOrder="0"/>
    </xf>
    <xf borderId="0" fillId="4" fontId="10" numFmtId="0" xfId="0" applyAlignment="1" applyFont="1">
      <alignment horizontal="left" readingOrder="0"/>
    </xf>
    <xf borderId="0" fillId="4" fontId="8" numFmtId="0" xfId="0" applyAlignment="1" applyFont="1">
      <alignment horizontal="left" readingOrder="0"/>
    </xf>
    <xf borderId="0" fillId="0" fontId="8" numFmtId="0" xfId="0" applyAlignment="1" applyFont="1">
      <alignment horizontal="center"/>
    </xf>
    <xf borderId="0" fillId="0" fontId="8" numFmtId="164" xfId="0" applyAlignment="1" applyFont="1" applyNumberFormat="1">
      <alignment horizontal="center"/>
    </xf>
    <xf borderId="0" fillId="0" fontId="8" numFmtId="0" xfId="0" applyAlignment="1" applyFont="1">
      <alignment horizontal="center" readingOrder="0"/>
    </xf>
    <xf borderId="0" fillId="0" fontId="8" numFmtId="164" xfId="0" applyAlignment="1" applyFont="1" applyNumberFormat="1">
      <alignment horizontal="center" readingOrder="0"/>
    </xf>
    <xf borderId="0" fillId="0" fontId="8" numFmtId="0" xfId="0" applyAlignment="1" applyFont="1">
      <alignment horizontal="center" readingOrder="0"/>
    </xf>
    <xf borderId="0" fillId="0" fontId="8" numFmtId="0" xfId="0" applyAlignment="1" applyFont="1">
      <alignment horizontal="left" readingOrder="0"/>
    </xf>
    <xf borderId="0" fillId="0" fontId="3" numFmtId="0" xfId="0" applyAlignment="1" applyFont="1">
      <alignment horizontal="center" readingOrder="0" vertical="bottom"/>
    </xf>
    <xf borderId="0" fillId="0" fontId="11" numFmtId="0" xfId="0" applyAlignment="1" applyFont="1">
      <alignment horizontal="center" readingOrder="0" vertical="bottom"/>
    </xf>
    <xf borderId="0" fillId="0" fontId="12" numFmtId="0" xfId="0" applyAlignment="1" applyFont="1">
      <alignment horizontal="center" readingOrder="0"/>
    </xf>
    <xf borderId="0" fillId="0" fontId="3" numFmtId="165" xfId="0" applyAlignment="1" applyFont="1" applyNumberFormat="1">
      <alignment horizontal="center" readingOrder="0"/>
    </xf>
    <xf borderId="0" fillId="0" fontId="3" numFmtId="164" xfId="0" applyAlignment="1" applyFont="1" applyNumberForma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0" xfId="0" applyFont="1"/>
    <xf borderId="0" fillId="0" fontId="13" numFmtId="0" xfId="0" applyAlignment="1" applyFont="1">
      <alignment horizontal="center" readingOrder="0"/>
    </xf>
    <xf borderId="0" fillId="0" fontId="3" numFmtId="164" xfId="0" applyAlignment="1" applyFont="1" applyNumberFormat="1">
      <alignment horizontal="center"/>
    </xf>
    <xf borderId="0" fillId="0" fontId="3" numFmtId="164" xfId="0" applyAlignment="1" applyFont="1" applyNumberFormat="1">
      <alignment horizontal="center" readingOrder="0"/>
    </xf>
    <xf borderId="0" fillId="0" fontId="3" numFmtId="166" xfId="0" applyAlignment="1" applyFont="1" applyNumberFormat="1">
      <alignment horizontal="center" readingOrder="0"/>
    </xf>
    <xf borderId="0" fillId="0" fontId="3" numFmtId="0" xfId="0" applyAlignment="1" applyFont="1">
      <alignment horizontal="center"/>
    </xf>
    <xf borderId="0" fillId="0" fontId="14" numFmtId="0" xfId="0" applyAlignment="1" applyFont="1">
      <alignment horizontal="center"/>
    </xf>
    <xf borderId="0" fillId="0" fontId="15" numFmtId="0" xfId="0" applyAlignment="1" applyFont="1">
      <alignment horizontal="center" vertical="bottom"/>
    </xf>
    <xf borderId="0" fillId="0" fontId="15" numFmtId="0" xfId="0" applyAlignment="1" applyFont="1">
      <alignment horizontal="center" readingOrder="0" vertical="bottom"/>
    </xf>
    <xf borderId="0" fillId="0" fontId="3" numFmtId="164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readingOrder="0"/>
    </xf>
    <xf borderId="0" fillId="0" fontId="16" numFmtId="0" xfId="0" applyAlignment="1" applyFont="1">
      <alignment horizontal="center"/>
    </xf>
    <xf borderId="0" fillId="2" fontId="4" numFmtId="0" xfId="0" applyAlignment="1" applyFont="1">
      <alignment horizontal="center" readingOrder="0" textRotation="0" vertical="center"/>
    </xf>
    <xf borderId="0" fillId="0" fontId="17" numFmtId="0" xfId="0" applyFont="1"/>
    <xf borderId="0" fillId="0" fontId="3" numFmtId="167" xfId="0" applyAlignment="1" applyFont="1" applyNumberFormat="1">
      <alignment horizontal="center" readingOrder="0"/>
    </xf>
    <xf borderId="0" fillId="0" fontId="18" numFmtId="0" xfId="0" applyFont="1"/>
    <xf borderId="0" fillId="0" fontId="17" numFmtId="0" xfId="0" applyFont="1"/>
    <xf borderId="0" fillId="0" fontId="19" numFmtId="165" xfId="0" applyAlignment="1" applyFont="1" applyNumberFormat="1">
      <alignment horizontal="center" readingOrder="0"/>
    </xf>
    <xf borderId="0" fillId="0" fontId="19" numFmtId="164" xfId="0" applyAlignment="1" applyFont="1" applyNumberFormat="1">
      <alignment horizontal="center" readingOrder="0"/>
    </xf>
    <xf borderId="0" fillId="0" fontId="20" numFmtId="166" xfId="0" applyAlignment="1" applyFont="1" applyNumberFormat="1">
      <alignment horizontal="center" readingOrder="0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11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>
        <color rgb="FF000000"/>
      </font>
      <fill>
        <patternFill patternType="solid">
          <fgColor rgb="FFE69138"/>
          <bgColor rgb="FFE69138"/>
        </patternFill>
      </fill>
      <border/>
    </dxf>
    <dxf>
      <font>
        <color rgb="FF000000"/>
      </font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E69138"/>
          <bgColor rgb="FFE69138"/>
        </patternFill>
      </fill>
      <border/>
    </dxf>
    <dxf>
      <font>
        <color rgb="FF000000"/>
      </font>
      <fill>
        <patternFill patternType="solid">
          <fgColor rgb="FF00FFFF"/>
          <bgColor rgb="FF00FFFF"/>
        </patternFill>
      </fill>
      <border/>
    </dxf>
    <dxf>
      <font>
        <color rgb="FF000000"/>
      </font>
      <fill>
        <patternFill patternType="solid">
          <fgColor rgb="FFFF0000"/>
          <bgColor rgb="FFFF0000"/>
        </patternFill>
      </fill>
      <border/>
    </dxf>
    <dxf>
      <font>
        <b/>
        <color rgb="FFFFFFFF"/>
      </font>
      <fill>
        <patternFill patternType="solid">
          <fgColor rgb="FF000000"/>
          <bgColor rgb="FF000000"/>
        </patternFill>
      </fill>
      <border/>
    </dxf>
    <dxf>
      <font>
        <color rgb="FFFFFFFF"/>
      </font>
      <fill>
        <patternFill patternType="solid">
          <fgColor rgb="FF000000"/>
          <bgColor rgb="FF000000"/>
        </patternFill>
      </fill>
      <border/>
    </dxf>
    <dxf>
      <font>
        <color theme="1"/>
      </font>
      <fill>
        <patternFill patternType="solid">
          <fgColor rgb="FFE69138"/>
          <bgColor rgb="FFE69138"/>
        </patternFill>
      </fill>
      <border/>
    </dxf>
    <dxf>
      <font>
        <color theme="1"/>
      </font>
      <fill>
        <patternFill patternType="solid">
          <fgColor rgb="FF93C47D"/>
          <bgColor rgb="FF93C47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1647825" cy="5715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1647825" cy="5715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1647825" cy="5715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1647825" cy="571500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bit.ly/3zwxb5G" TargetMode="External"/><Relationship Id="rId42" Type="http://schemas.openxmlformats.org/officeDocument/2006/relationships/hyperlink" Target="https://bit.ly/3U8FePj" TargetMode="External"/><Relationship Id="rId41" Type="http://schemas.openxmlformats.org/officeDocument/2006/relationships/hyperlink" Target="https://bit.ly/46SpQgs" TargetMode="External"/><Relationship Id="rId44" Type="http://schemas.openxmlformats.org/officeDocument/2006/relationships/hyperlink" Target="https://bit.ly/412NPWf" TargetMode="External"/><Relationship Id="rId43" Type="http://schemas.openxmlformats.org/officeDocument/2006/relationships/hyperlink" Target="https://bit.ly/3AAcABc" TargetMode="External"/><Relationship Id="rId46" Type="http://schemas.openxmlformats.org/officeDocument/2006/relationships/hyperlink" Target="https://bit.ly/3m4gifh" TargetMode="External"/><Relationship Id="rId45" Type="http://schemas.openxmlformats.org/officeDocument/2006/relationships/hyperlink" Target="https://bit.ly/3W84yYo" TargetMode="External"/><Relationship Id="rId107" Type="http://schemas.openxmlformats.org/officeDocument/2006/relationships/hyperlink" Target="https://bit.ly/3nNsPUN" TargetMode="External"/><Relationship Id="rId106" Type="http://schemas.openxmlformats.org/officeDocument/2006/relationships/hyperlink" Target="https://bit.ly/3mc7uE7" TargetMode="External"/><Relationship Id="rId105" Type="http://schemas.openxmlformats.org/officeDocument/2006/relationships/hyperlink" Target="https://bit.ly/43grzdo" TargetMode="External"/><Relationship Id="rId104" Type="http://schemas.openxmlformats.org/officeDocument/2006/relationships/hyperlink" Target="https://bit.ly/3zyf0ME" TargetMode="External"/><Relationship Id="rId109" Type="http://schemas.openxmlformats.org/officeDocument/2006/relationships/hyperlink" Target="https://bit.ly/3tOFytG" TargetMode="External"/><Relationship Id="rId108" Type="http://schemas.openxmlformats.org/officeDocument/2006/relationships/hyperlink" Target="http://bit.ly/3MasuG6" TargetMode="External"/><Relationship Id="rId48" Type="http://schemas.openxmlformats.org/officeDocument/2006/relationships/hyperlink" Target="https://bit.ly/3yoemEK" TargetMode="External"/><Relationship Id="rId47" Type="http://schemas.openxmlformats.org/officeDocument/2006/relationships/hyperlink" Target="https://pimco.wd1.myworkdayjobs.com/en-US/pimco-careers?locationCountry=29247e57dbaf46fb855b224e03170bc7&amp;locations=c3a960b7b21f10016312adea6fcd0000&amp;jobFamilyGroup=b27adc21fb841001104e883f4e350000" TargetMode="External"/><Relationship Id="rId49" Type="http://schemas.openxmlformats.org/officeDocument/2006/relationships/hyperlink" Target="https://www.squarepoint-capital.com/open-opportunities" TargetMode="External"/><Relationship Id="rId103" Type="http://schemas.openxmlformats.org/officeDocument/2006/relationships/hyperlink" Target="https://bit.ly/3Mb40MW" TargetMode="External"/><Relationship Id="rId102" Type="http://schemas.openxmlformats.org/officeDocument/2006/relationships/hyperlink" Target="https://bit.ly/3MIHJVJ" TargetMode="External"/><Relationship Id="rId101" Type="http://schemas.openxmlformats.org/officeDocument/2006/relationships/hyperlink" Target="https://bit.ly/46CV8Y9" TargetMode="External"/><Relationship Id="rId100" Type="http://schemas.openxmlformats.org/officeDocument/2006/relationships/hyperlink" Target="https://bit.ly/4e26Ped" TargetMode="External"/><Relationship Id="rId31" Type="http://schemas.openxmlformats.org/officeDocument/2006/relationships/hyperlink" Target="https://bit.ly/3YqfyC6" TargetMode="External"/><Relationship Id="rId30" Type="http://schemas.openxmlformats.org/officeDocument/2006/relationships/hyperlink" Target="https://bit.ly/46yfdPE" TargetMode="External"/><Relationship Id="rId33" Type="http://schemas.openxmlformats.org/officeDocument/2006/relationships/hyperlink" Target="https://bit.ly/4dxyXW8" TargetMode="External"/><Relationship Id="rId32" Type="http://schemas.openxmlformats.org/officeDocument/2006/relationships/hyperlink" Target="https://bit.ly/3lYgwos" TargetMode="External"/><Relationship Id="rId35" Type="http://schemas.openxmlformats.org/officeDocument/2006/relationships/hyperlink" Target="https://bit.ly/3OkB4CD" TargetMode="External"/><Relationship Id="rId34" Type="http://schemas.openxmlformats.org/officeDocument/2006/relationships/hyperlink" Target="https://bit.ly/3nMbE6f" TargetMode="External"/><Relationship Id="rId37" Type="http://schemas.openxmlformats.org/officeDocument/2006/relationships/hyperlink" Target="https://bit.ly/3WBFloq" TargetMode="External"/><Relationship Id="rId176" Type="http://schemas.openxmlformats.org/officeDocument/2006/relationships/hyperlink" Target="https://bit.ly/47nV8w2" TargetMode="External"/><Relationship Id="rId36" Type="http://schemas.openxmlformats.org/officeDocument/2006/relationships/hyperlink" Target="https://bit.ly/40LeW8n" TargetMode="External"/><Relationship Id="rId175" Type="http://schemas.openxmlformats.org/officeDocument/2006/relationships/hyperlink" Target="https://bit.ly/3zf9QZE" TargetMode="External"/><Relationship Id="rId39" Type="http://schemas.openxmlformats.org/officeDocument/2006/relationships/hyperlink" Target="https://bit.ly/3yBuVx3" TargetMode="External"/><Relationship Id="rId174" Type="http://schemas.openxmlformats.org/officeDocument/2006/relationships/hyperlink" Target="https://bit.ly/3Mgp4S1" TargetMode="External"/><Relationship Id="rId38" Type="http://schemas.openxmlformats.org/officeDocument/2006/relationships/hyperlink" Target="http://bit.ly/3Mfyq0k" TargetMode="External"/><Relationship Id="rId173" Type="http://schemas.openxmlformats.org/officeDocument/2006/relationships/hyperlink" Target="https://bit.ly/3MG9w9p" TargetMode="External"/><Relationship Id="rId178" Type="http://schemas.openxmlformats.org/officeDocument/2006/relationships/drawing" Target="../drawings/drawing1.xml"/><Relationship Id="rId177" Type="http://schemas.openxmlformats.org/officeDocument/2006/relationships/hyperlink" Target="https://bit.ly/3B3g3bw" TargetMode="External"/><Relationship Id="rId20" Type="http://schemas.openxmlformats.org/officeDocument/2006/relationships/hyperlink" Target="https://bit.ly/42Zq0Ap" TargetMode="External"/><Relationship Id="rId22" Type="http://schemas.openxmlformats.org/officeDocument/2006/relationships/hyperlink" Target="https://bit.ly/4d030pr" TargetMode="External"/><Relationship Id="rId21" Type="http://schemas.openxmlformats.org/officeDocument/2006/relationships/hyperlink" Target="https://bit.ly/3WfvZOW" TargetMode="External"/><Relationship Id="rId24" Type="http://schemas.openxmlformats.org/officeDocument/2006/relationships/hyperlink" Target="https://bit.ly/3t46eX2" TargetMode="External"/><Relationship Id="rId23" Type="http://schemas.openxmlformats.org/officeDocument/2006/relationships/hyperlink" Target="https://bit.ly/4d92bL8" TargetMode="External"/><Relationship Id="rId129" Type="http://schemas.openxmlformats.org/officeDocument/2006/relationships/hyperlink" Target="https://bit.ly/4emR0i8" TargetMode="External"/><Relationship Id="rId128" Type="http://schemas.openxmlformats.org/officeDocument/2006/relationships/hyperlink" Target="https://bit.ly/3rjYtM7" TargetMode="External"/><Relationship Id="rId127" Type="http://schemas.openxmlformats.org/officeDocument/2006/relationships/hyperlink" Target="https://bit.ly/4e34OhM" TargetMode="External"/><Relationship Id="rId126" Type="http://schemas.openxmlformats.org/officeDocument/2006/relationships/hyperlink" Target="https://bit.ly/40EcL6l" TargetMode="External"/><Relationship Id="rId26" Type="http://schemas.openxmlformats.org/officeDocument/2006/relationships/hyperlink" Target="https://bit.ly/4gkWXxL" TargetMode="External"/><Relationship Id="rId121" Type="http://schemas.openxmlformats.org/officeDocument/2006/relationships/hyperlink" Target="https://bit.ly/3XptqKF" TargetMode="External"/><Relationship Id="rId25" Type="http://schemas.openxmlformats.org/officeDocument/2006/relationships/hyperlink" Target="https://bit.ly/4ch7pD8" TargetMode="External"/><Relationship Id="rId120" Type="http://schemas.openxmlformats.org/officeDocument/2006/relationships/hyperlink" Target="https://bit.ly/3TsoovN" TargetMode="External"/><Relationship Id="rId28" Type="http://schemas.openxmlformats.org/officeDocument/2006/relationships/hyperlink" Target="https://bit.ly/40SBsMs" TargetMode="External"/><Relationship Id="rId27" Type="http://schemas.openxmlformats.org/officeDocument/2006/relationships/hyperlink" Target="https://bit.ly/4c6rNXC" TargetMode="External"/><Relationship Id="rId125" Type="http://schemas.openxmlformats.org/officeDocument/2006/relationships/hyperlink" Target="https://bit.ly/45Eb6j2" TargetMode="External"/><Relationship Id="rId29" Type="http://schemas.openxmlformats.org/officeDocument/2006/relationships/hyperlink" Target="https://bit.ly/3YuQtpu" TargetMode="External"/><Relationship Id="rId124" Type="http://schemas.openxmlformats.org/officeDocument/2006/relationships/hyperlink" Target="https://bit.ly/3FAjzcA" TargetMode="External"/><Relationship Id="rId123" Type="http://schemas.openxmlformats.org/officeDocument/2006/relationships/hyperlink" Target="https://bit.ly/3m81goW" TargetMode="External"/><Relationship Id="rId122" Type="http://schemas.openxmlformats.org/officeDocument/2006/relationships/hyperlink" Target="https://bit.ly/3rSJ0Tw" TargetMode="External"/><Relationship Id="rId95" Type="http://schemas.openxmlformats.org/officeDocument/2006/relationships/hyperlink" Target="https://bit.ly/3zprtWv" TargetMode="External"/><Relationship Id="rId94" Type="http://schemas.openxmlformats.org/officeDocument/2006/relationships/hyperlink" Target="https://bit.ly/3Kbsoex" TargetMode="External"/><Relationship Id="rId97" Type="http://schemas.openxmlformats.org/officeDocument/2006/relationships/hyperlink" Target="https://bit.ly/3K8adGI" TargetMode="External"/><Relationship Id="rId96" Type="http://schemas.openxmlformats.org/officeDocument/2006/relationships/hyperlink" Target="https://bit.ly/3QVzmrE" TargetMode="External"/><Relationship Id="rId11" Type="http://schemas.openxmlformats.org/officeDocument/2006/relationships/hyperlink" Target="https://bit.ly/4cOIjfV" TargetMode="External"/><Relationship Id="rId99" Type="http://schemas.openxmlformats.org/officeDocument/2006/relationships/hyperlink" Target="https://bit.ly/3R9NMFQ" TargetMode="External"/><Relationship Id="rId10" Type="http://schemas.openxmlformats.org/officeDocument/2006/relationships/hyperlink" Target="https://bit.ly/3ZGMqDD" TargetMode="External"/><Relationship Id="rId98" Type="http://schemas.openxmlformats.org/officeDocument/2006/relationships/hyperlink" Target="https://bit.ly/3XGQyWw" TargetMode="External"/><Relationship Id="rId13" Type="http://schemas.openxmlformats.org/officeDocument/2006/relationships/hyperlink" Target="https://bit.ly/3W72sHh" TargetMode="External"/><Relationship Id="rId12" Type="http://schemas.openxmlformats.org/officeDocument/2006/relationships/hyperlink" Target="https://bit.ly/410zFop" TargetMode="External"/><Relationship Id="rId91" Type="http://schemas.openxmlformats.org/officeDocument/2006/relationships/hyperlink" Target="https://bit.ly/4d2NV5G" TargetMode="External"/><Relationship Id="rId90" Type="http://schemas.openxmlformats.org/officeDocument/2006/relationships/hyperlink" Target="http://bit.ly/3UaxIDR" TargetMode="External"/><Relationship Id="rId93" Type="http://schemas.openxmlformats.org/officeDocument/2006/relationships/hyperlink" Target="https://bit.ly/3TuofI4" TargetMode="External"/><Relationship Id="rId92" Type="http://schemas.openxmlformats.org/officeDocument/2006/relationships/hyperlink" Target="https://bit.ly/3Ek8uM6" TargetMode="External"/><Relationship Id="rId118" Type="http://schemas.openxmlformats.org/officeDocument/2006/relationships/hyperlink" Target="https://bit.ly/4e35rIk" TargetMode="External"/><Relationship Id="rId117" Type="http://schemas.openxmlformats.org/officeDocument/2006/relationships/hyperlink" Target="https://bit.ly/3McN4FT" TargetMode="External"/><Relationship Id="rId116" Type="http://schemas.openxmlformats.org/officeDocument/2006/relationships/hyperlink" Target="https://bit.ly/47nDloI" TargetMode="External"/><Relationship Id="rId115" Type="http://schemas.openxmlformats.org/officeDocument/2006/relationships/hyperlink" Target="https://bit.ly/3U5Sl3X" TargetMode="External"/><Relationship Id="rId119" Type="http://schemas.openxmlformats.org/officeDocument/2006/relationships/hyperlink" Target="https://bit.ly/3XrJwUb" TargetMode="External"/><Relationship Id="rId15" Type="http://schemas.openxmlformats.org/officeDocument/2006/relationships/hyperlink" Target="https://bit.ly/3AYJHyE" TargetMode="External"/><Relationship Id="rId110" Type="http://schemas.openxmlformats.org/officeDocument/2006/relationships/hyperlink" Target="https://bit.ly/3MeQgRe" TargetMode="External"/><Relationship Id="rId14" Type="http://schemas.openxmlformats.org/officeDocument/2006/relationships/hyperlink" Target="https://bit.ly/40Jh9RK" TargetMode="External"/><Relationship Id="rId17" Type="http://schemas.openxmlformats.org/officeDocument/2006/relationships/hyperlink" Target="https://bit.ly/3SYCaGr" TargetMode="External"/><Relationship Id="rId16" Type="http://schemas.openxmlformats.org/officeDocument/2006/relationships/hyperlink" Target="https://bit.ly/4fuuzsG" TargetMode="External"/><Relationship Id="rId19" Type="http://schemas.openxmlformats.org/officeDocument/2006/relationships/hyperlink" Target="https://bit.ly/4cOh8SH" TargetMode="External"/><Relationship Id="rId114" Type="http://schemas.openxmlformats.org/officeDocument/2006/relationships/hyperlink" Target="https://bit.ly/3RbH4zG" TargetMode="External"/><Relationship Id="rId18" Type="http://schemas.openxmlformats.org/officeDocument/2006/relationships/hyperlink" Target="https://bit.ly/3KqdRwu" TargetMode="External"/><Relationship Id="rId113" Type="http://schemas.openxmlformats.org/officeDocument/2006/relationships/hyperlink" Target="http://bit.ly/40ZZ1mh" TargetMode="External"/><Relationship Id="rId112" Type="http://schemas.openxmlformats.org/officeDocument/2006/relationships/hyperlink" Target="https://bit.ly/3MgkIdS" TargetMode="External"/><Relationship Id="rId111" Type="http://schemas.openxmlformats.org/officeDocument/2006/relationships/hyperlink" Target="https://bit.ly/3KxF6G8" TargetMode="External"/><Relationship Id="rId84" Type="http://schemas.openxmlformats.org/officeDocument/2006/relationships/hyperlink" Target="https://bit.ly/3XI4aip" TargetMode="External"/><Relationship Id="rId83" Type="http://schemas.openxmlformats.org/officeDocument/2006/relationships/hyperlink" Target="https://bit.ly/3MNC0hv" TargetMode="External"/><Relationship Id="rId86" Type="http://schemas.openxmlformats.org/officeDocument/2006/relationships/hyperlink" Target="https://bit.ly/46dbd62" TargetMode="External"/><Relationship Id="rId85" Type="http://schemas.openxmlformats.org/officeDocument/2006/relationships/hyperlink" Target="https://bit.ly/3B83coE" TargetMode="External"/><Relationship Id="rId88" Type="http://schemas.openxmlformats.org/officeDocument/2006/relationships/hyperlink" Target="https://bit.ly/3KcUoPf" TargetMode="External"/><Relationship Id="rId150" Type="http://schemas.openxmlformats.org/officeDocument/2006/relationships/hyperlink" Target="https://bit.ly/3B2tFE2" TargetMode="External"/><Relationship Id="rId87" Type="http://schemas.openxmlformats.org/officeDocument/2006/relationships/hyperlink" Target="https://bit.ly/4gsGqaZ" TargetMode="External"/><Relationship Id="rId89" Type="http://schemas.openxmlformats.org/officeDocument/2006/relationships/hyperlink" Target="https://bit.ly/3Xl0p2A" TargetMode="External"/><Relationship Id="rId80" Type="http://schemas.openxmlformats.org/officeDocument/2006/relationships/hyperlink" Target="https://bit.ly/3nHtBTs" TargetMode="External"/><Relationship Id="rId82" Type="http://schemas.openxmlformats.org/officeDocument/2006/relationships/hyperlink" Target="https://bit.ly/3m9HjOE" TargetMode="External"/><Relationship Id="rId81" Type="http://schemas.openxmlformats.org/officeDocument/2006/relationships/hyperlink" Target="https://bit.ly/3MMEVXy" TargetMode="External"/><Relationship Id="rId1" Type="http://schemas.openxmlformats.org/officeDocument/2006/relationships/hyperlink" Target="https://www.the-trackr.com/uk-technology" TargetMode="External"/><Relationship Id="rId2" Type="http://schemas.openxmlformats.org/officeDocument/2006/relationships/hyperlink" Target="https://the-trackr.com/" TargetMode="External"/><Relationship Id="rId3" Type="http://schemas.openxmlformats.org/officeDocument/2006/relationships/hyperlink" Target="https://chat.whatsapp.com/KpC5XzeUK4aKmpUKOeaOFI" TargetMode="External"/><Relationship Id="rId149" Type="http://schemas.openxmlformats.org/officeDocument/2006/relationships/hyperlink" Target="https://bit.ly/3Zqwzwn" TargetMode="External"/><Relationship Id="rId4" Type="http://schemas.openxmlformats.org/officeDocument/2006/relationships/hyperlink" Target="https://www.instagram.com/trackr_uk/" TargetMode="External"/><Relationship Id="rId148" Type="http://schemas.openxmlformats.org/officeDocument/2006/relationships/hyperlink" Target="https://bit.ly/3tPCI80" TargetMode="External"/><Relationship Id="rId9" Type="http://schemas.openxmlformats.org/officeDocument/2006/relationships/hyperlink" Target="https://bit.ly/3LsCZTE" TargetMode="External"/><Relationship Id="rId143" Type="http://schemas.openxmlformats.org/officeDocument/2006/relationships/hyperlink" Target="https://bit.ly/40UojSI" TargetMode="External"/><Relationship Id="rId142" Type="http://schemas.openxmlformats.org/officeDocument/2006/relationships/hyperlink" Target="https://bit.ly/3Bd2Vk3" TargetMode="External"/><Relationship Id="rId141" Type="http://schemas.openxmlformats.org/officeDocument/2006/relationships/hyperlink" Target="https://bit.ly/4ecrRqi" TargetMode="External"/><Relationship Id="rId140" Type="http://schemas.openxmlformats.org/officeDocument/2006/relationships/hyperlink" Target="https://bit.ly/3Mh852e" TargetMode="External"/><Relationship Id="rId5" Type="http://schemas.openxmlformats.org/officeDocument/2006/relationships/hyperlink" Target="https://www.linkedin.com/company/the-trackr" TargetMode="External"/><Relationship Id="rId147" Type="http://schemas.openxmlformats.org/officeDocument/2006/relationships/hyperlink" Target="https://bit.ly/3ZjLNTN" TargetMode="External"/><Relationship Id="rId6" Type="http://schemas.openxmlformats.org/officeDocument/2006/relationships/hyperlink" Target="https://bit.ly/3TuofI4" TargetMode="External"/><Relationship Id="rId146" Type="http://schemas.openxmlformats.org/officeDocument/2006/relationships/hyperlink" Target="https://bit.ly/4enWKbw" TargetMode="External"/><Relationship Id="rId7" Type="http://schemas.openxmlformats.org/officeDocument/2006/relationships/hyperlink" Target="https://the-trackr.com/uk-technology/" TargetMode="External"/><Relationship Id="rId145" Type="http://schemas.openxmlformats.org/officeDocument/2006/relationships/hyperlink" Target="https://bit.ly/4e00m3p" TargetMode="External"/><Relationship Id="rId8" Type="http://schemas.openxmlformats.org/officeDocument/2006/relationships/hyperlink" Target="https://bit.ly/3m8H8CY" TargetMode="External"/><Relationship Id="rId144" Type="http://schemas.openxmlformats.org/officeDocument/2006/relationships/hyperlink" Target="https://bit.ly/3TqN5Zy" TargetMode="External"/><Relationship Id="rId73" Type="http://schemas.openxmlformats.org/officeDocument/2006/relationships/hyperlink" Target="https://bit.ly/4gjYgNt" TargetMode="External"/><Relationship Id="rId72" Type="http://schemas.openxmlformats.org/officeDocument/2006/relationships/hyperlink" Target="https://bit.ly/4d2sAcI" TargetMode="External"/><Relationship Id="rId75" Type="http://schemas.openxmlformats.org/officeDocument/2006/relationships/hyperlink" Target="https://bit.ly/47wLlE0" TargetMode="External"/><Relationship Id="rId74" Type="http://schemas.openxmlformats.org/officeDocument/2006/relationships/hyperlink" Target="https://bit.ly/3AW3m28" TargetMode="External"/><Relationship Id="rId77" Type="http://schemas.openxmlformats.org/officeDocument/2006/relationships/hyperlink" Target="https://bit.ly/4enZKnV" TargetMode="External"/><Relationship Id="rId76" Type="http://schemas.openxmlformats.org/officeDocument/2006/relationships/hyperlink" Target="https://bit.ly/4eggMFf" TargetMode="External"/><Relationship Id="rId79" Type="http://schemas.openxmlformats.org/officeDocument/2006/relationships/hyperlink" Target="https://bit.ly/4eGOHGX" TargetMode="External"/><Relationship Id="rId78" Type="http://schemas.openxmlformats.org/officeDocument/2006/relationships/hyperlink" Target="https://bit.ly/41ifin1" TargetMode="External"/><Relationship Id="rId71" Type="http://schemas.openxmlformats.org/officeDocument/2006/relationships/hyperlink" Target="https://bit.ly/3MK9jBS" TargetMode="External"/><Relationship Id="rId70" Type="http://schemas.openxmlformats.org/officeDocument/2006/relationships/hyperlink" Target="https://bit.ly/3Ktfie5" TargetMode="External"/><Relationship Id="rId139" Type="http://schemas.openxmlformats.org/officeDocument/2006/relationships/hyperlink" Target="https://bit.ly/3ZlzOoK" TargetMode="External"/><Relationship Id="rId138" Type="http://schemas.openxmlformats.org/officeDocument/2006/relationships/hyperlink" Target="https://bit.ly/4d5uuZS" TargetMode="External"/><Relationship Id="rId137" Type="http://schemas.openxmlformats.org/officeDocument/2006/relationships/hyperlink" Target="https://bit.ly/3XFahpp" TargetMode="External"/><Relationship Id="rId132" Type="http://schemas.openxmlformats.org/officeDocument/2006/relationships/hyperlink" Target="https://bit.ly/4a4ikPX" TargetMode="External"/><Relationship Id="rId131" Type="http://schemas.openxmlformats.org/officeDocument/2006/relationships/hyperlink" Target="https://bit.ly/47nKntw" TargetMode="External"/><Relationship Id="rId130" Type="http://schemas.openxmlformats.org/officeDocument/2006/relationships/hyperlink" Target="https://bit.ly/4dRwztL" TargetMode="External"/><Relationship Id="rId136" Type="http://schemas.openxmlformats.org/officeDocument/2006/relationships/hyperlink" Target="https://bit.ly/3TqXaFK" TargetMode="External"/><Relationship Id="rId135" Type="http://schemas.openxmlformats.org/officeDocument/2006/relationships/hyperlink" Target="https://bit.ly/3ZiodXJ" TargetMode="External"/><Relationship Id="rId134" Type="http://schemas.openxmlformats.org/officeDocument/2006/relationships/hyperlink" Target="https://bit.ly/47wKIKE" TargetMode="External"/><Relationship Id="rId133" Type="http://schemas.openxmlformats.org/officeDocument/2006/relationships/hyperlink" Target="https://bit.ly/3XgwHfi" TargetMode="External"/><Relationship Id="rId62" Type="http://schemas.openxmlformats.org/officeDocument/2006/relationships/hyperlink" Target="https://bit.ly/3U8Q4oA" TargetMode="External"/><Relationship Id="rId61" Type="http://schemas.openxmlformats.org/officeDocument/2006/relationships/hyperlink" Target="https://bit.ly/4g63wUP" TargetMode="External"/><Relationship Id="rId64" Type="http://schemas.openxmlformats.org/officeDocument/2006/relationships/hyperlink" Target="https://bit.ly/45NmlXa" TargetMode="External"/><Relationship Id="rId63" Type="http://schemas.openxmlformats.org/officeDocument/2006/relationships/hyperlink" Target="https://bit.ly/478lHFj" TargetMode="External"/><Relationship Id="rId66" Type="http://schemas.openxmlformats.org/officeDocument/2006/relationships/hyperlink" Target="https://bit.ly/4e34OhM" TargetMode="External"/><Relationship Id="rId172" Type="http://schemas.openxmlformats.org/officeDocument/2006/relationships/hyperlink" Target="https://bit.ly/3AZ5fep" TargetMode="External"/><Relationship Id="rId65" Type="http://schemas.openxmlformats.org/officeDocument/2006/relationships/hyperlink" Target="https://bit.ly/4e0VMSM" TargetMode="External"/><Relationship Id="rId171" Type="http://schemas.openxmlformats.org/officeDocument/2006/relationships/hyperlink" Target="https://bit.ly/4ejwH59" TargetMode="External"/><Relationship Id="rId68" Type="http://schemas.openxmlformats.org/officeDocument/2006/relationships/hyperlink" Target="https://bit.ly/436m14R" TargetMode="External"/><Relationship Id="rId170" Type="http://schemas.openxmlformats.org/officeDocument/2006/relationships/hyperlink" Target="https://bit.ly/3XFqjPX" TargetMode="External"/><Relationship Id="rId67" Type="http://schemas.openxmlformats.org/officeDocument/2006/relationships/hyperlink" Target="https://bit.ly/3XMtFkA" TargetMode="External"/><Relationship Id="rId60" Type="http://schemas.openxmlformats.org/officeDocument/2006/relationships/hyperlink" Target="https://bit.ly/3ZO7OXK" TargetMode="External"/><Relationship Id="rId165" Type="http://schemas.openxmlformats.org/officeDocument/2006/relationships/hyperlink" Target="https://bit.ly/3m6oR9v" TargetMode="External"/><Relationship Id="rId69" Type="http://schemas.openxmlformats.org/officeDocument/2006/relationships/hyperlink" Target="https://bit.ly/3ZkTwkH" TargetMode="External"/><Relationship Id="rId164" Type="http://schemas.openxmlformats.org/officeDocument/2006/relationships/hyperlink" Target="https://bit.ly/3ZopVXE" TargetMode="External"/><Relationship Id="rId163" Type="http://schemas.openxmlformats.org/officeDocument/2006/relationships/hyperlink" Target="https://bit.ly/3I12IRd" TargetMode="External"/><Relationship Id="rId162" Type="http://schemas.openxmlformats.org/officeDocument/2006/relationships/hyperlink" Target="https://bit.ly/3uPdmrl" TargetMode="External"/><Relationship Id="rId169" Type="http://schemas.openxmlformats.org/officeDocument/2006/relationships/hyperlink" Target="https://bit.ly/4e6c50r" TargetMode="External"/><Relationship Id="rId168" Type="http://schemas.openxmlformats.org/officeDocument/2006/relationships/hyperlink" Target="https://bit.ly/3TpHOBv" TargetMode="External"/><Relationship Id="rId167" Type="http://schemas.openxmlformats.org/officeDocument/2006/relationships/hyperlink" Target="https://bit.ly/3XkF3CJ" TargetMode="External"/><Relationship Id="rId166" Type="http://schemas.openxmlformats.org/officeDocument/2006/relationships/hyperlink" Target="https://bit.ly/3Kudqlo" TargetMode="External"/><Relationship Id="rId51" Type="http://schemas.openxmlformats.org/officeDocument/2006/relationships/hyperlink" Target="https://bit.ly/3L4QsRK" TargetMode="External"/><Relationship Id="rId50" Type="http://schemas.openxmlformats.org/officeDocument/2006/relationships/hyperlink" Target="http://bit.ly/3ZEGPh4" TargetMode="External"/><Relationship Id="rId53" Type="http://schemas.openxmlformats.org/officeDocument/2006/relationships/hyperlink" Target="https://bit.ly/4dMfMIt" TargetMode="External"/><Relationship Id="rId52" Type="http://schemas.openxmlformats.org/officeDocument/2006/relationships/hyperlink" Target="https://bit.ly/40L5u4T" TargetMode="External"/><Relationship Id="rId55" Type="http://schemas.openxmlformats.org/officeDocument/2006/relationships/hyperlink" Target="https://bit.ly/4e0NLxb" TargetMode="External"/><Relationship Id="rId161" Type="http://schemas.openxmlformats.org/officeDocument/2006/relationships/hyperlink" Target="https://bit.ly/3Qx603w" TargetMode="External"/><Relationship Id="rId54" Type="http://schemas.openxmlformats.org/officeDocument/2006/relationships/hyperlink" Target="http://bit.ly/40GchwM" TargetMode="External"/><Relationship Id="rId160" Type="http://schemas.openxmlformats.org/officeDocument/2006/relationships/hyperlink" Target="https://bit.ly/47qN8ua" TargetMode="External"/><Relationship Id="rId57" Type="http://schemas.openxmlformats.org/officeDocument/2006/relationships/hyperlink" Target="https://bit.ly/4cO5Blt" TargetMode="External"/><Relationship Id="rId56" Type="http://schemas.openxmlformats.org/officeDocument/2006/relationships/hyperlink" Target="https://bit.ly/3McnOj3" TargetMode="External"/><Relationship Id="rId159" Type="http://schemas.openxmlformats.org/officeDocument/2006/relationships/hyperlink" Target="https://bit.ly/3O84CmH" TargetMode="External"/><Relationship Id="rId59" Type="http://schemas.openxmlformats.org/officeDocument/2006/relationships/hyperlink" Target="https://bit.ly/4gct3vJ" TargetMode="External"/><Relationship Id="rId154" Type="http://schemas.openxmlformats.org/officeDocument/2006/relationships/hyperlink" Target="https://bit.ly/4gr3pn5" TargetMode="External"/><Relationship Id="rId58" Type="http://schemas.openxmlformats.org/officeDocument/2006/relationships/hyperlink" Target="http://bit.ly/3KuiTIX" TargetMode="External"/><Relationship Id="rId153" Type="http://schemas.openxmlformats.org/officeDocument/2006/relationships/hyperlink" Target="https://bit.ly/3XHtIy2" TargetMode="External"/><Relationship Id="rId152" Type="http://schemas.openxmlformats.org/officeDocument/2006/relationships/hyperlink" Target="https://bit.ly/47ro6Lf" TargetMode="External"/><Relationship Id="rId151" Type="http://schemas.openxmlformats.org/officeDocument/2006/relationships/hyperlink" Target="https://bit.ly/3KdsRNg" TargetMode="External"/><Relationship Id="rId158" Type="http://schemas.openxmlformats.org/officeDocument/2006/relationships/hyperlink" Target="https://bit.ly/40GWnCk" TargetMode="External"/><Relationship Id="rId157" Type="http://schemas.openxmlformats.org/officeDocument/2006/relationships/hyperlink" Target="https://bit.ly/4dX7Q7i" TargetMode="External"/><Relationship Id="rId156" Type="http://schemas.openxmlformats.org/officeDocument/2006/relationships/hyperlink" Target="https://bit.ly/4e0hbeu" TargetMode="External"/><Relationship Id="rId155" Type="http://schemas.openxmlformats.org/officeDocument/2006/relationships/hyperlink" Target="https://bit.ly/3XpDPG5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bit.ly/3Ktfie5" TargetMode="External"/><Relationship Id="rId42" Type="http://schemas.openxmlformats.org/officeDocument/2006/relationships/hyperlink" Target="https://bit.ly/4eggMFf" TargetMode="External"/><Relationship Id="rId41" Type="http://schemas.openxmlformats.org/officeDocument/2006/relationships/hyperlink" Target="https://bit.ly/3TqQEPf" TargetMode="External"/><Relationship Id="rId44" Type="http://schemas.openxmlformats.org/officeDocument/2006/relationships/hyperlink" Target="https://bit.ly/45sPdnL" TargetMode="External"/><Relationship Id="rId43" Type="http://schemas.openxmlformats.org/officeDocument/2006/relationships/hyperlink" Target="https://bit.ly/3ZlZT76" TargetMode="External"/><Relationship Id="rId46" Type="http://schemas.openxmlformats.org/officeDocument/2006/relationships/hyperlink" Target="https://bit.ly/46dbd62" TargetMode="External"/><Relationship Id="rId45" Type="http://schemas.openxmlformats.org/officeDocument/2006/relationships/hyperlink" Target="https://bit.ly/3XG8hgy" TargetMode="External"/><Relationship Id="rId107" Type="http://schemas.openxmlformats.org/officeDocument/2006/relationships/hyperlink" Target="https://bit.ly/47nKntw" TargetMode="External"/><Relationship Id="rId106" Type="http://schemas.openxmlformats.org/officeDocument/2006/relationships/hyperlink" Target="https://bit.ly/4d030pr" TargetMode="External"/><Relationship Id="rId105" Type="http://schemas.openxmlformats.org/officeDocument/2006/relationships/hyperlink" Target="https://bit.ly/4dRwztL" TargetMode="External"/><Relationship Id="rId104" Type="http://schemas.openxmlformats.org/officeDocument/2006/relationships/hyperlink" Target="https://bit.ly/4emR0i8" TargetMode="External"/><Relationship Id="rId109" Type="http://schemas.openxmlformats.org/officeDocument/2006/relationships/hyperlink" Target="https://bit.ly/3XgwHfi" TargetMode="External"/><Relationship Id="rId108" Type="http://schemas.openxmlformats.org/officeDocument/2006/relationships/hyperlink" Target="https://bit.ly/4a4ikPX" TargetMode="External"/><Relationship Id="rId48" Type="http://schemas.openxmlformats.org/officeDocument/2006/relationships/hyperlink" Target="https://bit.ly/3KcUoPf" TargetMode="External"/><Relationship Id="rId47" Type="http://schemas.openxmlformats.org/officeDocument/2006/relationships/hyperlink" Target="https://bit.ly/47K10jv" TargetMode="External"/><Relationship Id="rId49" Type="http://schemas.openxmlformats.org/officeDocument/2006/relationships/hyperlink" Target="https://bit.ly/4guV41t" TargetMode="External"/><Relationship Id="rId103" Type="http://schemas.openxmlformats.org/officeDocument/2006/relationships/hyperlink" Target="https://bit.ly/3rjYtM7" TargetMode="External"/><Relationship Id="rId102" Type="http://schemas.openxmlformats.org/officeDocument/2006/relationships/hyperlink" Target="https://bit.ly/4e34OhM" TargetMode="External"/><Relationship Id="rId101" Type="http://schemas.openxmlformats.org/officeDocument/2006/relationships/hyperlink" Target="https://bit.ly/40EcL6l" TargetMode="External"/><Relationship Id="rId100" Type="http://schemas.openxmlformats.org/officeDocument/2006/relationships/hyperlink" Target="https://bit.ly/45Eb6j2" TargetMode="External"/><Relationship Id="rId31" Type="http://schemas.openxmlformats.org/officeDocument/2006/relationships/hyperlink" Target="https://mufgub.wd3.myworkdayjobs.com/en-US/MUFG-Careers/details/MUFG-2025-UK-Technology-Analyst-Programme--Trading-Platforms_10066940-WD-1?q=2025+analyst&amp;source=JB%E2%80%9310560&amp;locations=6b43f47df6f201dc06f8def14e013e4e&amp;jobFamilyGroup=553089c2012e012c3f694d883455ba18" TargetMode="External"/><Relationship Id="rId30" Type="http://schemas.openxmlformats.org/officeDocument/2006/relationships/hyperlink" Target="https://bit.ly/3Kbsoex" TargetMode="External"/><Relationship Id="rId33" Type="http://schemas.openxmlformats.org/officeDocument/2006/relationships/hyperlink" Target="https://bit.ly/4g7eCZM" TargetMode="External"/><Relationship Id="rId32" Type="http://schemas.openxmlformats.org/officeDocument/2006/relationships/hyperlink" Target="http://bit.ly/40GchwM" TargetMode="External"/><Relationship Id="rId35" Type="http://schemas.openxmlformats.org/officeDocument/2006/relationships/hyperlink" Target="https://bit.ly/3Te5RmS" TargetMode="External"/><Relationship Id="rId34" Type="http://schemas.openxmlformats.org/officeDocument/2006/relationships/hyperlink" Target="https://bit.ly/3McnOj3" TargetMode="External"/><Relationship Id="rId37" Type="http://schemas.openxmlformats.org/officeDocument/2006/relationships/hyperlink" Target="https://bit.ly/478lHFj" TargetMode="External"/><Relationship Id="rId36" Type="http://schemas.openxmlformats.org/officeDocument/2006/relationships/hyperlink" Target="https://bit.ly/3U8Q4oA" TargetMode="External"/><Relationship Id="rId39" Type="http://schemas.openxmlformats.org/officeDocument/2006/relationships/hyperlink" Target="https://bit.ly/4dSyKNC" TargetMode="External"/><Relationship Id="rId38" Type="http://schemas.openxmlformats.org/officeDocument/2006/relationships/hyperlink" Target="https://bit.ly/3MG1Sf4" TargetMode="External"/><Relationship Id="rId20" Type="http://schemas.openxmlformats.org/officeDocument/2006/relationships/hyperlink" Target="https://bit.ly/3nMbE6f" TargetMode="External"/><Relationship Id="rId22" Type="http://schemas.openxmlformats.org/officeDocument/2006/relationships/hyperlink" Target="https://bit.ly/40LeW8n" TargetMode="External"/><Relationship Id="rId21" Type="http://schemas.openxmlformats.org/officeDocument/2006/relationships/hyperlink" Target="https://bit.ly/44xdKXY" TargetMode="External"/><Relationship Id="rId24" Type="http://schemas.openxmlformats.org/officeDocument/2006/relationships/hyperlink" Target="https://bit.ly/3yoemEK" TargetMode="External"/><Relationship Id="rId23" Type="http://schemas.openxmlformats.org/officeDocument/2006/relationships/hyperlink" Target="https://bit.ly/46FAV4z" TargetMode="External"/><Relationship Id="rId129" Type="http://schemas.openxmlformats.org/officeDocument/2006/relationships/hyperlink" Target="https://bit.ly/3XHtIy2" TargetMode="External"/><Relationship Id="rId128" Type="http://schemas.openxmlformats.org/officeDocument/2006/relationships/hyperlink" Target="https://bit.ly/47ro6Lf" TargetMode="External"/><Relationship Id="rId127" Type="http://schemas.openxmlformats.org/officeDocument/2006/relationships/hyperlink" Target="https://bit.ly/3KdsRNg" TargetMode="External"/><Relationship Id="rId126" Type="http://schemas.openxmlformats.org/officeDocument/2006/relationships/hyperlink" Target="https://bit.ly/3B2tFE2" TargetMode="External"/><Relationship Id="rId26" Type="http://schemas.openxmlformats.org/officeDocument/2006/relationships/hyperlink" Target="https://bit.ly/4gkWXxL" TargetMode="External"/><Relationship Id="rId121" Type="http://schemas.openxmlformats.org/officeDocument/2006/relationships/hyperlink" Target="https://bit.ly/4e00m3p" TargetMode="External"/><Relationship Id="rId25" Type="http://schemas.openxmlformats.org/officeDocument/2006/relationships/hyperlink" Target="https://bit.ly/3WUwDmk" TargetMode="External"/><Relationship Id="rId120" Type="http://schemas.openxmlformats.org/officeDocument/2006/relationships/hyperlink" Target="https://bit.ly/3TqN5Zy" TargetMode="External"/><Relationship Id="rId28" Type="http://schemas.openxmlformats.org/officeDocument/2006/relationships/hyperlink" Target="https://bit.ly/44z6xGp" TargetMode="External"/><Relationship Id="rId27" Type="http://schemas.openxmlformats.org/officeDocument/2006/relationships/hyperlink" Target="https://bit.ly/3WxfQEL" TargetMode="External"/><Relationship Id="rId125" Type="http://schemas.openxmlformats.org/officeDocument/2006/relationships/hyperlink" Target="https://bit.ly/3Zqwzwn" TargetMode="External"/><Relationship Id="rId29" Type="http://schemas.openxmlformats.org/officeDocument/2006/relationships/hyperlink" Target="https://bit.ly/3YyIJTw" TargetMode="External"/><Relationship Id="rId124" Type="http://schemas.openxmlformats.org/officeDocument/2006/relationships/hyperlink" Target="https://bit.ly/3tPCI80" TargetMode="External"/><Relationship Id="rId123" Type="http://schemas.openxmlformats.org/officeDocument/2006/relationships/hyperlink" Target="https://bit.ly/3ZjLNTN" TargetMode="External"/><Relationship Id="rId122" Type="http://schemas.openxmlformats.org/officeDocument/2006/relationships/hyperlink" Target="https://bit.ly/4enWKbw" TargetMode="External"/><Relationship Id="rId95" Type="http://schemas.openxmlformats.org/officeDocument/2006/relationships/hyperlink" Target="https://bit.ly/3XptqKF" TargetMode="External"/><Relationship Id="rId94" Type="http://schemas.openxmlformats.org/officeDocument/2006/relationships/hyperlink" Target="https://bit.ly/3TsoovN" TargetMode="External"/><Relationship Id="rId97" Type="http://schemas.openxmlformats.org/officeDocument/2006/relationships/hyperlink" Target="https://bit.ly/3rSJ0Tw" TargetMode="External"/><Relationship Id="rId96" Type="http://schemas.openxmlformats.org/officeDocument/2006/relationships/hyperlink" Target="https://bit.ly/3nHtBTs" TargetMode="External"/><Relationship Id="rId11" Type="http://schemas.openxmlformats.org/officeDocument/2006/relationships/hyperlink" Target="https://bit.ly/3LxDLyH" TargetMode="External"/><Relationship Id="rId99" Type="http://schemas.openxmlformats.org/officeDocument/2006/relationships/hyperlink" Target="https://bit.ly/3FAjzcA" TargetMode="External"/><Relationship Id="rId10" Type="http://schemas.openxmlformats.org/officeDocument/2006/relationships/hyperlink" Target="https://bit.ly/3KqdRwu" TargetMode="External"/><Relationship Id="rId98" Type="http://schemas.openxmlformats.org/officeDocument/2006/relationships/hyperlink" Target="https://bit.ly/3m81goW" TargetMode="External"/><Relationship Id="rId13" Type="http://schemas.openxmlformats.org/officeDocument/2006/relationships/hyperlink" Target="https://bit.ly/3Yz0W3h" TargetMode="External"/><Relationship Id="rId12" Type="http://schemas.openxmlformats.org/officeDocument/2006/relationships/hyperlink" Target="https://bit.ly/3WtJfj3" TargetMode="External"/><Relationship Id="rId91" Type="http://schemas.openxmlformats.org/officeDocument/2006/relationships/hyperlink" Target="https://bit.ly/3McN4FT" TargetMode="External"/><Relationship Id="rId90" Type="http://schemas.openxmlformats.org/officeDocument/2006/relationships/hyperlink" Target="https://bit.ly/47nDloI" TargetMode="External"/><Relationship Id="rId93" Type="http://schemas.openxmlformats.org/officeDocument/2006/relationships/hyperlink" Target="https://bit.ly/3XrJwUb" TargetMode="External"/><Relationship Id="rId92" Type="http://schemas.openxmlformats.org/officeDocument/2006/relationships/hyperlink" Target="https://bit.ly/4e35rIk" TargetMode="External"/><Relationship Id="rId118" Type="http://schemas.openxmlformats.org/officeDocument/2006/relationships/hyperlink" Target="https://bit.ly/3Bd2Vk3" TargetMode="External"/><Relationship Id="rId117" Type="http://schemas.openxmlformats.org/officeDocument/2006/relationships/hyperlink" Target="https://bit.ly/4ecrRqi" TargetMode="External"/><Relationship Id="rId116" Type="http://schemas.openxmlformats.org/officeDocument/2006/relationships/hyperlink" Target="https://bit.ly/3Mh852e" TargetMode="External"/><Relationship Id="rId115" Type="http://schemas.openxmlformats.org/officeDocument/2006/relationships/hyperlink" Target="https://bit.ly/3ZlzOoK" TargetMode="External"/><Relationship Id="rId119" Type="http://schemas.openxmlformats.org/officeDocument/2006/relationships/hyperlink" Target="https://bit.ly/40UojSI" TargetMode="External"/><Relationship Id="rId15" Type="http://schemas.openxmlformats.org/officeDocument/2006/relationships/hyperlink" Target="https://bit.ly/4daZc4Q" TargetMode="External"/><Relationship Id="rId110" Type="http://schemas.openxmlformats.org/officeDocument/2006/relationships/hyperlink" Target="https://bit.ly/47wKIKE" TargetMode="External"/><Relationship Id="rId14" Type="http://schemas.openxmlformats.org/officeDocument/2006/relationships/hyperlink" Target="https://bit.ly/3t46eX2" TargetMode="External"/><Relationship Id="rId17" Type="http://schemas.openxmlformats.org/officeDocument/2006/relationships/hyperlink" Target="https://bit.ly/3WxfQEL" TargetMode="External"/><Relationship Id="rId16" Type="http://schemas.openxmlformats.org/officeDocument/2006/relationships/hyperlink" Target="https://bit.ly/4gkWXxL" TargetMode="External"/><Relationship Id="rId19" Type="http://schemas.openxmlformats.org/officeDocument/2006/relationships/hyperlink" Target="https://bnpparibas.tal.net/vx/lang-en-GB/mobile-0/brand-2/user-807236/xf-74fcfccade6f/candidate/so/pm/1/pl/1/opp/2151-London-2025-Graduate-Programme-Technology/en-GB" TargetMode="External"/><Relationship Id="rId114" Type="http://schemas.openxmlformats.org/officeDocument/2006/relationships/hyperlink" Target="https://bit.ly/4d5uuZS" TargetMode="External"/><Relationship Id="rId18" Type="http://schemas.openxmlformats.org/officeDocument/2006/relationships/hyperlink" Target="https://bit.ly/3lYgwos" TargetMode="External"/><Relationship Id="rId113" Type="http://schemas.openxmlformats.org/officeDocument/2006/relationships/hyperlink" Target="https://bit.ly/3XFahpp" TargetMode="External"/><Relationship Id="rId112" Type="http://schemas.openxmlformats.org/officeDocument/2006/relationships/hyperlink" Target="https://bit.ly/3TqXaFK" TargetMode="External"/><Relationship Id="rId111" Type="http://schemas.openxmlformats.org/officeDocument/2006/relationships/hyperlink" Target="https://bit.ly/3ZiodXJ" TargetMode="External"/><Relationship Id="rId84" Type="http://schemas.openxmlformats.org/officeDocument/2006/relationships/hyperlink" Target="https://bit.ly/3KxF6G8" TargetMode="External"/><Relationship Id="rId83" Type="http://schemas.openxmlformats.org/officeDocument/2006/relationships/hyperlink" Target="https://bit.ly/3MeQgRe" TargetMode="External"/><Relationship Id="rId86" Type="http://schemas.openxmlformats.org/officeDocument/2006/relationships/hyperlink" Target="http://bit.ly/40ZZ1mh" TargetMode="External"/><Relationship Id="rId85" Type="http://schemas.openxmlformats.org/officeDocument/2006/relationships/hyperlink" Target="https://bit.ly/3MgkIdS" TargetMode="External"/><Relationship Id="rId88" Type="http://schemas.openxmlformats.org/officeDocument/2006/relationships/hyperlink" Target="https://bit.ly/4e34OhM" TargetMode="External"/><Relationship Id="rId150" Type="http://schemas.openxmlformats.org/officeDocument/2006/relationships/hyperlink" Target="https://bit.ly/3MG9w9p" TargetMode="External"/><Relationship Id="rId87" Type="http://schemas.openxmlformats.org/officeDocument/2006/relationships/hyperlink" Target="https://bit.ly/3RbH4zG" TargetMode="External"/><Relationship Id="rId89" Type="http://schemas.openxmlformats.org/officeDocument/2006/relationships/hyperlink" Target="https://bit.ly/3U5Sl3X" TargetMode="External"/><Relationship Id="rId80" Type="http://schemas.openxmlformats.org/officeDocument/2006/relationships/hyperlink" Target="http://bit.ly/3MasuG6" TargetMode="External"/><Relationship Id="rId82" Type="http://schemas.openxmlformats.org/officeDocument/2006/relationships/hyperlink" Target="https://bit.ly/4d2sAcI" TargetMode="External"/><Relationship Id="rId81" Type="http://schemas.openxmlformats.org/officeDocument/2006/relationships/hyperlink" Target="https://bit.ly/3tOFytG" TargetMode="External"/><Relationship Id="rId1" Type="http://schemas.openxmlformats.org/officeDocument/2006/relationships/hyperlink" Target="https://www.the-trackr.com/uk-technology" TargetMode="External"/><Relationship Id="rId2" Type="http://schemas.openxmlformats.org/officeDocument/2006/relationships/hyperlink" Target="https://the-trackr.com/" TargetMode="External"/><Relationship Id="rId3" Type="http://schemas.openxmlformats.org/officeDocument/2006/relationships/hyperlink" Target="https://chat.whatsapp.com/KpC5XzeUK4aKmpUKOeaOFI" TargetMode="External"/><Relationship Id="rId149" Type="http://schemas.openxmlformats.org/officeDocument/2006/relationships/hyperlink" Target="https://bit.ly/3AZ5fep" TargetMode="External"/><Relationship Id="rId4" Type="http://schemas.openxmlformats.org/officeDocument/2006/relationships/hyperlink" Target="https://www.instagram.com/trackr_uk/" TargetMode="External"/><Relationship Id="rId148" Type="http://schemas.openxmlformats.org/officeDocument/2006/relationships/hyperlink" Target="https://bit.ly/4ejwH59" TargetMode="External"/><Relationship Id="rId9" Type="http://schemas.openxmlformats.org/officeDocument/2006/relationships/hyperlink" Target="https://bit.ly/3XHkG4t" TargetMode="External"/><Relationship Id="rId143" Type="http://schemas.openxmlformats.org/officeDocument/2006/relationships/hyperlink" Target="https://bit.ly/3Kudqlo" TargetMode="External"/><Relationship Id="rId142" Type="http://schemas.openxmlformats.org/officeDocument/2006/relationships/hyperlink" Target="https://bit.ly/3m6oR9v" TargetMode="External"/><Relationship Id="rId141" Type="http://schemas.openxmlformats.org/officeDocument/2006/relationships/hyperlink" Target="https://bit.ly/3ZopVXE" TargetMode="External"/><Relationship Id="rId140" Type="http://schemas.openxmlformats.org/officeDocument/2006/relationships/hyperlink" Target="https://bit.ly/3I12IRd" TargetMode="External"/><Relationship Id="rId5" Type="http://schemas.openxmlformats.org/officeDocument/2006/relationships/hyperlink" Target="https://www.linkedin.com/company/the-trackr" TargetMode="External"/><Relationship Id="rId147" Type="http://schemas.openxmlformats.org/officeDocument/2006/relationships/hyperlink" Target="https://bit.ly/3XFqjPX" TargetMode="External"/><Relationship Id="rId6" Type="http://schemas.openxmlformats.org/officeDocument/2006/relationships/hyperlink" Target="https://bit.ly/47K10jv" TargetMode="External"/><Relationship Id="rId146" Type="http://schemas.openxmlformats.org/officeDocument/2006/relationships/hyperlink" Target="https://bit.ly/4e6c50r" TargetMode="External"/><Relationship Id="rId7" Type="http://schemas.openxmlformats.org/officeDocument/2006/relationships/hyperlink" Target="https://the-trackr.com/uk-technology/" TargetMode="External"/><Relationship Id="rId145" Type="http://schemas.openxmlformats.org/officeDocument/2006/relationships/hyperlink" Target="https://bit.ly/3TpHOBv" TargetMode="External"/><Relationship Id="rId8" Type="http://schemas.openxmlformats.org/officeDocument/2006/relationships/hyperlink" Target="https://bit.ly/410zFop" TargetMode="External"/><Relationship Id="rId144" Type="http://schemas.openxmlformats.org/officeDocument/2006/relationships/hyperlink" Target="https://bit.ly/3XkF3CJ" TargetMode="External"/><Relationship Id="rId73" Type="http://schemas.openxmlformats.org/officeDocument/2006/relationships/hyperlink" Target="https://bit.ly/3Ek8uM6" TargetMode="External"/><Relationship Id="rId72" Type="http://schemas.openxmlformats.org/officeDocument/2006/relationships/hyperlink" Target="https://bit.ly/3mc7uE7" TargetMode="External"/><Relationship Id="rId75" Type="http://schemas.openxmlformats.org/officeDocument/2006/relationships/hyperlink" Target="https://bit.ly/412NPWf" TargetMode="External"/><Relationship Id="rId74" Type="http://schemas.openxmlformats.org/officeDocument/2006/relationships/hyperlink" Target="https://bit.ly/3nNsPUN" TargetMode="External"/><Relationship Id="rId77" Type="http://schemas.openxmlformats.org/officeDocument/2006/relationships/hyperlink" Target="http://bit.ly/3ZEGPh4" TargetMode="External"/><Relationship Id="rId76" Type="http://schemas.openxmlformats.org/officeDocument/2006/relationships/hyperlink" Target="http://bit.ly/3KuiTIX" TargetMode="External"/><Relationship Id="rId79" Type="http://schemas.openxmlformats.org/officeDocument/2006/relationships/hyperlink" Target="https://bit.ly/40Jh9RK" TargetMode="External"/><Relationship Id="rId78" Type="http://schemas.openxmlformats.org/officeDocument/2006/relationships/hyperlink" Target="https://bit.ly/40L5u4T" TargetMode="External"/><Relationship Id="rId71" Type="http://schemas.openxmlformats.org/officeDocument/2006/relationships/hyperlink" Target="https://bit.ly/3U8FePj" TargetMode="External"/><Relationship Id="rId70" Type="http://schemas.openxmlformats.org/officeDocument/2006/relationships/hyperlink" Target="https://bit.ly/43grzdo" TargetMode="External"/><Relationship Id="rId139" Type="http://schemas.openxmlformats.org/officeDocument/2006/relationships/hyperlink" Target="https://bit.ly/3uPdmrl" TargetMode="External"/><Relationship Id="rId138" Type="http://schemas.openxmlformats.org/officeDocument/2006/relationships/hyperlink" Target="https://bit.ly/3Qx603w" TargetMode="External"/><Relationship Id="rId137" Type="http://schemas.openxmlformats.org/officeDocument/2006/relationships/hyperlink" Target="https://bit.ly/47qN8ua" TargetMode="External"/><Relationship Id="rId132" Type="http://schemas.openxmlformats.org/officeDocument/2006/relationships/hyperlink" Target="https://bit.ly/3XpDPG5" TargetMode="External"/><Relationship Id="rId131" Type="http://schemas.openxmlformats.org/officeDocument/2006/relationships/hyperlink" Target="https://bit.ly/4gr3pn5" TargetMode="External"/><Relationship Id="rId130" Type="http://schemas.openxmlformats.org/officeDocument/2006/relationships/hyperlink" Target="https://bit.ly/3m4gifh" TargetMode="External"/><Relationship Id="rId136" Type="http://schemas.openxmlformats.org/officeDocument/2006/relationships/hyperlink" Target="https://bit.ly/3O84CmH" TargetMode="External"/><Relationship Id="rId135" Type="http://schemas.openxmlformats.org/officeDocument/2006/relationships/hyperlink" Target="https://bit.ly/40GWnCk" TargetMode="External"/><Relationship Id="rId134" Type="http://schemas.openxmlformats.org/officeDocument/2006/relationships/hyperlink" Target="https://bit.ly/4dX7Q7i" TargetMode="External"/><Relationship Id="rId133" Type="http://schemas.openxmlformats.org/officeDocument/2006/relationships/hyperlink" Target="https://bit.ly/4e0hbeu" TargetMode="External"/><Relationship Id="rId62" Type="http://schemas.openxmlformats.org/officeDocument/2006/relationships/hyperlink" Target="https://bit.ly/4e26Ped" TargetMode="External"/><Relationship Id="rId61" Type="http://schemas.openxmlformats.org/officeDocument/2006/relationships/hyperlink" Target="https://bit.ly/3R9NMFQ" TargetMode="External"/><Relationship Id="rId64" Type="http://schemas.openxmlformats.org/officeDocument/2006/relationships/hyperlink" Target="https://bit.ly/46CV8Y9" TargetMode="External"/><Relationship Id="rId63" Type="http://schemas.openxmlformats.org/officeDocument/2006/relationships/hyperlink" Target="https://bit.ly/3AW3m28" TargetMode="External"/><Relationship Id="rId66" Type="http://schemas.openxmlformats.org/officeDocument/2006/relationships/hyperlink" Target="https://bit.ly/3Mb40MW" TargetMode="External"/><Relationship Id="rId65" Type="http://schemas.openxmlformats.org/officeDocument/2006/relationships/hyperlink" Target="https://bit.ly/3MIHJVJ" TargetMode="External"/><Relationship Id="rId68" Type="http://schemas.openxmlformats.org/officeDocument/2006/relationships/hyperlink" Target="http://bit.ly/3Mfyq0k" TargetMode="External"/><Relationship Id="rId67" Type="http://schemas.openxmlformats.org/officeDocument/2006/relationships/hyperlink" Target="https://bit.ly/436m14R" TargetMode="External"/><Relationship Id="rId60" Type="http://schemas.openxmlformats.org/officeDocument/2006/relationships/hyperlink" Target="https://bit.ly/3XGQyWw" TargetMode="External"/><Relationship Id="rId69" Type="http://schemas.openxmlformats.org/officeDocument/2006/relationships/hyperlink" Target="https://bit.ly/3zyf0ME" TargetMode="External"/><Relationship Id="rId51" Type="http://schemas.openxmlformats.org/officeDocument/2006/relationships/hyperlink" Target="https://bit.ly/4e3mQ3L" TargetMode="External"/><Relationship Id="rId50" Type="http://schemas.openxmlformats.org/officeDocument/2006/relationships/hyperlink" Target="http://bit.ly/3UaxIDR" TargetMode="External"/><Relationship Id="rId53" Type="http://schemas.openxmlformats.org/officeDocument/2006/relationships/hyperlink" Target="https://bit.ly/3zwxb5G" TargetMode="External"/><Relationship Id="rId52" Type="http://schemas.openxmlformats.org/officeDocument/2006/relationships/hyperlink" Target="https://bit.ly/3wBoVTn" TargetMode="External"/><Relationship Id="rId55" Type="http://schemas.openxmlformats.org/officeDocument/2006/relationships/hyperlink" Target="https://bit.ly/3m8H8CY" TargetMode="External"/><Relationship Id="rId54" Type="http://schemas.openxmlformats.org/officeDocument/2006/relationships/hyperlink" Target="https://bit.ly/3ZGMqDD" TargetMode="External"/><Relationship Id="rId57" Type="http://schemas.openxmlformats.org/officeDocument/2006/relationships/hyperlink" Target="https://bit.ly/3QVzmrE" TargetMode="External"/><Relationship Id="rId56" Type="http://schemas.openxmlformats.org/officeDocument/2006/relationships/hyperlink" Target="https://bit.ly/3zprtWv" TargetMode="External"/><Relationship Id="rId59" Type="http://schemas.openxmlformats.org/officeDocument/2006/relationships/hyperlink" Target="https://bit.ly/3K8adGI" TargetMode="External"/><Relationship Id="rId154" Type="http://schemas.openxmlformats.org/officeDocument/2006/relationships/hyperlink" Target="https://bit.ly/3B3g3bw" TargetMode="External"/><Relationship Id="rId58" Type="http://schemas.openxmlformats.org/officeDocument/2006/relationships/hyperlink" Target="https://bit.ly/3XI4aip" TargetMode="External"/><Relationship Id="rId153" Type="http://schemas.openxmlformats.org/officeDocument/2006/relationships/hyperlink" Target="https://bit.ly/47nV8w2" TargetMode="External"/><Relationship Id="rId152" Type="http://schemas.openxmlformats.org/officeDocument/2006/relationships/hyperlink" Target="https://bit.ly/3zf9QZE" TargetMode="External"/><Relationship Id="rId151" Type="http://schemas.openxmlformats.org/officeDocument/2006/relationships/hyperlink" Target="https://bit.ly/3Mgp4S1" TargetMode="External"/><Relationship Id="rId15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bit.ly/3KqdRwu" TargetMode="External"/><Relationship Id="rId42" Type="http://schemas.openxmlformats.org/officeDocument/2006/relationships/hyperlink" Target="https://bit.ly/3t46eX2" TargetMode="External"/><Relationship Id="rId41" Type="http://schemas.openxmlformats.org/officeDocument/2006/relationships/hyperlink" Target="https://bit.ly/3WtJfj3" TargetMode="External"/><Relationship Id="rId44" Type="http://schemas.openxmlformats.org/officeDocument/2006/relationships/hyperlink" Target="https://bit.ly/3lYgwos" TargetMode="External"/><Relationship Id="rId43" Type="http://schemas.openxmlformats.org/officeDocument/2006/relationships/hyperlink" Target="https://bit.ly/4gkWXxL" TargetMode="External"/><Relationship Id="rId46" Type="http://schemas.openxmlformats.org/officeDocument/2006/relationships/hyperlink" Target="https://bit.ly/40LeW8n" TargetMode="External"/><Relationship Id="rId45" Type="http://schemas.openxmlformats.org/officeDocument/2006/relationships/hyperlink" Target="https://bit.ly/3nMbE6f" TargetMode="External"/><Relationship Id="rId107" Type="http://schemas.openxmlformats.org/officeDocument/2006/relationships/hyperlink" Target="https://bit.ly/4ecrRqi" TargetMode="External"/><Relationship Id="rId106" Type="http://schemas.openxmlformats.org/officeDocument/2006/relationships/hyperlink" Target="https://bit.ly/3Mh852e" TargetMode="External"/><Relationship Id="rId105" Type="http://schemas.openxmlformats.org/officeDocument/2006/relationships/hyperlink" Target="https://bit.ly/3ZlzOoK" TargetMode="External"/><Relationship Id="rId104" Type="http://schemas.openxmlformats.org/officeDocument/2006/relationships/hyperlink" Target="https://bit.ly/4d5uuZS" TargetMode="External"/><Relationship Id="rId109" Type="http://schemas.openxmlformats.org/officeDocument/2006/relationships/hyperlink" Target="https://bit.ly/40UojSI" TargetMode="External"/><Relationship Id="rId108" Type="http://schemas.openxmlformats.org/officeDocument/2006/relationships/hyperlink" Target="https://bit.ly/3Bd2Vk3" TargetMode="External"/><Relationship Id="rId48" Type="http://schemas.openxmlformats.org/officeDocument/2006/relationships/hyperlink" Target="https://bit.ly/4gkWXxL" TargetMode="External"/><Relationship Id="rId47" Type="http://schemas.openxmlformats.org/officeDocument/2006/relationships/hyperlink" Target="https://bit.ly/3yoemEK" TargetMode="External"/><Relationship Id="rId49" Type="http://schemas.openxmlformats.org/officeDocument/2006/relationships/hyperlink" Target="https://bit.ly/3zprtWv" TargetMode="External"/><Relationship Id="rId103" Type="http://schemas.openxmlformats.org/officeDocument/2006/relationships/hyperlink" Target="https://bit.ly/3XFahpp" TargetMode="External"/><Relationship Id="rId102" Type="http://schemas.openxmlformats.org/officeDocument/2006/relationships/hyperlink" Target="https://bit.ly/3TqXaFK" TargetMode="External"/><Relationship Id="rId101" Type="http://schemas.openxmlformats.org/officeDocument/2006/relationships/hyperlink" Target="https://bit.ly/3ZiodXJ" TargetMode="External"/><Relationship Id="rId100" Type="http://schemas.openxmlformats.org/officeDocument/2006/relationships/hyperlink" Target="https://bit.ly/47wKIKE" TargetMode="External"/><Relationship Id="rId31" Type="http://schemas.openxmlformats.org/officeDocument/2006/relationships/hyperlink" Target="https://bit.ly/3MK9jBS" TargetMode="External"/><Relationship Id="rId30" Type="http://schemas.openxmlformats.org/officeDocument/2006/relationships/hyperlink" Target="https://bit.ly/3Ktfie5" TargetMode="External"/><Relationship Id="rId33" Type="http://schemas.openxmlformats.org/officeDocument/2006/relationships/hyperlink" Target="https://bit.ly/4emZVjq" TargetMode="External"/><Relationship Id="rId32" Type="http://schemas.openxmlformats.org/officeDocument/2006/relationships/hyperlink" Target="https://bit.ly/4eggMFf" TargetMode="External"/><Relationship Id="rId35" Type="http://schemas.openxmlformats.org/officeDocument/2006/relationships/hyperlink" Target="https://bit.ly/47u7uT9" TargetMode="External"/><Relationship Id="rId34" Type="http://schemas.openxmlformats.org/officeDocument/2006/relationships/hyperlink" Target="https://bit.ly/3QVPhYq" TargetMode="External"/><Relationship Id="rId37" Type="http://schemas.openxmlformats.org/officeDocument/2006/relationships/hyperlink" Target="https://bit.ly/3XKBJlu" TargetMode="External"/><Relationship Id="rId36" Type="http://schemas.openxmlformats.org/officeDocument/2006/relationships/hyperlink" Target="https://bit.ly/3zBKhyc" TargetMode="External"/><Relationship Id="rId39" Type="http://schemas.openxmlformats.org/officeDocument/2006/relationships/hyperlink" Target="https://bit.ly/4ekFlA8" TargetMode="External"/><Relationship Id="rId38" Type="http://schemas.openxmlformats.org/officeDocument/2006/relationships/hyperlink" Target="https://bit.ly/3KcUoPf" TargetMode="External"/><Relationship Id="rId20" Type="http://schemas.openxmlformats.org/officeDocument/2006/relationships/hyperlink" Target="https://bit.ly/3MG1Sf4" TargetMode="External"/><Relationship Id="rId22" Type="http://schemas.openxmlformats.org/officeDocument/2006/relationships/hyperlink" Target="https://invent.ge/4d5a3MP" TargetMode="External"/><Relationship Id="rId21" Type="http://schemas.openxmlformats.org/officeDocument/2006/relationships/hyperlink" Target="https://bit.ly/4dSyKNC" TargetMode="External"/><Relationship Id="rId24" Type="http://schemas.openxmlformats.org/officeDocument/2006/relationships/hyperlink" Target="https://bit.ly/4elsjCC" TargetMode="External"/><Relationship Id="rId23" Type="http://schemas.openxmlformats.org/officeDocument/2006/relationships/hyperlink" Target="https://bit.ly/3XH2jMA" TargetMode="External"/><Relationship Id="rId129" Type="http://schemas.openxmlformats.org/officeDocument/2006/relationships/hyperlink" Target="https://bit.ly/3uPdmrl" TargetMode="External"/><Relationship Id="rId128" Type="http://schemas.openxmlformats.org/officeDocument/2006/relationships/hyperlink" Target="https://bit.ly/3Qx603w" TargetMode="External"/><Relationship Id="rId127" Type="http://schemas.openxmlformats.org/officeDocument/2006/relationships/hyperlink" Target="https://bit.ly/47qN8ua" TargetMode="External"/><Relationship Id="rId126" Type="http://schemas.openxmlformats.org/officeDocument/2006/relationships/hyperlink" Target="https://bit.ly/3O84CmH" TargetMode="External"/><Relationship Id="rId26" Type="http://schemas.openxmlformats.org/officeDocument/2006/relationships/hyperlink" Target="https://bit.ly/4e34OhM" TargetMode="External"/><Relationship Id="rId121" Type="http://schemas.openxmlformats.org/officeDocument/2006/relationships/hyperlink" Target="https://bit.ly/4gr3pn5" TargetMode="External"/><Relationship Id="rId25" Type="http://schemas.openxmlformats.org/officeDocument/2006/relationships/hyperlink" Target="https://bit.ly/4e2QJ46" TargetMode="External"/><Relationship Id="rId120" Type="http://schemas.openxmlformats.org/officeDocument/2006/relationships/hyperlink" Target="https://bit.ly/3m4gifh" TargetMode="External"/><Relationship Id="rId28" Type="http://schemas.openxmlformats.org/officeDocument/2006/relationships/hyperlink" Target="https://bit.ly/4e2ETXB" TargetMode="External"/><Relationship Id="rId27" Type="http://schemas.openxmlformats.org/officeDocument/2006/relationships/hyperlink" Target="https://bit.ly/3XtznXb" TargetMode="External"/><Relationship Id="rId125" Type="http://schemas.openxmlformats.org/officeDocument/2006/relationships/hyperlink" Target="https://bit.ly/40GWnCk" TargetMode="External"/><Relationship Id="rId29" Type="http://schemas.openxmlformats.org/officeDocument/2006/relationships/hyperlink" Target="https://bit.ly/4d8u9pB" TargetMode="External"/><Relationship Id="rId124" Type="http://schemas.openxmlformats.org/officeDocument/2006/relationships/hyperlink" Target="https://bit.ly/4dX7Q7i" TargetMode="External"/><Relationship Id="rId123" Type="http://schemas.openxmlformats.org/officeDocument/2006/relationships/hyperlink" Target="https://bit.ly/4e0hbeu" TargetMode="External"/><Relationship Id="rId122" Type="http://schemas.openxmlformats.org/officeDocument/2006/relationships/hyperlink" Target="https://bit.ly/3XpDPG5" TargetMode="External"/><Relationship Id="rId95" Type="http://schemas.openxmlformats.org/officeDocument/2006/relationships/hyperlink" Target="https://bit.ly/3Kbsoex" TargetMode="External"/><Relationship Id="rId94" Type="http://schemas.openxmlformats.org/officeDocument/2006/relationships/hyperlink" Target="https://bit.ly/4dRwztL" TargetMode="External"/><Relationship Id="rId97" Type="http://schemas.openxmlformats.org/officeDocument/2006/relationships/hyperlink" Target="https://bit.ly/47nKntw" TargetMode="External"/><Relationship Id="rId96" Type="http://schemas.openxmlformats.org/officeDocument/2006/relationships/hyperlink" Target="https://bit.ly/4d030pr" TargetMode="External"/><Relationship Id="rId11" Type="http://schemas.openxmlformats.org/officeDocument/2006/relationships/hyperlink" Target="https://bit.ly/46SpQgs" TargetMode="External"/><Relationship Id="rId99" Type="http://schemas.openxmlformats.org/officeDocument/2006/relationships/hyperlink" Target="https://bit.ly/3XgwHfi" TargetMode="External"/><Relationship Id="rId10" Type="http://schemas.openxmlformats.org/officeDocument/2006/relationships/hyperlink" Target="https://bit.ly/3zwxb5G" TargetMode="External"/><Relationship Id="rId98" Type="http://schemas.openxmlformats.org/officeDocument/2006/relationships/hyperlink" Target="https://bit.ly/4a4ikPX" TargetMode="External"/><Relationship Id="rId13" Type="http://schemas.openxmlformats.org/officeDocument/2006/relationships/hyperlink" Target="https://bit.ly/3L4QsRK" TargetMode="External"/><Relationship Id="rId12" Type="http://schemas.openxmlformats.org/officeDocument/2006/relationships/hyperlink" Target="http://bit.ly/3ZEGPh4" TargetMode="External"/><Relationship Id="rId91" Type="http://schemas.openxmlformats.org/officeDocument/2006/relationships/hyperlink" Target="https://bit.ly/4e34OhM" TargetMode="External"/><Relationship Id="rId90" Type="http://schemas.openxmlformats.org/officeDocument/2006/relationships/hyperlink" Target="https://bit.ly/40EcL6l" TargetMode="External"/><Relationship Id="rId93" Type="http://schemas.openxmlformats.org/officeDocument/2006/relationships/hyperlink" Target="https://bit.ly/4emR0i8" TargetMode="External"/><Relationship Id="rId92" Type="http://schemas.openxmlformats.org/officeDocument/2006/relationships/hyperlink" Target="https://bit.ly/3rjYtM7" TargetMode="External"/><Relationship Id="rId118" Type="http://schemas.openxmlformats.org/officeDocument/2006/relationships/hyperlink" Target="https://bit.ly/47ro6Lf" TargetMode="External"/><Relationship Id="rId117" Type="http://schemas.openxmlformats.org/officeDocument/2006/relationships/hyperlink" Target="https://bit.ly/3KdsRNg" TargetMode="External"/><Relationship Id="rId116" Type="http://schemas.openxmlformats.org/officeDocument/2006/relationships/hyperlink" Target="https://bit.ly/3B2tFE2" TargetMode="External"/><Relationship Id="rId115" Type="http://schemas.openxmlformats.org/officeDocument/2006/relationships/hyperlink" Target="https://bit.ly/3Zqwzwn" TargetMode="External"/><Relationship Id="rId119" Type="http://schemas.openxmlformats.org/officeDocument/2006/relationships/hyperlink" Target="https://bit.ly/3XHtIy2" TargetMode="External"/><Relationship Id="rId15" Type="http://schemas.openxmlformats.org/officeDocument/2006/relationships/hyperlink" Target="https://bit.ly/4e6pl4Y" TargetMode="External"/><Relationship Id="rId110" Type="http://schemas.openxmlformats.org/officeDocument/2006/relationships/hyperlink" Target="https://bit.ly/3TqN5Zy" TargetMode="External"/><Relationship Id="rId14" Type="http://schemas.openxmlformats.org/officeDocument/2006/relationships/hyperlink" Target="https://bit.ly/40L5u4T" TargetMode="External"/><Relationship Id="rId17" Type="http://schemas.openxmlformats.org/officeDocument/2006/relationships/hyperlink" Target="https://bit.ly/45w9rwx" TargetMode="External"/><Relationship Id="rId16" Type="http://schemas.openxmlformats.org/officeDocument/2006/relationships/hyperlink" Target="http://bit.ly/3KuiTIX" TargetMode="External"/><Relationship Id="rId19" Type="http://schemas.openxmlformats.org/officeDocument/2006/relationships/hyperlink" Target="https://bit.ly/4d1TFg9" TargetMode="External"/><Relationship Id="rId114" Type="http://schemas.openxmlformats.org/officeDocument/2006/relationships/hyperlink" Target="https://bit.ly/3tPCI80" TargetMode="External"/><Relationship Id="rId18" Type="http://schemas.openxmlformats.org/officeDocument/2006/relationships/hyperlink" Target="https://bit.ly/436m14R" TargetMode="External"/><Relationship Id="rId113" Type="http://schemas.openxmlformats.org/officeDocument/2006/relationships/hyperlink" Target="https://bit.ly/3ZjLNTN" TargetMode="External"/><Relationship Id="rId112" Type="http://schemas.openxmlformats.org/officeDocument/2006/relationships/hyperlink" Target="https://bit.ly/4enWKbw" TargetMode="External"/><Relationship Id="rId111" Type="http://schemas.openxmlformats.org/officeDocument/2006/relationships/hyperlink" Target="https://bit.ly/4e00m3p" TargetMode="External"/><Relationship Id="rId84" Type="http://schemas.openxmlformats.org/officeDocument/2006/relationships/hyperlink" Target="https://bit.ly/3XptqKF" TargetMode="External"/><Relationship Id="rId83" Type="http://schemas.openxmlformats.org/officeDocument/2006/relationships/hyperlink" Target="https://bit.ly/3TsoovN" TargetMode="External"/><Relationship Id="rId86" Type="http://schemas.openxmlformats.org/officeDocument/2006/relationships/hyperlink" Target="https://bit.ly/3rSJ0Tw" TargetMode="External"/><Relationship Id="rId85" Type="http://schemas.openxmlformats.org/officeDocument/2006/relationships/hyperlink" Target="https://bit.ly/3nHtBTs" TargetMode="External"/><Relationship Id="rId88" Type="http://schemas.openxmlformats.org/officeDocument/2006/relationships/hyperlink" Target="https://bit.ly/3FAjzcA" TargetMode="External"/><Relationship Id="rId87" Type="http://schemas.openxmlformats.org/officeDocument/2006/relationships/hyperlink" Target="https://bit.ly/3m81goW" TargetMode="External"/><Relationship Id="rId89" Type="http://schemas.openxmlformats.org/officeDocument/2006/relationships/hyperlink" Target="https://bit.ly/45Eb6j2" TargetMode="External"/><Relationship Id="rId80" Type="http://schemas.openxmlformats.org/officeDocument/2006/relationships/hyperlink" Target="https://bit.ly/3McN4FT" TargetMode="External"/><Relationship Id="rId82" Type="http://schemas.openxmlformats.org/officeDocument/2006/relationships/hyperlink" Target="https://bit.ly/3XrJwUb" TargetMode="External"/><Relationship Id="rId81" Type="http://schemas.openxmlformats.org/officeDocument/2006/relationships/hyperlink" Target="https://bit.ly/4e35rIk" TargetMode="External"/><Relationship Id="rId1" Type="http://schemas.openxmlformats.org/officeDocument/2006/relationships/hyperlink" Target="https://www.the-trackr.com/uk-technology" TargetMode="External"/><Relationship Id="rId2" Type="http://schemas.openxmlformats.org/officeDocument/2006/relationships/hyperlink" Target="https://the-trackr.com/" TargetMode="External"/><Relationship Id="rId3" Type="http://schemas.openxmlformats.org/officeDocument/2006/relationships/hyperlink" Target="https://chat.whatsapp.com/KpC5XzeUK4aKmpUKOeaOFI" TargetMode="External"/><Relationship Id="rId4" Type="http://schemas.openxmlformats.org/officeDocument/2006/relationships/hyperlink" Target="https://www.instagram.com/trackr_uk/" TargetMode="External"/><Relationship Id="rId148" Type="http://schemas.openxmlformats.org/officeDocument/2006/relationships/drawing" Target="../drawings/drawing3.xml"/><Relationship Id="rId9" Type="http://schemas.openxmlformats.org/officeDocument/2006/relationships/hyperlink" Target="https://bit.ly/4eYQeJp" TargetMode="External"/><Relationship Id="rId143" Type="http://schemas.openxmlformats.org/officeDocument/2006/relationships/hyperlink" Target="https://bit.ly/3MG9w9p" TargetMode="External"/><Relationship Id="rId142" Type="http://schemas.openxmlformats.org/officeDocument/2006/relationships/hyperlink" Target="https://bit.ly/3AZ5fep" TargetMode="External"/><Relationship Id="rId141" Type="http://schemas.openxmlformats.org/officeDocument/2006/relationships/hyperlink" Target="https://bit.ly/4ejwH59" TargetMode="External"/><Relationship Id="rId140" Type="http://schemas.openxmlformats.org/officeDocument/2006/relationships/hyperlink" Target="https://bit.ly/3XFqjPX" TargetMode="External"/><Relationship Id="rId5" Type="http://schemas.openxmlformats.org/officeDocument/2006/relationships/hyperlink" Target="https://www.linkedin.com/company/the-trackr" TargetMode="External"/><Relationship Id="rId147" Type="http://schemas.openxmlformats.org/officeDocument/2006/relationships/hyperlink" Target="https://bit.ly/3B3g3bw" TargetMode="External"/><Relationship Id="rId6" Type="http://schemas.openxmlformats.org/officeDocument/2006/relationships/hyperlink" Target="https://bit.ly/4ekFlA8" TargetMode="External"/><Relationship Id="rId146" Type="http://schemas.openxmlformats.org/officeDocument/2006/relationships/hyperlink" Target="https://bit.ly/47nV8w2" TargetMode="External"/><Relationship Id="rId7" Type="http://schemas.openxmlformats.org/officeDocument/2006/relationships/hyperlink" Target="https://the-trackr.com/uk-technology/" TargetMode="External"/><Relationship Id="rId145" Type="http://schemas.openxmlformats.org/officeDocument/2006/relationships/hyperlink" Target="https://bit.ly/3zf9QZE" TargetMode="External"/><Relationship Id="rId8" Type="http://schemas.openxmlformats.org/officeDocument/2006/relationships/hyperlink" Target="https://bit.ly/410zFop" TargetMode="External"/><Relationship Id="rId144" Type="http://schemas.openxmlformats.org/officeDocument/2006/relationships/hyperlink" Target="https://bit.ly/3Mgp4S1" TargetMode="External"/><Relationship Id="rId73" Type="http://schemas.openxmlformats.org/officeDocument/2006/relationships/hyperlink" Target="https://bit.ly/3MeQgRe" TargetMode="External"/><Relationship Id="rId72" Type="http://schemas.openxmlformats.org/officeDocument/2006/relationships/hyperlink" Target="https://bit.ly/4d2sAcI" TargetMode="External"/><Relationship Id="rId75" Type="http://schemas.openxmlformats.org/officeDocument/2006/relationships/hyperlink" Target="https://bit.ly/3MgkIdS" TargetMode="External"/><Relationship Id="rId74" Type="http://schemas.openxmlformats.org/officeDocument/2006/relationships/hyperlink" Target="https://bit.ly/3KxF6G8" TargetMode="External"/><Relationship Id="rId77" Type="http://schemas.openxmlformats.org/officeDocument/2006/relationships/hyperlink" Target="https://bit.ly/3RbH4zG" TargetMode="External"/><Relationship Id="rId76" Type="http://schemas.openxmlformats.org/officeDocument/2006/relationships/hyperlink" Target="http://bit.ly/40ZZ1mh" TargetMode="External"/><Relationship Id="rId79" Type="http://schemas.openxmlformats.org/officeDocument/2006/relationships/hyperlink" Target="https://bit.ly/47nDloI" TargetMode="External"/><Relationship Id="rId78" Type="http://schemas.openxmlformats.org/officeDocument/2006/relationships/hyperlink" Target="https://bit.ly/3U5Sl3X" TargetMode="External"/><Relationship Id="rId71" Type="http://schemas.openxmlformats.org/officeDocument/2006/relationships/hyperlink" Target="https://bit.ly/3tOFytG" TargetMode="External"/><Relationship Id="rId70" Type="http://schemas.openxmlformats.org/officeDocument/2006/relationships/hyperlink" Target="http://bit.ly/3MasuG6" TargetMode="External"/><Relationship Id="rId139" Type="http://schemas.openxmlformats.org/officeDocument/2006/relationships/hyperlink" Target="https://bit.ly/41ifin1" TargetMode="External"/><Relationship Id="rId138" Type="http://schemas.openxmlformats.org/officeDocument/2006/relationships/hyperlink" Target="https://bit.ly/4e6c50r" TargetMode="External"/><Relationship Id="rId137" Type="http://schemas.openxmlformats.org/officeDocument/2006/relationships/hyperlink" Target="https://bit.ly/3TpHOBv" TargetMode="External"/><Relationship Id="rId132" Type="http://schemas.openxmlformats.org/officeDocument/2006/relationships/hyperlink" Target="https://bit.ly/3m6oR9v" TargetMode="External"/><Relationship Id="rId131" Type="http://schemas.openxmlformats.org/officeDocument/2006/relationships/hyperlink" Target="https://bit.ly/3ZopVXE" TargetMode="External"/><Relationship Id="rId130" Type="http://schemas.openxmlformats.org/officeDocument/2006/relationships/hyperlink" Target="https://bit.ly/3I12IRd" TargetMode="External"/><Relationship Id="rId136" Type="http://schemas.openxmlformats.org/officeDocument/2006/relationships/hyperlink" Target="https://bit.ly/3XkF3CJ" TargetMode="External"/><Relationship Id="rId135" Type="http://schemas.openxmlformats.org/officeDocument/2006/relationships/hyperlink" Target="https://bit.ly/3U8Q4oA" TargetMode="External"/><Relationship Id="rId134" Type="http://schemas.openxmlformats.org/officeDocument/2006/relationships/hyperlink" Target="https://bit.ly/3Kudqlo" TargetMode="External"/><Relationship Id="rId133" Type="http://schemas.openxmlformats.org/officeDocument/2006/relationships/hyperlink" Target="https://bit.ly/3McnOj3" TargetMode="External"/><Relationship Id="rId62" Type="http://schemas.openxmlformats.org/officeDocument/2006/relationships/hyperlink" Target="https://bit.ly/43grzdo" TargetMode="External"/><Relationship Id="rId61" Type="http://schemas.openxmlformats.org/officeDocument/2006/relationships/hyperlink" Target="https://bit.ly/3zyf0ME" TargetMode="External"/><Relationship Id="rId64" Type="http://schemas.openxmlformats.org/officeDocument/2006/relationships/hyperlink" Target="https://bit.ly/3mc7uE7" TargetMode="External"/><Relationship Id="rId63" Type="http://schemas.openxmlformats.org/officeDocument/2006/relationships/hyperlink" Target="https://bit.ly/3U8FePj" TargetMode="External"/><Relationship Id="rId66" Type="http://schemas.openxmlformats.org/officeDocument/2006/relationships/hyperlink" Target="https://bit.ly/3nNsPUN" TargetMode="External"/><Relationship Id="rId65" Type="http://schemas.openxmlformats.org/officeDocument/2006/relationships/hyperlink" Target="https://bit.ly/3Ek8uM6" TargetMode="External"/><Relationship Id="rId68" Type="http://schemas.openxmlformats.org/officeDocument/2006/relationships/hyperlink" Target="http://bit.ly/40GchwM" TargetMode="External"/><Relationship Id="rId67" Type="http://schemas.openxmlformats.org/officeDocument/2006/relationships/hyperlink" Target="https://bit.ly/412NPWf" TargetMode="External"/><Relationship Id="rId60" Type="http://schemas.openxmlformats.org/officeDocument/2006/relationships/hyperlink" Target="http://bit.ly/3Mfyq0k" TargetMode="External"/><Relationship Id="rId69" Type="http://schemas.openxmlformats.org/officeDocument/2006/relationships/hyperlink" Target="https://bit.ly/40Jh9RK" TargetMode="External"/><Relationship Id="rId51" Type="http://schemas.openxmlformats.org/officeDocument/2006/relationships/hyperlink" Target="https://bit.ly/3XI4aip" TargetMode="External"/><Relationship Id="rId50" Type="http://schemas.openxmlformats.org/officeDocument/2006/relationships/hyperlink" Target="https://bit.ly/3QVzmrE" TargetMode="External"/><Relationship Id="rId53" Type="http://schemas.openxmlformats.org/officeDocument/2006/relationships/hyperlink" Target="https://bit.ly/3XGQyWw" TargetMode="External"/><Relationship Id="rId52" Type="http://schemas.openxmlformats.org/officeDocument/2006/relationships/hyperlink" Target="https://bit.ly/3K8adGI" TargetMode="External"/><Relationship Id="rId55" Type="http://schemas.openxmlformats.org/officeDocument/2006/relationships/hyperlink" Target="https://bit.ly/4e26Ped" TargetMode="External"/><Relationship Id="rId54" Type="http://schemas.openxmlformats.org/officeDocument/2006/relationships/hyperlink" Target="https://bit.ly/3R9NMFQ" TargetMode="External"/><Relationship Id="rId57" Type="http://schemas.openxmlformats.org/officeDocument/2006/relationships/hyperlink" Target="https://bit.ly/46CV8Y9" TargetMode="External"/><Relationship Id="rId56" Type="http://schemas.openxmlformats.org/officeDocument/2006/relationships/hyperlink" Target="https://bit.ly/3AW3m28" TargetMode="External"/><Relationship Id="rId59" Type="http://schemas.openxmlformats.org/officeDocument/2006/relationships/hyperlink" Target="https://bit.ly/3Mb40MW" TargetMode="External"/><Relationship Id="rId58" Type="http://schemas.openxmlformats.org/officeDocument/2006/relationships/hyperlink" Target="https://bit.ly/3MIHJVJ" TargetMode="External"/></Relationships>
</file>

<file path=xl/worksheets/_rels/sheet4.xml.rels><?xml version="1.0" encoding="UTF-8" standalone="yes"?><Relationships xmlns="http://schemas.openxmlformats.org/package/2006/relationships"><Relationship Id="rId31" Type="http://schemas.openxmlformats.org/officeDocument/2006/relationships/hyperlink" Target="https://bit.ly/41ifin1" TargetMode="External"/><Relationship Id="rId30" Type="http://schemas.openxmlformats.org/officeDocument/2006/relationships/hyperlink" Target="https://bit.ly/3zyf0ME" TargetMode="External"/><Relationship Id="rId32" Type="http://schemas.openxmlformats.org/officeDocument/2006/relationships/drawing" Target="../drawings/drawing4.xml"/><Relationship Id="rId20" Type="http://schemas.openxmlformats.org/officeDocument/2006/relationships/hyperlink" Target="https://bit.ly/43grzdo" TargetMode="External"/><Relationship Id="rId22" Type="http://schemas.openxmlformats.org/officeDocument/2006/relationships/hyperlink" Target="http://bit.ly/3UaxIDR" TargetMode="External"/><Relationship Id="rId21" Type="http://schemas.openxmlformats.org/officeDocument/2006/relationships/hyperlink" Target="http://bit.ly/3Mfyq0k" TargetMode="External"/><Relationship Id="rId24" Type="http://schemas.openxmlformats.org/officeDocument/2006/relationships/hyperlink" Target="https://bit.ly/3zwxb5G" TargetMode="External"/><Relationship Id="rId23" Type="http://schemas.openxmlformats.org/officeDocument/2006/relationships/hyperlink" Target="http://bit.ly/3KuiTIX" TargetMode="External"/><Relationship Id="rId26" Type="http://schemas.openxmlformats.org/officeDocument/2006/relationships/hyperlink" Target="https://bit.ly/412NPWf" TargetMode="External"/><Relationship Id="rId25" Type="http://schemas.openxmlformats.org/officeDocument/2006/relationships/hyperlink" Target="http://bit.ly/3Ku01bZ" TargetMode="External"/><Relationship Id="rId28" Type="http://schemas.openxmlformats.org/officeDocument/2006/relationships/hyperlink" Target="https://bit.ly/43i7d3x" TargetMode="External"/><Relationship Id="rId27" Type="http://schemas.openxmlformats.org/officeDocument/2006/relationships/hyperlink" Target="https://bit.ly/3MgkIdS" TargetMode="External"/><Relationship Id="rId29" Type="http://schemas.openxmlformats.org/officeDocument/2006/relationships/hyperlink" Target="https://bit.ly/3KxF6G8" TargetMode="External"/><Relationship Id="rId11" Type="http://schemas.openxmlformats.org/officeDocument/2006/relationships/hyperlink" Target="https://bit.ly/3PxJsOA" TargetMode="External"/><Relationship Id="rId10" Type="http://schemas.openxmlformats.org/officeDocument/2006/relationships/hyperlink" Target="https://bit.ly/40LeW8n" TargetMode="External"/><Relationship Id="rId13" Type="http://schemas.openxmlformats.org/officeDocument/2006/relationships/hyperlink" Target="https://bit.ly/3Z8x5Pr" TargetMode="External"/><Relationship Id="rId12" Type="http://schemas.openxmlformats.org/officeDocument/2006/relationships/hyperlink" Target="http://bit.ly/40GchwM" TargetMode="External"/><Relationship Id="rId15" Type="http://schemas.openxmlformats.org/officeDocument/2006/relationships/hyperlink" Target="https://bit.ly/4dXJWbw" TargetMode="External"/><Relationship Id="rId14" Type="http://schemas.openxmlformats.org/officeDocument/2006/relationships/hyperlink" Target="https://bit.ly/3McnOj3" TargetMode="External"/><Relationship Id="rId17" Type="http://schemas.openxmlformats.org/officeDocument/2006/relationships/hyperlink" Target="https://bit.ly/4ebxvc4" TargetMode="External"/><Relationship Id="rId16" Type="http://schemas.openxmlformats.org/officeDocument/2006/relationships/hyperlink" Target="https://bit.ly/4gkWXxL" TargetMode="External"/><Relationship Id="rId19" Type="http://schemas.openxmlformats.org/officeDocument/2006/relationships/hyperlink" Target="https://bit.ly/4gAQAGX" TargetMode="External"/><Relationship Id="rId18" Type="http://schemas.openxmlformats.org/officeDocument/2006/relationships/hyperlink" Target="https://bit.ly/3Ktfie5" TargetMode="External"/><Relationship Id="rId1" Type="http://schemas.openxmlformats.org/officeDocument/2006/relationships/hyperlink" Target="https://www.the-trackr.com/uk-technology" TargetMode="External"/><Relationship Id="rId2" Type="http://schemas.openxmlformats.org/officeDocument/2006/relationships/hyperlink" Target="https://the-trackr.com/" TargetMode="External"/><Relationship Id="rId3" Type="http://schemas.openxmlformats.org/officeDocument/2006/relationships/hyperlink" Target="https://chat.whatsapp.com/KpC5XzeUK4aKmpUKOeaOFI" TargetMode="External"/><Relationship Id="rId4" Type="http://schemas.openxmlformats.org/officeDocument/2006/relationships/hyperlink" Target="https://www.instagram.com/trackr_uk/" TargetMode="External"/><Relationship Id="rId9" Type="http://schemas.openxmlformats.org/officeDocument/2006/relationships/hyperlink" Target="https://bit.ly/4bsMtJd" TargetMode="External"/><Relationship Id="rId5" Type="http://schemas.openxmlformats.org/officeDocument/2006/relationships/hyperlink" Target="https://www.linkedin.com/company/the-trackr" TargetMode="External"/><Relationship Id="rId6" Type="http://schemas.openxmlformats.org/officeDocument/2006/relationships/hyperlink" Target="https://bit.ly/4gAQAGX" TargetMode="External"/><Relationship Id="rId7" Type="http://schemas.openxmlformats.org/officeDocument/2006/relationships/hyperlink" Target="https://the-trackr.com/uk-technology/" TargetMode="External"/><Relationship Id="rId8" Type="http://schemas.openxmlformats.org/officeDocument/2006/relationships/hyperlink" Target="https://bit.ly/410zFo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5.0"/>
  <cols>
    <col customWidth="1" hidden="1" min="1" max="1" width="29.43"/>
    <col customWidth="1" min="2" max="2" width="29.43"/>
    <col customWidth="1" min="3" max="3" width="47.0"/>
    <col customWidth="1" min="4" max="4" width="11.86"/>
    <col customWidth="1" min="5" max="5" width="12.86"/>
    <col customWidth="1" min="6" max="6" width="15.57"/>
    <col customWidth="1" min="7" max="7" width="5.43"/>
    <col customWidth="1" min="8" max="8" width="11.29"/>
    <col customWidth="1" min="9" max="9" width="14.43"/>
    <col customWidth="1" min="10" max="10" width="74.43"/>
    <col customWidth="1" hidden="1" min="11" max="11" width="74.43"/>
  </cols>
  <sheetData>
    <row r="1">
      <c r="A1" s="1"/>
      <c r="B1" s="2"/>
      <c r="C1" s="3" t="s">
        <v>0</v>
      </c>
    </row>
    <row r="2" ht="45.0" customHeight="1">
      <c r="A2" s="4"/>
      <c r="B2" s="4"/>
      <c r="C2" s="5" t="s">
        <v>1</v>
      </c>
      <c r="D2" s="6"/>
      <c r="E2" s="7" t="s">
        <v>2</v>
      </c>
      <c r="F2" s="7" t="s">
        <v>3</v>
      </c>
      <c r="G2" s="8" t="s">
        <v>4</v>
      </c>
      <c r="I2" s="7" t="s">
        <v>5</v>
      </c>
      <c r="J2" s="9"/>
      <c r="K2" s="9"/>
    </row>
    <row r="3" ht="12.75" customHeight="1">
      <c r="A3" s="10"/>
      <c r="B3" s="11" t="s">
        <v>6</v>
      </c>
      <c r="C3" s="12" t="s">
        <v>7</v>
      </c>
      <c r="K3" s="13"/>
    </row>
    <row r="4" ht="12.75" customHeight="1">
      <c r="A4" s="14" t="str">
        <f>IFERROR(__xludf.DUMMYFUNCTION("IMPORTRANGE(""https://docs.google.com/spreadsheets/d/1KFQM4NWY7BOu-GiF7fHPIBZvVxqnXi21KL0IYIfy5fg/edit?gid=306400843#gid=306400843"",""'UKTechnology_Summer Internships'!R2:AB400"")"),"")</f>
        <v/>
      </c>
      <c r="B4" s="14" t="str">
        <f>IFERROR(__xludf.DUMMYFUNCTION("""COMPUTED_VALUE"""),"Company Name")</f>
        <v>Company Name</v>
      </c>
      <c r="C4" s="14" t="str">
        <f>IFERROR(__xludf.DUMMYFUNCTION("""COMPUTED_VALUE"""),"Programme Name")</f>
        <v>Programme Name</v>
      </c>
      <c r="D4" s="15" t="str">
        <f>IFERROR(__xludf.DUMMYFUNCTION("""COMPUTED_VALUE"""),"Opening Date")</f>
        <v>Opening Date</v>
      </c>
      <c r="E4" s="16" t="str">
        <f>IFERROR(__xludf.DUMMYFUNCTION("""COMPUTED_VALUE"""),"Closing Date")</f>
        <v>Closing Date</v>
      </c>
      <c r="F4" s="17" t="str">
        <f>IFERROR(__xludf.DUMMYFUNCTION("""COMPUTED_VALUE"""),"Last Year Opening")</f>
        <v>Last Year Opening</v>
      </c>
      <c r="G4" s="14" t="str">
        <f>IFERROR(__xludf.DUMMYFUNCTION("""COMPUTED_VALUE"""),"CV")</f>
        <v>CV</v>
      </c>
      <c r="H4" s="18" t="str">
        <f>IFERROR(__xludf.DUMMYFUNCTION("""COMPUTED_VALUE"""),"Cover Letter")</f>
        <v>Cover Letter</v>
      </c>
      <c r="I4" s="14" t="str">
        <f>IFERROR(__xludf.DUMMYFUNCTION("""COMPUTED_VALUE"""),"Written Answers")</f>
        <v>Written Answers</v>
      </c>
      <c r="J4" s="19" t="str">
        <f>IFERROR(__xludf.DUMMYFUNCTION("""COMPUTED_VALUE"""),"Notes")</f>
        <v>Notes</v>
      </c>
      <c r="K4" s="19" t="str">
        <f>IFERROR(__xludf.DUMMYFUNCTION("""COMPUTED_VALUE"""),"Section Header")</f>
        <v>Section Header</v>
      </c>
    </row>
    <row r="5" ht="12.75" customHeight="1">
      <c r="A5" s="20"/>
      <c r="B5" s="21" t="str">
        <f>IFERROR(__xludf.DUMMYFUNCTION("""COMPUTED_VALUE"""),"Point72")</f>
        <v>Point72</v>
      </c>
      <c r="C5" s="22" t="str">
        <f>IFERROR(__xludf.DUMMYFUNCTION("""COMPUTED_VALUE"""),"2024 Software Engineer Internship")</f>
        <v>2024 Software Engineer Internship</v>
      </c>
      <c r="D5" s="23">
        <f>IFERROR(__xludf.DUMMYFUNCTION("""COMPUTED_VALUE"""),45352.0)</f>
        <v>45352</v>
      </c>
      <c r="E5" s="24">
        <f>IFERROR(__xludf.DUMMYFUNCTION("""COMPUTED_VALUE"""),45505.0)</f>
        <v>45505</v>
      </c>
      <c r="F5" s="25"/>
      <c r="G5" s="25" t="str">
        <f>IFERROR(__xludf.DUMMYFUNCTION("""COMPUTED_VALUE"""),"Yes")</f>
        <v>Yes</v>
      </c>
      <c r="H5" s="25" t="str">
        <f>IFERROR(__xludf.DUMMYFUNCTION("""COMPUTED_VALUE"""),"No")</f>
        <v>No</v>
      </c>
      <c r="I5" s="25" t="str">
        <f>IFERROR(__xludf.DUMMYFUNCTION("""COMPUTED_VALUE"""),"No")</f>
        <v>No</v>
      </c>
      <c r="J5" s="26"/>
      <c r="K5" s="26" t="str">
        <f>IFERROR(__xludf.DUMMYFUNCTION("""COMPUTED_VALUE"""),"NO")</f>
        <v>NO</v>
      </c>
    </row>
    <row r="6" ht="12.75" customHeight="1">
      <c r="A6" s="20"/>
      <c r="B6" s="21" t="str">
        <f>IFERROR(__xludf.DUMMYFUNCTION("""COMPUTED_VALUE"""),"Capstone")</f>
        <v>Capstone</v>
      </c>
      <c r="C6" s="27" t="str">
        <f>IFERROR(__xludf.DUMMYFUNCTION("""COMPUTED_VALUE"""),"2025 Summer Internship - Software Engineering")</f>
        <v>2025 Summer Internship - Software Engineering</v>
      </c>
      <c r="D6" s="23">
        <f>IFERROR(__xludf.DUMMYFUNCTION("""COMPUTED_VALUE"""),45443.0)</f>
        <v>45443</v>
      </c>
      <c r="E6" s="28"/>
      <c r="F6" s="25"/>
      <c r="G6" s="25" t="str">
        <f>IFERROR(__xludf.DUMMYFUNCTION("""COMPUTED_VALUE"""),"Yes")</f>
        <v>Yes</v>
      </c>
      <c r="H6" s="25" t="str">
        <f>IFERROR(__xludf.DUMMYFUNCTION("""COMPUTED_VALUE"""),"Optional")</f>
        <v>Optional</v>
      </c>
      <c r="I6" s="25" t="str">
        <f>IFERROR(__xludf.DUMMYFUNCTION("""COMPUTED_VALUE"""),"No")</f>
        <v>No</v>
      </c>
      <c r="J6" s="26"/>
      <c r="K6" s="26" t="str">
        <f>IFERROR(__xludf.DUMMYFUNCTION("""COMPUTED_VALUE"""),"NO")</f>
        <v>NO</v>
      </c>
    </row>
    <row r="7" ht="12.75" customHeight="1">
      <c r="A7" s="20"/>
      <c r="B7" s="21" t="str">
        <f>IFERROR(__xludf.DUMMYFUNCTION("""COMPUTED_VALUE"""),"BlackRock")</f>
        <v>BlackRock</v>
      </c>
      <c r="C7" s="27" t="str">
        <f>IFERROR(__xludf.DUMMYFUNCTION("""COMPUTED_VALUE"""),"Summer Internship Program - EMEA")</f>
        <v>Summer Internship Program - EMEA</v>
      </c>
      <c r="D7" s="29">
        <f>IFERROR(__xludf.DUMMYFUNCTION("""COMPUTED_VALUE"""),45474.0)</f>
        <v>45474</v>
      </c>
      <c r="E7" s="30"/>
      <c r="F7" s="29">
        <f>IFERROR(__xludf.DUMMYFUNCTION("""COMPUTED_VALUE"""),45108.0)</f>
        <v>45108</v>
      </c>
      <c r="G7" s="25" t="str">
        <f>IFERROR(__xludf.DUMMYFUNCTION("""COMPUTED_VALUE"""),"Yes")</f>
        <v>Yes</v>
      </c>
      <c r="H7" s="25" t="str">
        <f>IFERROR(__xludf.DUMMYFUNCTION("""COMPUTED_VALUE"""),"Yes")</f>
        <v>Yes</v>
      </c>
      <c r="I7" s="25" t="str">
        <f>IFERROR(__xludf.DUMMYFUNCTION("""COMPUTED_VALUE"""),"No")</f>
        <v>No</v>
      </c>
      <c r="J7" s="26"/>
      <c r="K7" s="26" t="str">
        <f>IFERROR(__xludf.DUMMYFUNCTION("""COMPUTED_VALUE"""),"NO")</f>
        <v>NO</v>
      </c>
    </row>
    <row r="8" ht="12.75" customHeight="1">
      <c r="A8" s="20"/>
      <c r="B8" s="21" t="str">
        <f>IFERROR(__xludf.DUMMYFUNCTION("""COMPUTED_VALUE"""),"Man Group")</f>
        <v>Man Group</v>
      </c>
      <c r="C8" s="27" t="str">
        <f>IFERROR(__xludf.DUMMYFUNCTION("""COMPUTED_VALUE"""),"Technology Summer Internship")</f>
        <v>Technology Summer Internship</v>
      </c>
      <c r="D8" s="29">
        <f>IFERROR(__xludf.DUMMYFUNCTION("""COMPUTED_VALUE"""),45474.0)</f>
        <v>45474</v>
      </c>
      <c r="E8" s="28"/>
      <c r="F8" s="29">
        <f>IFERROR(__xludf.DUMMYFUNCTION("""COMPUTED_VALUE"""),45170.0)</f>
        <v>45170</v>
      </c>
      <c r="G8" s="25" t="str">
        <f>IFERROR(__xludf.DUMMYFUNCTION("""COMPUTED_VALUE"""),"Yes")</f>
        <v>Yes</v>
      </c>
      <c r="H8" s="25" t="str">
        <f>IFERROR(__xludf.DUMMYFUNCTION("""COMPUTED_VALUE"""),"Yes")</f>
        <v>Yes</v>
      </c>
      <c r="I8" s="25" t="str">
        <f>IFERROR(__xludf.DUMMYFUNCTION("""COMPUTED_VALUE"""),"No")</f>
        <v>No</v>
      </c>
      <c r="J8" s="26"/>
      <c r="K8" s="26" t="str">
        <f>IFERROR(__xludf.DUMMYFUNCTION("""COMPUTED_VALUE"""),"NO")</f>
        <v>NO</v>
      </c>
    </row>
    <row r="9" ht="12.75" customHeight="1">
      <c r="A9" s="20"/>
      <c r="B9" s="21" t="str">
        <f>IFERROR(__xludf.DUMMYFUNCTION("""COMPUTED_VALUE"""),"GSA Capital")</f>
        <v>GSA Capital</v>
      </c>
      <c r="C9" s="27" t="str">
        <f>IFERROR(__xludf.DUMMYFUNCTION("""COMPUTED_VALUE"""),"Software Developer - Intern")</f>
        <v>Software Developer - Intern</v>
      </c>
      <c r="D9" s="29">
        <f>IFERROR(__xludf.DUMMYFUNCTION("""COMPUTED_VALUE"""),45488.0)</f>
        <v>45488</v>
      </c>
      <c r="E9" s="28"/>
      <c r="F9" s="29"/>
      <c r="G9" s="25"/>
      <c r="H9" s="25"/>
      <c r="I9" s="25"/>
      <c r="J9" s="26"/>
      <c r="K9" s="26" t="str">
        <f>IFERROR(__xludf.DUMMYFUNCTION("""COMPUTED_VALUE"""),"NO")</f>
        <v>NO</v>
      </c>
    </row>
    <row r="10" ht="12.75" customHeight="1">
      <c r="A10" s="20"/>
      <c r="B10" s="21" t="str">
        <f>IFERROR(__xludf.DUMMYFUNCTION("""COMPUTED_VALUE"""),"DRW")</f>
        <v>DRW</v>
      </c>
      <c r="C10" s="27" t="str">
        <f>IFERROR(__xludf.DUMMYFUNCTION("""COMPUTED_VALUE"""),"Software Developer Intern")</f>
        <v>Software Developer Intern</v>
      </c>
      <c r="D10" s="30">
        <f>IFERROR(__xludf.DUMMYFUNCTION("""COMPUTED_VALUE"""),45492.0)</f>
        <v>45492</v>
      </c>
      <c r="E10" s="24"/>
      <c r="F10" s="30">
        <f>IFERROR(__xludf.DUMMYFUNCTION("""COMPUTED_VALUE"""),45139.0)</f>
        <v>45139</v>
      </c>
      <c r="G10" s="25" t="str">
        <f>IFERROR(__xludf.DUMMYFUNCTION("""COMPUTED_VALUE"""),"Yes")</f>
        <v>Yes</v>
      </c>
      <c r="H10" s="25" t="str">
        <f>IFERROR(__xludf.DUMMYFUNCTION("""COMPUTED_VALUE"""),"No")</f>
        <v>No</v>
      </c>
      <c r="I10" s="25" t="str">
        <f>IFERROR(__xludf.DUMMYFUNCTION("""COMPUTED_VALUE"""),"No")</f>
        <v>No</v>
      </c>
      <c r="J10" s="26"/>
      <c r="K10" s="26" t="str">
        <f>IFERROR(__xludf.DUMMYFUNCTION("""COMPUTED_VALUE"""),"NO")</f>
        <v>NO</v>
      </c>
    </row>
    <row r="11" ht="12.75" customHeight="1">
      <c r="A11" s="20"/>
      <c r="B11" s="21" t="str">
        <f>IFERROR(__xludf.DUMMYFUNCTION("""COMPUTED_VALUE"""),"Castleton Commodities International")</f>
        <v>Castleton Commodities International</v>
      </c>
      <c r="C11" s="27" t="str">
        <f>IFERROR(__xludf.DUMMYFUNCTION("""COMPUTED_VALUE"""),"Internship (Summer 2025)")</f>
        <v>Internship (Summer 2025)</v>
      </c>
      <c r="D11" s="29">
        <f>IFERROR(__xludf.DUMMYFUNCTION("""COMPUTED_VALUE"""),45496.0)</f>
        <v>45496</v>
      </c>
      <c r="E11" s="28">
        <f>IFERROR(__xludf.DUMMYFUNCTION("""COMPUTED_VALUE"""),45573.0)</f>
        <v>45573</v>
      </c>
      <c r="F11" s="29">
        <f>IFERROR(__xludf.DUMMYFUNCTION("""COMPUTED_VALUE"""),45131.0)</f>
        <v>45131</v>
      </c>
      <c r="G11" s="25" t="str">
        <f>IFERROR(__xludf.DUMMYFUNCTION("""COMPUTED_VALUE"""),"Yes")</f>
        <v>Yes</v>
      </c>
      <c r="H11" s="25" t="str">
        <f>IFERROR(__xludf.DUMMYFUNCTION("""COMPUTED_VALUE"""),"Optional")</f>
        <v>Optional</v>
      </c>
      <c r="I11" s="25" t="str">
        <f>IFERROR(__xludf.DUMMYFUNCTION("""COMPUTED_VALUE"""),"No")</f>
        <v>No</v>
      </c>
      <c r="J11" s="26"/>
      <c r="K11" s="26" t="str">
        <f>IFERROR(__xludf.DUMMYFUNCTION("""COMPUTED_VALUE"""),"NO")</f>
        <v>NO</v>
      </c>
    </row>
    <row r="12" ht="12.75" customHeight="1">
      <c r="A12" s="20"/>
      <c r="B12" s="21" t="str">
        <f>IFERROR(__xludf.DUMMYFUNCTION("""COMPUTED_VALUE"""),"The Trade Desk")</f>
        <v>The Trade Desk</v>
      </c>
      <c r="C12" s="27" t="str">
        <f>IFERROR(__xludf.DUMMYFUNCTION("""COMPUTED_VALUE"""),"2025 Summer Intern - Software Engineer")</f>
        <v>2025 Summer Intern - Software Engineer</v>
      </c>
      <c r="D12" s="23">
        <f>IFERROR(__xludf.DUMMYFUNCTION("""COMPUTED_VALUE"""),45497.0)</f>
        <v>45497</v>
      </c>
      <c r="E12" s="28"/>
      <c r="F12" s="29">
        <f>IFERROR(__xludf.DUMMYFUNCTION("""COMPUTED_VALUE"""),45239.0)</f>
        <v>45239</v>
      </c>
      <c r="G12" s="25" t="str">
        <f>IFERROR(__xludf.DUMMYFUNCTION("""COMPUTED_VALUE"""),"Yes")</f>
        <v>Yes</v>
      </c>
      <c r="H12" s="25" t="str">
        <f>IFERROR(__xludf.DUMMYFUNCTION("""COMPUTED_VALUE"""),"Optional")</f>
        <v>Optional</v>
      </c>
      <c r="I12" s="25" t="str">
        <f>IFERROR(__xludf.DUMMYFUNCTION("""COMPUTED_VALUE"""),"Yes")</f>
        <v>Yes</v>
      </c>
      <c r="J12" s="26"/>
      <c r="K12" s="26" t="str">
        <f>IFERROR(__xludf.DUMMYFUNCTION("""COMPUTED_VALUE"""),"NO")</f>
        <v>NO</v>
      </c>
    </row>
    <row r="13" ht="12.75" customHeight="1">
      <c r="A13" s="20"/>
      <c r="B13" s="21" t="str">
        <f>IFERROR(__xludf.DUMMYFUNCTION("""COMPUTED_VALUE"""),"Marshall Wace")</f>
        <v>Marshall Wace</v>
      </c>
      <c r="C13" s="27" t="str">
        <f>IFERROR(__xludf.DUMMYFUNCTION("""COMPUTED_VALUE"""),"Technology Intern - 2025")</f>
        <v>Technology Intern - 2025</v>
      </c>
      <c r="D13" s="23">
        <f>IFERROR(__xludf.DUMMYFUNCTION("""COMPUTED_VALUE"""),45503.0)</f>
        <v>45503</v>
      </c>
      <c r="E13" s="28"/>
      <c r="F13" s="29"/>
      <c r="G13" s="25"/>
      <c r="H13" s="25"/>
      <c r="I13" s="25"/>
      <c r="J13" s="26"/>
      <c r="K13" s="26" t="str">
        <f>IFERROR(__xludf.DUMMYFUNCTION("""COMPUTED_VALUE"""),"NO")</f>
        <v>NO</v>
      </c>
    </row>
    <row r="14" ht="12.75" customHeight="1">
      <c r="A14" s="20"/>
      <c r="B14" s="21" t="str">
        <f>IFERROR(__xludf.DUMMYFUNCTION("""COMPUTED_VALUE"""),"Palantir")</f>
        <v>Palantir</v>
      </c>
      <c r="C14" s="27" t="str">
        <f>IFERROR(__xludf.DUMMYFUNCTION("""COMPUTED_VALUE"""),"Software Engineer, Internship")</f>
        <v>Software Engineer, Internship</v>
      </c>
      <c r="D14" s="23">
        <f>IFERROR(__xludf.DUMMYFUNCTION("""COMPUTED_VALUE"""),45505.0)</f>
        <v>45505</v>
      </c>
      <c r="E14" s="28"/>
      <c r="F14" s="29">
        <f>IFERROR(__xludf.DUMMYFUNCTION("""COMPUTED_VALUE"""),45139.0)</f>
        <v>45139</v>
      </c>
      <c r="G14" s="25" t="str">
        <f>IFERROR(__xludf.DUMMYFUNCTION("""COMPUTED_VALUE"""),"Yes")</f>
        <v>Yes</v>
      </c>
      <c r="H14" s="25" t="str">
        <f>IFERROR(__xludf.DUMMYFUNCTION("""COMPUTED_VALUE"""),"No")</f>
        <v>No</v>
      </c>
      <c r="I14" s="25" t="str">
        <f>IFERROR(__xludf.DUMMYFUNCTION("""COMPUTED_VALUE"""),"No")</f>
        <v>No</v>
      </c>
      <c r="J14" s="26"/>
      <c r="K14" s="26" t="str">
        <f>IFERROR(__xludf.DUMMYFUNCTION("""COMPUTED_VALUE"""),"NO")</f>
        <v>NO</v>
      </c>
    </row>
    <row r="15" ht="12.75" customHeight="1">
      <c r="A15" s="20"/>
      <c r="B15" s="21" t="str">
        <f>IFERROR(__xludf.DUMMYFUNCTION("""COMPUTED_VALUE"""),"Millennium Management")</f>
        <v>Millennium Management</v>
      </c>
      <c r="C15" s="27" t="str">
        <f>IFERROR(__xludf.DUMMYFUNCTION("""COMPUTED_VALUE"""),"Software Engineer Summer Intern")</f>
        <v>Software Engineer Summer Intern</v>
      </c>
      <c r="D15" s="23">
        <f>IFERROR(__xludf.DUMMYFUNCTION("""COMPUTED_VALUE"""),45505.0)</f>
        <v>45505</v>
      </c>
      <c r="E15" s="28"/>
      <c r="F15" s="25"/>
      <c r="G15" s="25" t="str">
        <f>IFERROR(__xludf.DUMMYFUNCTION("""COMPUTED_VALUE"""),"Yes")</f>
        <v>Yes</v>
      </c>
      <c r="H15" s="25" t="str">
        <f>IFERROR(__xludf.DUMMYFUNCTION("""COMPUTED_VALUE"""),"No")</f>
        <v>No</v>
      </c>
      <c r="I15" s="25" t="str">
        <f>IFERROR(__xludf.DUMMYFUNCTION("""COMPUTED_VALUE"""),"No")</f>
        <v>No</v>
      </c>
      <c r="J15" s="26"/>
      <c r="K15" s="26" t="str">
        <f>IFERROR(__xludf.DUMMYFUNCTION("""COMPUTED_VALUE"""),"NO")</f>
        <v>NO</v>
      </c>
    </row>
    <row r="16" ht="12.75" customHeight="1">
      <c r="A16" s="20"/>
      <c r="B16" s="21" t="str">
        <f>IFERROR(__xludf.DUMMYFUNCTION("""COMPUTED_VALUE"""),"Talos")</f>
        <v>Talos</v>
      </c>
      <c r="C16" s="27" t="str">
        <f>IFERROR(__xludf.DUMMYFUNCTION("""COMPUTED_VALUE"""),"Software Engineering Intern")</f>
        <v>Software Engineering Intern</v>
      </c>
      <c r="D16" s="29">
        <f>IFERROR(__xludf.DUMMYFUNCTION("""COMPUTED_VALUE"""),45506.0)</f>
        <v>45506</v>
      </c>
      <c r="E16" s="23"/>
      <c r="F16" s="29"/>
      <c r="G16" s="25"/>
      <c r="H16" s="25"/>
      <c r="I16" s="25"/>
      <c r="J16" s="26"/>
      <c r="K16" s="26" t="str">
        <f>IFERROR(__xludf.DUMMYFUNCTION("""COMPUTED_VALUE"""),"NO")</f>
        <v>NO</v>
      </c>
    </row>
    <row r="17" ht="12.75" customHeight="1">
      <c r="A17" s="20"/>
      <c r="B17" s="21" t="str">
        <f>IFERROR(__xludf.DUMMYFUNCTION("""COMPUTED_VALUE"""),"BNP Paribas")</f>
        <v>BNP Paribas</v>
      </c>
      <c r="C17" s="27" t="str">
        <f>IFERROR(__xludf.DUMMYFUNCTION("""COMPUTED_VALUE"""),"2025 Summer Internship - Technology")</f>
        <v>2025 Summer Internship - Technology</v>
      </c>
      <c r="D17" s="29">
        <f>IFERROR(__xludf.DUMMYFUNCTION("""COMPUTED_VALUE"""),45510.0)</f>
        <v>45510</v>
      </c>
      <c r="E17" s="28">
        <f>IFERROR(__xludf.DUMMYFUNCTION("""COMPUTED_VALUE"""),45557.0)</f>
        <v>45557</v>
      </c>
      <c r="F17" s="29">
        <f>IFERROR(__xludf.DUMMYFUNCTION("""COMPUTED_VALUE"""),45146.0)</f>
        <v>45146</v>
      </c>
      <c r="G17" s="31"/>
      <c r="H17" s="31"/>
      <c r="I17" s="31"/>
      <c r="J17" s="26"/>
      <c r="K17" s="26" t="str">
        <f>IFERROR(__xludf.DUMMYFUNCTION("""COMPUTED_VALUE"""),"NO")</f>
        <v>NO</v>
      </c>
    </row>
    <row r="18" ht="12.75" customHeight="1">
      <c r="A18" s="20"/>
      <c r="B18" s="21" t="str">
        <f>IFERROR(__xludf.DUMMYFUNCTION("""COMPUTED_VALUE"""),"Citadel")</f>
        <v>Citadel</v>
      </c>
      <c r="C18" s="27" t="str">
        <f>IFERROR(__xludf.DUMMYFUNCTION("""COMPUTED_VALUE"""),"Software Engineer - Intern (Europe)")</f>
        <v>Software Engineer - Intern (Europe)</v>
      </c>
      <c r="D18" s="29">
        <f>IFERROR(__xludf.DUMMYFUNCTION("""COMPUTED_VALUE"""),45510.0)</f>
        <v>45510</v>
      </c>
      <c r="E18" s="24"/>
      <c r="F18" s="29">
        <f>IFERROR(__xludf.DUMMYFUNCTION("""COMPUTED_VALUE"""),45126.0)</f>
        <v>45126</v>
      </c>
      <c r="G18" s="31" t="str">
        <f>IFERROR(__xludf.DUMMYFUNCTION("""COMPUTED_VALUE"""),"Yes")</f>
        <v>Yes</v>
      </c>
      <c r="H18" s="31" t="str">
        <f>IFERROR(__xludf.DUMMYFUNCTION("""COMPUTED_VALUE"""),"Yes")</f>
        <v>Yes</v>
      </c>
      <c r="I18" s="31" t="str">
        <f>IFERROR(__xludf.DUMMYFUNCTION("""COMPUTED_VALUE"""),"No")</f>
        <v>No</v>
      </c>
      <c r="J18" s="26"/>
      <c r="K18" s="26" t="str">
        <f>IFERROR(__xludf.DUMMYFUNCTION("""COMPUTED_VALUE"""),"NO")</f>
        <v>NO</v>
      </c>
    </row>
    <row r="19" ht="12.75" customHeight="1">
      <c r="A19" s="20"/>
      <c r="B19" s="21" t="str">
        <f>IFERROR(__xludf.DUMMYFUNCTION("""COMPUTED_VALUE"""),"Jane Street")</f>
        <v>Jane Street</v>
      </c>
      <c r="C19" s="27" t="str">
        <f>IFERROR(__xludf.DUMMYFUNCTION("""COMPUTED_VALUE"""),"Software Engineer Internship")</f>
        <v>Software Engineer Internship</v>
      </c>
      <c r="D19" s="23">
        <f>IFERROR(__xludf.DUMMYFUNCTION("""COMPUTED_VALUE"""),45518.0)</f>
        <v>45518</v>
      </c>
      <c r="E19" s="28"/>
      <c r="F19" s="29">
        <f>IFERROR(__xludf.DUMMYFUNCTION("""COMPUTED_VALUE"""),45153.0)</f>
        <v>45153</v>
      </c>
      <c r="G19" s="25"/>
      <c r="H19" s="25"/>
      <c r="I19" s="25"/>
      <c r="J19" s="26"/>
      <c r="K19" s="26" t="str">
        <f>IFERROR(__xludf.DUMMYFUNCTION("""COMPUTED_VALUE"""),"NO")</f>
        <v>NO</v>
      </c>
    </row>
    <row r="20" ht="12.75" customHeight="1">
      <c r="A20" s="20"/>
      <c r="B20" s="21" t="str">
        <f>IFERROR(__xludf.DUMMYFUNCTION("""COMPUTED_VALUE"""),"Goldman Sachs")</f>
        <v>Goldman Sachs</v>
      </c>
      <c r="C20" s="21" t="str">
        <f>IFERROR(__xludf.DUMMYFUNCTION("""COMPUTED_VALUE"""),"2025 Summer Analyst Programme")</f>
        <v>2025 Summer Analyst Programme</v>
      </c>
      <c r="D20" s="29">
        <f>IFERROR(__xludf.DUMMYFUNCTION("""COMPUTED_VALUE"""),45519.0)</f>
        <v>45519</v>
      </c>
      <c r="E20" s="28"/>
      <c r="F20" s="29">
        <f>IFERROR(__xludf.DUMMYFUNCTION("""COMPUTED_VALUE"""),45153.0)</f>
        <v>45153</v>
      </c>
      <c r="G20" s="25" t="str">
        <f>IFERROR(__xludf.DUMMYFUNCTION("""COMPUTED_VALUE"""),"Yes")</f>
        <v>Yes</v>
      </c>
      <c r="H20" s="25" t="str">
        <f>IFERROR(__xludf.DUMMYFUNCTION("""COMPUTED_VALUE"""),"Optional")</f>
        <v>Optional</v>
      </c>
      <c r="I20" s="25" t="str">
        <f>IFERROR(__xludf.DUMMYFUNCTION("""COMPUTED_VALUE"""),"No")</f>
        <v>No</v>
      </c>
      <c r="J20" s="26"/>
      <c r="K20" s="26" t="str">
        <f>IFERROR(__xludf.DUMMYFUNCTION("""COMPUTED_VALUE"""),"NO")</f>
        <v>NO</v>
      </c>
    </row>
    <row r="21" ht="12.75" customHeight="1">
      <c r="A21" s="20"/>
      <c r="B21" s="21" t="str">
        <f>IFERROR(__xludf.DUMMYFUNCTION("""COMPUTED_VALUE"""),"Bank of America")</f>
        <v>Bank of America</v>
      </c>
      <c r="C21" s="32" t="str">
        <f>IFERROR(__xludf.DUMMYFUNCTION("""COMPUTED_VALUE"""),"Software Engineer Summer 2025 Analyst")</f>
        <v>Software Engineer Summer 2025 Analyst</v>
      </c>
      <c r="D21" s="29">
        <f>IFERROR(__xludf.DUMMYFUNCTION("""COMPUTED_VALUE"""),45523.0)</f>
        <v>45523</v>
      </c>
      <c r="E21" s="28">
        <f>IFERROR(__xludf.DUMMYFUNCTION("""COMPUTED_VALUE"""),45590.0)</f>
        <v>45590</v>
      </c>
      <c r="F21" s="29">
        <f>IFERROR(__xludf.DUMMYFUNCTION("""COMPUTED_VALUE"""),45535.0)</f>
        <v>45535</v>
      </c>
      <c r="G21" s="31" t="str">
        <f>IFERROR(__xludf.DUMMYFUNCTION("""COMPUTED_VALUE"""),"Yes")</f>
        <v>Yes</v>
      </c>
      <c r="H21" s="31" t="str">
        <f>IFERROR(__xludf.DUMMYFUNCTION("""COMPUTED_VALUE"""),"No")</f>
        <v>No</v>
      </c>
      <c r="I21" s="31" t="str">
        <f>IFERROR(__xludf.DUMMYFUNCTION("""COMPUTED_VALUE"""),"Yes")</f>
        <v>Yes</v>
      </c>
      <c r="J21" s="26"/>
      <c r="K21" s="26" t="str">
        <f>IFERROR(__xludf.DUMMYFUNCTION("""COMPUTED_VALUE"""),"NO")</f>
        <v>NO</v>
      </c>
    </row>
    <row r="22" ht="12.75" customHeight="1">
      <c r="A22" s="20"/>
      <c r="B22" s="21" t="str">
        <f>IFERROR(__xludf.DUMMYFUNCTION("""COMPUTED_VALUE"""),"Jump Trading")</f>
        <v>Jump Trading</v>
      </c>
      <c r="C22" s="32" t="str">
        <f>IFERROR(__xludf.DUMMYFUNCTION("""COMPUTED_VALUE"""),"Campus Software Engineer (Intern)")</f>
        <v>Campus Software Engineer (Intern)</v>
      </c>
      <c r="D22" s="29">
        <f>IFERROR(__xludf.DUMMYFUNCTION("""COMPUTED_VALUE"""),45527.0)</f>
        <v>45527</v>
      </c>
      <c r="E22" s="28"/>
      <c r="F22" s="29">
        <f>IFERROR(__xludf.DUMMYFUNCTION("""COMPUTED_VALUE"""),45159.0)</f>
        <v>45159</v>
      </c>
      <c r="G22" s="31" t="str">
        <f>IFERROR(__xludf.DUMMYFUNCTION("""COMPUTED_VALUE"""),"Yes")</f>
        <v>Yes</v>
      </c>
      <c r="H22" s="31" t="str">
        <f>IFERROR(__xludf.DUMMYFUNCTION("""COMPUTED_VALUE"""),"Optional")</f>
        <v>Optional</v>
      </c>
      <c r="I22" s="31" t="str">
        <f>IFERROR(__xludf.DUMMYFUNCTION("""COMPUTED_VALUE"""),"Yes")</f>
        <v>Yes</v>
      </c>
      <c r="J22" s="26"/>
      <c r="K22" s="26" t="str">
        <f>IFERROR(__xludf.DUMMYFUNCTION("""COMPUTED_VALUE"""),"NO")</f>
        <v>NO</v>
      </c>
    </row>
    <row r="23" ht="12.75" customHeight="1">
      <c r="A23" s="20"/>
      <c r="B23" s="21" t="str">
        <f>IFERROR(__xludf.DUMMYFUNCTION("""COMPUTED_VALUE"""),"Optiver")</f>
        <v>Optiver</v>
      </c>
      <c r="C23" s="27" t="str">
        <f>IFERROR(__xludf.DUMMYFUNCTION("""COMPUTED_VALUE"""),"Software Engineer Internship (2025 Start)")</f>
        <v>Software Engineer Internship (2025 Start)</v>
      </c>
      <c r="D23" s="29">
        <f>IFERROR(__xludf.DUMMYFUNCTION("""COMPUTED_VALUE"""),45531.0)</f>
        <v>45531</v>
      </c>
      <c r="E23" s="24"/>
      <c r="F23" s="29">
        <f>IFERROR(__xludf.DUMMYFUNCTION("""COMPUTED_VALUE"""),45169.0)</f>
        <v>45169</v>
      </c>
      <c r="G23" s="31" t="str">
        <f>IFERROR(__xludf.DUMMYFUNCTION("""COMPUTED_VALUE"""),"Yes")</f>
        <v>Yes</v>
      </c>
      <c r="H23" s="31" t="str">
        <f>IFERROR(__xludf.DUMMYFUNCTION("""COMPUTED_VALUE"""),"Yes")</f>
        <v>Yes</v>
      </c>
      <c r="I23" s="31" t="str">
        <f>IFERROR(__xludf.DUMMYFUNCTION("""COMPUTED_VALUE"""),"Yes")</f>
        <v>Yes</v>
      </c>
      <c r="J23" s="26"/>
      <c r="K23" s="26" t="str">
        <f>IFERROR(__xludf.DUMMYFUNCTION("""COMPUTED_VALUE"""),"NO")</f>
        <v>NO</v>
      </c>
    </row>
    <row r="24" ht="12.75" customHeight="1">
      <c r="A24" s="20"/>
      <c r="B24" s="21" t="str">
        <f>IFERROR(__xludf.DUMMYFUNCTION("""COMPUTED_VALUE"""),"PIMCO")</f>
        <v>PIMCO</v>
      </c>
      <c r="C24" s="32" t="str">
        <f>IFERROR(__xludf.DUMMYFUNCTION("""COMPUTED_VALUE"""),"2025 Summer Internship - Technology Analyst")</f>
        <v>2025 Summer Internship - Technology Analyst</v>
      </c>
      <c r="D24" s="29">
        <f>IFERROR(__xludf.DUMMYFUNCTION("""COMPUTED_VALUE"""),45531.0)</f>
        <v>45531</v>
      </c>
      <c r="E24" s="28"/>
      <c r="F24" s="29">
        <f>IFERROR(__xludf.DUMMYFUNCTION("""COMPUTED_VALUE"""),45278.0)</f>
        <v>45278</v>
      </c>
      <c r="G24" s="31" t="str">
        <f>IFERROR(__xludf.DUMMYFUNCTION("""COMPUTED_VALUE"""),"Yes")</f>
        <v>Yes</v>
      </c>
      <c r="H24" s="31" t="str">
        <f>IFERROR(__xludf.DUMMYFUNCTION("""COMPUTED_VALUE"""),"No")</f>
        <v>No</v>
      </c>
      <c r="I24" s="31" t="str">
        <f>IFERROR(__xludf.DUMMYFUNCTION("""COMPUTED_VALUE"""),"No")</f>
        <v>No</v>
      </c>
      <c r="J24" s="26"/>
      <c r="K24" s="26" t="str">
        <f>IFERROR(__xludf.DUMMYFUNCTION("""COMPUTED_VALUE"""),"NO")</f>
        <v>NO</v>
      </c>
    </row>
    <row r="25" ht="12.75" customHeight="1">
      <c r="A25" s="20"/>
      <c r="B25" s="21" t="str">
        <f>IFERROR(__xludf.DUMMYFUNCTION("""COMPUTED_VALUE"""),"Squarepoint Capital")</f>
        <v>Squarepoint Capital</v>
      </c>
      <c r="C25" s="27" t="str">
        <f>IFERROR(__xludf.DUMMYFUNCTION("""COMPUTED_VALUE"""),"Intern Software Development - Summer 2025")</f>
        <v>Intern Software Development - Summer 2025</v>
      </c>
      <c r="D25" s="29">
        <f>IFERROR(__xludf.DUMMYFUNCTION("""COMPUTED_VALUE"""),45533.0)</f>
        <v>45533</v>
      </c>
      <c r="E25" s="28"/>
      <c r="F25" s="25"/>
      <c r="G25" s="31" t="str">
        <f>IFERROR(__xludf.DUMMYFUNCTION("""COMPUTED_VALUE"""),"Yes")</f>
        <v>Yes</v>
      </c>
      <c r="H25" s="31" t="str">
        <f>IFERROR(__xludf.DUMMYFUNCTION("""COMPUTED_VALUE"""),"Optional")</f>
        <v>Optional</v>
      </c>
      <c r="I25" s="31" t="str">
        <f>IFERROR(__xludf.DUMMYFUNCTION("""COMPUTED_VALUE"""),"Yes")</f>
        <v>Yes</v>
      </c>
      <c r="J25" s="26"/>
      <c r="K25" s="26" t="str">
        <f>IFERROR(__xludf.DUMMYFUNCTION("""COMPUTED_VALUE"""),"NO")</f>
        <v>NO</v>
      </c>
    </row>
    <row r="26" ht="12.75" customHeight="1">
      <c r="A26" s="20"/>
      <c r="B26" s="21" t="str">
        <f>IFERROR(__xludf.DUMMYFUNCTION("""COMPUTED_VALUE"""),"UBS")</f>
        <v>UBS</v>
      </c>
      <c r="C26" s="32" t="str">
        <f>IFERROR(__xludf.DUMMYFUNCTION("""COMPUTED_VALUE"""),"2025 Summer Internship Program - GOTO Technology")</f>
        <v>2025 Summer Internship Program - GOTO Technology</v>
      </c>
      <c r="D26" s="29">
        <f>IFERROR(__xludf.DUMMYFUNCTION("""COMPUTED_VALUE"""),45534.0)</f>
        <v>45534</v>
      </c>
      <c r="E26" s="24"/>
      <c r="F26" s="25"/>
      <c r="G26" s="31" t="str">
        <f>IFERROR(__xludf.DUMMYFUNCTION("""COMPUTED_VALUE"""),"Yes")</f>
        <v>Yes</v>
      </c>
      <c r="H26" s="31" t="str">
        <f>IFERROR(__xludf.DUMMYFUNCTION("""COMPUTED_VALUE"""),"No")</f>
        <v>No</v>
      </c>
      <c r="I26" s="31" t="str">
        <f>IFERROR(__xludf.DUMMYFUNCTION("""COMPUTED_VALUE"""),"Yes")</f>
        <v>Yes</v>
      </c>
      <c r="J26" s="26"/>
      <c r="K26" s="26" t="str">
        <f>IFERROR(__xludf.DUMMYFUNCTION("""COMPUTED_VALUE"""),"NO")</f>
        <v>NO</v>
      </c>
    </row>
    <row r="27" ht="12.75" customHeight="1">
      <c r="A27" s="20"/>
      <c r="B27" s="21" t="str">
        <f>IFERROR(__xludf.DUMMYFUNCTION("""COMPUTED_VALUE"""),"Nomura")</f>
        <v>Nomura</v>
      </c>
      <c r="C27" s="32" t="str">
        <f>IFERROR(__xludf.DUMMYFUNCTION("""COMPUTED_VALUE"""),"Information Technology - Summer Internship")</f>
        <v>Information Technology - Summer Internship</v>
      </c>
      <c r="D27" s="29">
        <f>IFERROR(__xludf.DUMMYFUNCTION("""COMPUTED_VALUE"""),45536.0)</f>
        <v>45536</v>
      </c>
      <c r="E27" s="24">
        <f>IFERROR(__xludf.DUMMYFUNCTION("""COMPUTED_VALUE"""),45627.0)</f>
        <v>45627</v>
      </c>
      <c r="F27" s="29">
        <f>IFERROR(__xludf.DUMMYFUNCTION("""COMPUTED_VALUE"""),45170.0)</f>
        <v>45170</v>
      </c>
      <c r="G27" s="31" t="str">
        <f>IFERROR(__xludf.DUMMYFUNCTION("""COMPUTED_VALUE"""),"Yes")</f>
        <v>Yes</v>
      </c>
      <c r="H27" s="31" t="str">
        <f>IFERROR(__xludf.DUMMYFUNCTION("""COMPUTED_VALUE"""),"No")</f>
        <v>No</v>
      </c>
      <c r="I27" s="31" t="str">
        <f>IFERROR(__xludf.DUMMYFUNCTION("""COMPUTED_VALUE"""),"No")</f>
        <v>No</v>
      </c>
      <c r="J27" s="26"/>
      <c r="K27" s="26" t="str">
        <f>IFERROR(__xludf.DUMMYFUNCTION("""COMPUTED_VALUE"""),"NO")</f>
        <v>NO</v>
      </c>
    </row>
    <row r="28" ht="12.75" customHeight="1">
      <c r="A28" s="20"/>
      <c r="B28" s="21" t="str">
        <f>IFERROR(__xludf.DUMMYFUNCTION("""COMPUTED_VALUE"""),"J.P. Morgan")</f>
        <v>J.P. Morgan</v>
      </c>
      <c r="C28" s="32" t="str">
        <f>IFERROR(__xludf.DUMMYFUNCTION("""COMPUTED_VALUE"""),"2025 Software Engineer Programme")</f>
        <v>2025 Software Engineer Programme</v>
      </c>
      <c r="D28" s="29">
        <f>IFERROR(__xludf.DUMMYFUNCTION("""COMPUTED_VALUE"""),45536.0)</f>
        <v>45536</v>
      </c>
      <c r="E28" s="24">
        <f>IFERROR(__xludf.DUMMYFUNCTION("""COMPUTED_VALUE"""),45599.0)</f>
        <v>45599</v>
      </c>
      <c r="F28" s="29">
        <f>IFERROR(__xludf.DUMMYFUNCTION("""COMPUTED_VALUE"""),45170.0)</f>
        <v>45170</v>
      </c>
      <c r="G28" s="31" t="str">
        <f>IFERROR(__xludf.DUMMYFUNCTION("""COMPUTED_VALUE"""),"Yes")</f>
        <v>Yes</v>
      </c>
      <c r="H28" s="31" t="str">
        <f>IFERROR(__xludf.DUMMYFUNCTION("""COMPUTED_VALUE"""),"Optional")</f>
        <v>Optional</v>
      </c>
      <c r="I28" s="31" t="str">
        <f>IFERROR(__xludf.DUMMYFUNCTION("""COMPUTED_VALUE"""),"No")</f>
        <v>No</v>
      </c>
      <c r="J28" s="26"/>
      <c r="K28" s="26" t="str">
        <f>IFERROR(__xludf.DUMMYFUNCTION("""COMPUTED_VALUE"""),"NO")</f>
        <v>NO</v>
      </c>
    </row>
    <row r="29" ht="12.75" customHeight="1">
      <c r="A29" s="20"/>
      <c r="B29" s="21" t="str">
        <f>IFERROR(__xludf.DUMMYFUNCTION("""COMPUTED_VALUE"""),"Macquarie Group")</f>
        <v>Macquarie Group</v>
      </c>
      <c r="C29" s="27" t="str">
        <f>IFERROR(__xludf.DUMMYFUNCTION("""COMPUTED_VALUE"""),"2025 Summer Internship Programme")</f>
        <v>2025 Summer Internship Programme</v>
      </c>
      <c r="D29" s="29">
        <f>IFERROR(__xludf.DUMMYFUNCTION("""COMPUTED_VALUE"""),45537.0)</f>
        <v>45537</v>
      </c>
      <c r="E29" s="24">
        <f>IFERROR(__xludf.DUMMYFUNCTION("""COMPUTED_VALUE"""),45590.0)</f>
        <v>45590</v>
      </c>
      <c r="F29" s="29">
        <f>IFERROR(__xludf.DUMMYFUNCTION("""COMPUTED_VALUE"""),45170.0)</f>
        <v>45170</v>
      </c>
      <c r="G29" s="25" t="str">
        <f>IFERROR(__xludf.DUMMYFUNCTION("""COMPUTED_VALUE"""),"Yes")</f>
        <v>Yes</v>
      </c>
      <c r="H29" s="25" t="str">
        <f>IFERROR(__xludf.DUMMYFUNCTION("""COMPUTED_VALUE"""),"No")</f>
        <v>No</v>
      </c>
      <c r="I29" s="25" t="str">
        <f>IFERROR(__xludf.DUMMYFUNCTION("""COMPUTED_VALUE"""),"No")</f>
        <v>No</v>
      </c>
      <c r="J29" s="26"/>
      <c r="K29" s="26" t="str">
        <f>IFERROR(__xludf.DUMMYFUNCTION("""COMPUTED_VALUE"""),"NO")</f>
        <v>NO</v>
      </c>
    </row>
    <row r="30" ht="12.75" customHeight="1">
      <c r="A30" s="20"/>
      <c r="B30" s="21" t="str">
        <f>IFERROR(__xludf.DUMMYFUNCTION("""COMPUTED_VALUE"""),"Morgan Stanley")</f>
        <v>Morgan Stanley</v>
      </c>
      <c r="C30" s="27" t="str">
        <f>IFERROR(__xludf.DUMMYFUNCTION("""COMPUTED_VALUE"""),"2025 Technology Summer Analyst Program")</f>
        <v>2025 Technology Summer Analyst Program</v>
      </c>
      <c r="D30" s="29">
        <f>IFERROR(__xludf.DUMMYFUNCTION("""COMPUTED_VALUE"""),45537.0)</f>
        <v>45537</v>
      </c>
      <c r="E30" s="24"/>
      <c r="F30" s="29">
        <f>IFERROR(__xludf.DUMMYFUNCTION("""COMPUTED_VALUE"""),45170.0)</f>
        <v>45170</v>
      </c>
      <c r="G30" s="25" t="str">
        <f>IFERROR(__xludf.DUMMYFUNCTION("""COMPUTED_VALUE"""),"Yes")</f>
        <v>Yes</v>
      </c>
      <c r="H30" s="25" t="str">
        <f>IFERROR(__xludf.DUMMYFUNCTION("""COMPUTED_VALUE"""),"Yes")</f>
        <v>Yes</v>
      </c>
      <c r="I30" s="25" t="str">
        <f>IFERROR(__xludf.DUMMYFUNCTION("""COMPUTED_VALUE"""),"No")</f>
        <v>No</v>
      </c>
      <c r="J30" s="26"/>
      <c r="K30" s="26" t="str">
        <f>IFERROR(__xludf.DUMMYFUNCTION("""COMPUTED_VALUE"""),"NO")</f>
        <v>NO</v>
      </c>
    </row>
    <row r="31" ht="12.75" customHeight="1">
      <c r="A31" s="20"/>
      <c r="B31" s="21" t="str">
        <f>IFERROR(__xludf.DUMMYFUNCTION("""COMPUTED_VALUE"""),"Maven Securities")</f>
        <v>Maven Securities</v>
      </c>
      <c r="C31" s="32" t="str">
        <f>IFERROR(__xludf.DUMMYFUNCTION("""COMPUTED_VALUE"""),"Software Developer Summer Internship 2025")</f>
        <v>Software Developer Summer Internship 2025</v>
      </c>
      <c r="D31" s="29">
        <f>IFERROR(__xludf.DUMMYFUNCTION("""COMPUTED_VALUE"""),45537.0)</f>
        <v>45537</v>
      </c>
      <c r="E31" s="28">
        <f>IFERROR(__xludf.DUMMYFUNCTION("""COMPUTED_VALUE"""),45586.0)</f>
        <v>45586</v>
      </c>
      <c r="F31" s="29">
        <f>IFERROR(__xludf.DUMMYFUNCTION("""COMPUTED_VALUE"""),45173.0)</f>
        <v>45173</v>
      </c>
      <c r="G31" s="31" t="str">
        <f>IFERROR(__xludf.DUMMYFUNCTION("""COMPUTED_VALUE"""),"Yes")</f>
        <v>Yes</v>
      </c>
      <c r="H31" s="31" t="str">
        <f>IFERROR(__xludf.DUMMYFUNCTION("""COMPUTED_VALUE"""),"No")</f>
        <v>No</v>
      </c>
      <c r="I31" s="31" t="str">
        <f>IFERROR(__xludf.DUMMYFUNCTION("""COMPUTED_VALUE"""),"No")</f>
        <v>No</v>
      </c>
      <c r="J31" s="26"/>
      <c r="K31" s="26" t="str">
        <f>IFERROR(__xludf.DUMMYFUNCTION("""COMPUTED_VALUE"""),"NO")</f>
        <v>NO</v>
      </c>
    </row>
    <row r="32" ht="12.75" customHeight="1">
      <c r="A32" s="20"/>
      <c r="B32" s="21" t="str">
        <f>IFERROR(__xludf.DUMMYFUNCTION("""COMPUTED_VALUE"""),"Baillie Gifford")</f>
        <v>Baillie Gifford</v>
      </c>
      <c r="C32" s="32" t="str">
        <f>IFERROR(__xludf.DUMMYFUNCTION("""COMPUTED_VALUE"""),"Summer Internship 2025")</f>
        <v>Summer Internship 2025</v>
      </c>
      <c r="D32" s="29">
        <f>IFERROR(__xludf.DUMMYFUNCTION("""COMPUTED_VALUE"""),45538.0)</f>
        <v>45538</v>
      </c>
      <c r="E32" s="28">
        <f>IFERROR(__xludf.DUMMYFUNCTION("""COMPUTED_VALUE"""),45593.0)</f>
        <v>45593</v>
      </c>
      <c r="F32" s="29">
        <f>IFERROR(__xludf.DUMMYFUNCTION("""COMPUTED_VALUE"""),45174.0)</f>
        <v>45174</v>
      </c>
      <c r="G32" s="31"/>
      <c r="H32" s="31"/>
      <c r="I32" s="31"/>
      <c r="J32" s="26"/>
      <c r="K32" s="26" t="str">
        <f>IFERROR(__xludf.DUMMYFUNCTION("""COMPUTED_VALUE"""),"NO")</f>
        <v>NO</v>
      </c>
    </row>
    <row r="33" ht="12.75" customHeight="1">
      <c r="A33" s="20"/>
      <c r="B33" s="21" t="str">
        <f>IFERROR(__xludf.DUMMYFUNCTION("""COMPUTED_VALUE"""),"Zurich Insurance")</f>
        <v>Zurich Insurance</v>
      </c>
      <c r="C33" s="32" t="str">
        <f>IFERROR(__xludf.DUMMYFUNCTION("""COMPUTED_VALUE"""),"Technology Management Summer Internship 2025")</f>
        <v>Technology Management Summer Internship 2025</v>
      </c>
      <c r="D33" s="29">
        <f>IFERROR(__xludf.DUMMYFUNCTION("""COMPUTED_VALUE"""),45544.0)</f>
        <v>45544</v>
      </c>
      <c r="E33" s="28">
        <f>IFERROR(__xludf.DUMMYFUNCTION("""COMPUTED_VALUE"""),45585.0)</f>
        <v>45585</v>
      </c>
      <c r="F33" s="25"/>
      <c r="G33" s="31" t="str">
        <f>IFERROR(__xludf.DUMMYFUNCTION("""COMPUTED_VALUE"""),"Yes")</f>
        <v>Yes</v>
      </c>
      <c r="H33" s="31" t="str">
        <f>IFERROR(__xludf.DUMMYFUNCTION("""COMPUTED_VALUE"""),"Optional")</f>
        <v>Optional</v>
      </c>
      <c r="I33" s="31" t="str">
        <f>IFERROR(__xludf.DUMMYFUNCTION("""COMPUTED_VALUE"""),"No")</f>
        <v>No</v>
      </c>
      <c r="J33" s="26"/>
      <c r="K33" s="26" t="str">
        <f>IFERROR(__xludf.DUMMYFUNCTION("""COMPUTED_VALUE"""),"NO")</f>
        <v>NO</v>
      </c>
    </row>
    <row r="34" ht="12.75" customHeight="1">
      <c r="A34" s="20"/>
      <c r="B34" s="21" t="str">
        <f>IFERROR(__xludf.DUMMYFUNCTION("""COMPUTED_VALUE"""),"Cisco")</f>
        <v>Cisco</v>
      </c>
      <c r="C34" s="27" t="str">
        <f>IFERROR(__xludf.DUMMYFUNCTION("""COMPUTED_VALUE"""),"Software Engineer Internship - Summer 2025")</f>
        <v>Software Engineer Internship - Summer 2025</v>
      </c>
      <c r="D34" s="29">
        <f>IFERROR(__xludf.DUMMYFUNCTION("""COMPUTED_VALUE"""),45545.0)</f>
        <v>45545</v>
      </c>
      <c r="E34" s="28"/>
      <c r="F34" s="29">
        <f>IFERROR(__xludf.DUMMYFUNCTION("""COMPUTED_VALUE"""),45201.0)</f>
        <v>45201</v>
      </c>
      <c r="G34" s="31" t="str">
        <f>IFERROR(__xludf.DUMMYFUNCTION("""COMPUTED_VALUE"""),"Yes")</f>
        <v>Yes</v>
      </c>
      <c r="H34" s="31" t="str">
        <f>IFERROR(__xludf.DUMMYFUNCTION("""COMPUTED_VALUE"""),"No")</f>
        <v>No</v>
      </c>
      <c r="I34" s="31" t="str">
        <f>IFERROR(__xludf.DUMMYFUNCTION("""COMPUTED_VALUE"""),"No")</f>
        <v>No</v>
      </c>
      <c r="J34" s="26"/>
      <c r="K34" s="26" t="str">
        <f>IFERROR(__xludf.DUMMYFUNCTION("""COMPUTED_VALUE"""),"NO")</f>
        <v>NO</v>
      </c>
    </row>
    <row r="35" ht="12.75" customHeight="1">
      <c r="A35" s="20"/>
      <c r="B35" s="21" t="str">
        <f>IFERROR(__xludf.DUMMYFUNCTION("""COMPUTED_VALUE"""),"G-Research")</f>
        <v>G-Research</v>
      </c>
      <c r="C35" s="32" t="str">
        <f>IFERROR(__xludf.DUMMYFUNCTION("""COMPUTED_VALUE"""),"Software Engineering Internship")</f>
        <v>Software Engineering Internship</v>
      </c>
      <c r="D35" s="29">
        <f>IFERROR(__xludf.DUMMYFUNCTION("""COMPUTED_VALUE"""),45545.0)</f>
        <v>45545</v>
      </c>
      <c r="E35" s="24"/>
      <c r="F35" s="29">
        <f>IFERROR(__xludf.DUMMYFUNCTION("""COMPUTED_VALUE"""),45138.0)</f>
        <v>45138</v>
      </c>
      <c r="G35" s="31"/>
      <c r="H35" s="31"/>
      <c r="I35" s="31"/>
      <c r="J35" s="26"/>
      <c r="K35" s="26" t="str">
        <f>IFERROR(__xludf.DUMMYFUNCTION("""COMPUTED_VALUE"""),"NO")</f>
        <v>NO</v>
      </c>
    </row>
    <row r="36" ht="12.75" customHeight="1">
      <c r="A36" s="20"/>
      <c r="B36" s="21" t="str">
        <f>IFERROR(__xludf.DUMMYFUNCTION("""COMPUTED_VALUE"""),"Susquehanna International Group")</f>
        <v>Susquehanna International Group</v>
      </c>
      <c r="C36" s="32" t="str">
        <f>IFERROR(__xludf.DUMMYFUNCTION("""COMPUTED_VALUE"""),"Software Development Summer Internship 2025")</f>
        <v>Software Development Summer Internship 2025</v>
      </c>
      <c r="D36" s="29">
        <f>IFERROR(__xludf.DUMMYFUNCTION("""COMPUTED_VALUE"""),45547.0)</f>
        <v>45547</v>
      </c>
      <c r="E36" s="28"/>
      <c r="F36" s="29">
        <f>IFERROR(__xludf.DUMMYFUNCTION("""COMPUTED_VALUE"""),45173.0)</f>
        <v>45173</v>
      </c>
      <c r="G36" s="33" t="str">
        <f>IFERROR(__xludf.DUMMYFUNCTION("""COMPUTED_VALUE"""),"Yes")</f>
        <v>Yes</v>
      </c>
      <c r="H36" s="33" t="str">
        <f>IFERROR(__xludf.DUMMYFUNCTION("""COMPUTED_VALUE"""),"No")</f>
        <v>No</v>
      </c>
      <c r="I36" s="33" t="str">
        <f>IFERROR(__xludf.DUMMYFUNCTION("""COMPUTED_VALUE"""),"No")</f>
        <v>No</v>
      </c>
      <c r="J36" s="26"/>
      <c r="K36" s="26" t="str">
        <f>IFERROR(__xludf.DUMMYFUNCTION("""COMPUTED_VALUE"""),"NO")</f>
        <v>NO</v>
      </c>
    </row>
    <row r="37" ht="12.75" customHeight="1">
      <c r="A37" s="20"/>
      <c r="B37" s="21" t="str">
        <f>IFERROR(__xludf.DUMMYFUNCTION("""COMPUTED_VALUE"""),"Epic Games")</f>
        <v>Epic Games</v>
      </c>
      <c r="C37" s="27" t="str">
        <f>IFERROR(__xludf.DUMMYFUNCTION("""COMPUTED_VALUE"""),"Intern")</f>
        <v>Intern</v>
      </c>
      <c r="D37" s="29">
        <f>IFERROR(__xludf.DUMMYFUNCTION("""COMPUTED_VALUE"""),45547.0)</f>
        <v>45547</v>
      </c>
      <c r="E37" s="28"/>
      <c r="F37" s="29">
        <f>IFERROR(__xludf.DUMMYFUNCTION("""COMPUTED_VALUE"""),45181.0)</f>
        <v>45181</v>
      </c>
      <c r="G37" s="31" t="str">
        <f>IFERROR(__xludf.DUMMYFUNCTION("""COMPUTED_VALUE"""),"Yes")</f>
        <v>Yes</v>
      </c>
      <c r="H37" s="31" t="str">
        <f>IFERROR(__xludf.DUMMYFUNCTION("""COMPUTED_VALUE"""),"Optional")</f>
        <v>Optional</v>
      </c>
      <c r="I37" s="31" t="str">
        <f>IFERROR(__xludf.DUMMYFUNCTION("""COMPUTED_VALUE"""),"No")</f>
        <v>No</v>
      </c>
      <c r="J37" s="26"/>
      <c r="K37" s="26" t="str">
        <f>IFERROR(__xludf.DUMMYFUNCTION("""COMPUTED_VALUE"""),"NO")</f>
        <v>NO</v>
      </c>
    </row>
    <row r="38" ht="12.75" customHeight="1">
      <c r="A38" s="20"/>
      <c r="B38" s="21" t="str">
        <f>IFERROR(__xludf.DUMMYFUNCTION("""COMPUTED_VALUE"""),"Softwire")</f>
        <v>Softwire</v>
      </c>
      <c r="C38" s="27" t="str">
        <f>IFERROR(__xludf.DUMMYFUNCTION("""COMPUTED_VALUE"""),"Software Development Internship")</f>
        <v>Software Development Internship</v>
      </c>
      <c r="D38" s="29">
        <f>IFERROR(__xludf.DUMMYFUNCTION("""COMPUTED_VALUE"""),45547.0)</f>
        <v>45547</v>
      </c>
      <c r="E38" s="24"/>
      <c r="F38" s="29"/>
      <c r="G38" s="31" t="str">
        <f>IFERROR(__xludf.DUMMYFUNCTION("""COMPUTED_VALUE"""),"No")</f>
        <v>No</v>
      </c>
      <c r="H38" s="31" t="str">
        <f>IFERROR(__xludf.DUMMYFUNCTION("""COMPUTED_VALUE"""),"No")</f>
        <v>No</v>
      </c>
      <c r="I38" s="31" t="str">
        <f>IFERROR(__xludf.DUMMYFUNCTION("""COMPUTED_VALUE"""),"Yes")</f>
        <v>Yes</v>
      </c>
      <c r="J38" s="26"/>
      <c r="K38" s="26" t="str">
        <f>IFERROR(__xludf.DUMMYFUNCTION("""COMPUTED_VALUE"""),"NO")</f>
        <v>NO</v>
      </c>
    </row>
    <row r="39" ht="12.75" customHeight="1">
      <c r="A39" s="20"/>
      <c r="B39" s="21" t="str">
        <f>IFERROR(__xludf.DUMMYFUNCTION("""COMPUTED_VALUE"""),"BAE Systems")</f>
        <v>BAE Systems</v>
      </c>
      <c r="C39" s="32" t="str">
        <f>IFERROR(__xludf.DUMMYFUNCTION("""COMPUTED_VALUE"""),"Summer Internship - Software Engineer")</f>
        <v>Summer Internship - Software Engineer</v>
      </c>
      <c r="D39" s="29">
        <f>IFERROR(__xludf.DUMMYFUNCTION("""COMPUTED_VALUE"""),45547.0)</f>
        <v>45547</v>
      </c>
      <c r="E39" s="28"/>
      <c r="F39" s="29">
        <f>IFERROR(__xludf.DUMMYFUNCTION("""COMPUTED_VALUE"""),45181.0)</f>
        <v>45181</v>
      </c>
      <c r="G39" s="33" t="str">
        <f>IFERROR(__xludf.DUMMYFUNCTION("""COMPUTED_VALUE"""),"No")</f>
        <v>No</v>
      </c>
      <c r="H39" s="34" t="str">
        <f>IFERROR(__xludf.DUMMYFUNCTION("""COMPUTED_VALUE"""),"No")</f>
        <v>No</v>
      </c>
      <c r="I39" s="33" t="str">
        <f>IFERROR(__xludf.DUMMYFUNCTION("""COMPUTED_VALUE"""),"No")</f>
        <v>No</v>
      </c>
      <c r="J39" s="26"/>
      <c r="K39" s="26" t="str">
        <f>IFERROR(__xludf.DUMMYFUNCTION("""COMPUTED_VALUE"""),"NO")</f>
        <v>NO</v>
      </c>
    </row>
    <row r="40" ht="12.75" customHeight="1">
      <c r="A40" s="20"/>
      <c r="B40" s="21" t="str">
        <f>IFERROR(__xludf.DUMMYFUNCTION("""COMPUTED_VALUE"""),"Amazon")</f>
        <v>Amazon</v>
      </c>
      <c r="C40" s="27" t="str">
        <f>IFERROR(__xludf.DUMMYFUNCTION("""COMPUTED_VALUE"""),"2025 Software Dev Engineer Intern")</f>
        <v>2025 Software Dev Engineer Intern</v>
      </c>
      <c r="D40" s="29">
        <f>IFERROR(__xludf.DUMMYFUNCTION("""COMPUTED_VALUE"""),45547.0)</f>
        <v>45547</v>
      </c>
      <c r="E40" s="28"/>
      <c r="F40" s="29"/>
      <c r="G40" s="31" t="str">
        <f>IFERROR(__xludf.DUMMYFUNCTION("""COMPUTED_VALUE"""),"Yes")</f>
        <v>Yes</v>
      </c>
      <c r="H40" s="31" t="str">
        <f>IFERROR(__xludf.DUMMYFUNCTION("""COMPUTED_VALUE"""),"No")</f>
        <v>No</v>
      </c>
      <c r="I40" s="31" t="str">
        <f>IFERROR(__xludf.DUMMYFUNCTION("""COMPUTED_VALUE"""),"No")</f>
        <v>No</v>
      </c>
      <c r="J40" s="26"/>
      <c r="K40" s="26" t="str">
        <f>IFERROR(__xludf.DUMMYFUNCTION("""COMPUTED_VALUE"""),"NO")</f>
        <v>NO</v>
      </c>
    </row>
    <row r="41" ht="12.75" customHeight="1">
      <c r="A41" s="20"/>
      <c r="B41" s="21" t="str">
        <f>IFERROR(__xludf.DUMMYFUNCTION("""COMPUTED_VALUE"""),"Mizuho")</f>
        <v>Mizuho</v>
      </c>
      <c r="C41" s="27" t="str">
        <f>IFERROR(__xludf.DUMMYFUNCTION("""COMPUTED_VALUE"""),"IT Summer Internship")</f>
        <v>IT Summer Internship</v>
      </c>
      <c r="D41" s="29">
        <f>IFERROR(__xludf.DUMMYFUNCTION("""COMPUTED_VALUE"""),45548.0)</f>
        <v>45548</v>
      </c>
      <c r="E41" s="28">
        <f>IFERROR(__xludf.DUMMYFUNCTION("""COMPUTED_VALUE"""),45576.0)</f>
        <v>45576</v>
      </c>
      <c r="F41" s="29">
        <f>IFERROR(__xludf.DUMMYFUNCTION("""COMPUTED_VALUE"""),45219.0)</f>
        <v>45219</v>
      </c>
      <c r="G41" s="25"/>
      <c r="H41" s="25"/>
      <c r="I41" s="25"/>
      <c r="J41" s="26"/>
      <c r="K41" s="26" t="str">
        <f>IFERROR(__xludf.DUMMYFUNCTION("""COMPUTED_VALUE"""),"NO")</f>
        <v>NO</v>
      </c>
    </row>
    <row r="42" ht="12.75" customHeight="1">
      <c r="A42" s="20"/>
      <c r="B42" s="21" t="str">
        <f>IFERROR(__xludf.DUMMYFUNCTION("""COMPUTED_VALUE"""),"Wells Fargo")</f>
        <v>Wells Fargo</v>
      </c>
      <c r="C42" s="27" t="str">
        <f>IFERROR(__xludf.DUMMYFUNCTION("""COMPUTED_VALUE"""),"EMEA Technology Summer Analyst")</f>
        <v>EMEA Technology Summer Analyst</v>
      </c>
      <c r="D42" s="29">
        <f>IFERROR(__xludf.DUMMYFUNCTION("""COMPUTED_VALUE"""),45548.0)</f>
        <v>45548</v>
      </c>
      <c r="E42" s="24">
        <f>IFERROR(__xludf.DUMMYFUNCTION("""COMPUTED_VALUE"""),45611.0)</f>
        <v>45611</v>
      </c>
      <c r="F42" s="29"/>
      <c r="G42" s="31"/>
      <c r="H42" s="31"/>
      <c r="I42" s="31"/>
      <c r="J42" s="26"/>
      <c r="K42" s="26" t="str">
        <f>IFERROR(__xludf.DUMMYFUNCTION("""COMPUTED_VALUE"""),"NO")</f>
        <v>NO</v>
      </c>
    </row>
    <row r="43" ht="12.75" customHeight="1">
      <c r="A43" s="20"/>
      <c r="B43" s="21" t="str">
        <f>IFERROR(__xludf.DUMMYFUNCTION("""COMPUTED_VALUE"""),"IMC Trading")</f>
        <v>IMC Trading</v>
      </c>
      <c r="C43" s="27" t="str">
        <f>IFERROR(__xludf.DUMMYFUNCTION("""COMPUTED_VALUE"""),"Software Engineer Intern")</f>
        <v>Software Engineer Intern</v>
      </c>
      <c r="D43" s="29">
        <f>IFERROR(__xludf.DUMMYFUNCTION("""COMPUTED_VALUE"""),45548.0)</f>
        <v>45548</v>
      </c>
      <c r="E43" s="28"/>
      <c r="F43" s="29"/>
      <c r="G43" s="33" t="str">
        <f>IFERROR(__xludf.DUMMYFUNCTION("""COMPUTED_VALUE"""),"Yes")</f>
        <v>Yes</v>
      </c>
      <c r="H43" s="33" t="str">
        <f>IFERROR(__xludf.DUMMYFUNCTION("""COMPUTED_VALUE"""),"Optional")</f>
        <v>Optional</v>
      </c>
      <c r="I43" s="33" t="str">
        <f>IFERROR(__xludf.DUMMYFUNCTION("""COMPUTED_VALUE"""),"No")</f>
        <v>No</v>
      </c>
      <c r="J43" s="26"/>
      <c r="K43" s="26" t="str">
        <f>IFERROR(__xludf.DUMMYFUNCTION("""COMPUTED_VALUE"""),"NO")</f>
        <v>NO</v>
      </c>
    </row>
    <row r="44" ht="12.75" customHeight="1">
      <c r="A44" s="20"/>
      <c r="B44" s="21" t="str">
        <f>IFERROR(__xludf.DUMMYFUNCTION("""COMPUTED_VALUE"""),"Capital One")</f>
        <v>Capital One</v>
      </c>
      <c r="C44" s="27" t="str">
        <f>IFERROR(__xludf.DUMMYFUNCTION("""COMPUTED_VALUE"""),"Technology Intern")</f>
        <v>Technology Intern</v>
      </c>
      <c r="D44" s="29">
        <f>IFERROR(__xludf.DUMMYFUNCTION("""COMPUTED_VALUE"""),45551.0)</f>
        <v>45551</v>
      </c>
      <c r="E44" s="24">
        <f>IFERROR(__xludf.DUMMYFUNCTION("""COMPUTED_VALUE"""),45600.0)</f>
        <v>45600</v>
      </c>
      <c r="F44" s="29">
        <f>IFERROR(__xludf.DUMMYFUNCTION("""COMPUTED_VALUE"""),45183.0)</f>
        <v>45183</v>
      </c>
      <c r="G44" s="25" t="str">
        <f>IFERROR(__xludf.DUMMYFUNCTION("""COMPUTED_VALUE"""),"Yes")</f>
        <v>Yes</v>
      </c>
      <c r="H44" s="25" t="str">
        <f>IFERROR(__xludf.DUMMYFUNCTION("""COMPUTED_VALUE"""),"No")</f>
        <v>No</v>
      </c>
      <c r="I44" s="25" t="str">
        <f>IFERROR(__xludf.DUMMYFUNCTION("""COMPUTED_VALUE"""),"No")</f>
        <v>No</v>
      </c>
      <c r="J44" s="26"/>
      <c r="K44" s="26" t="str">
        <f>IFERROR(__xludf.DUMMYFUNCTION("""COMPUTED_VALUE"""),"NO")</f>
        <v>NO</v>
      </c>
    </row>
    <row r="45" ht="12.75" customHeight="1">
      <c r="A45" s="20"/>
      <c r="B45" s="21" t="str">
        <f>IFERROR(__xludf.DUMMYFUNCTION("""COMPUTED_VALUE"""),"Deloitte")</f>
        <v>Deloitte</v>
      </c>
      <c r="C45" s="27" t="str">
        <f>IFERROR(__xludf.DUMMYFUNCTION("""COMPUTED_VALUE"""),"Summer Vacation Scheme")</f>
        <v>Summer Vacation Scheme</v>
      </c>
      <c r="D45" s="29">
        <f>IFERROR(__xludf.DUMMYFUNCTION("""COMPUTED_VALUE"""),45551.0)</f>
        <v>45551</v>
      </c>
      <c r="E45" s="28"/>
      <c r="F45" s="29"/>
      <c r="G45" s="25"/>
      <c r="H45" s="25"/>
      <c r="I45" s="25"/>
      <c r="J45" s="26"/>
      <c r="K45" s="26" t="str">
        <f>IFERROR(__xludf.DUMMYFUNCTION("""COMPUTED_VALUE"""),"NO")</f>
        <v>NO</v>
      </c>
    </row>
    <row r="46" ht="12.75" customHeight="1">
      <c r="A46" s="20"/>
      <c r="B46" s="21" t="str">
        <f>IFERROR(__xludf.DUMMYFUNCTION("""COMPUTED_VALUE"""),"Deutsche Bank")</f>
        <v>Deutsche Bank</v>
      </c>
      <c r="C46" s="27" t="str">
        <f>IFERROR(__xludf.DUMMYFUNCTION("""COMPUTED_VALUE"""),"Internship Programme - Technology")</f>
        <v>Internship Programme - Technology</v>
      </c>
      <c r="D46" s="29">
        <f>IFERROR(__xludf.DUMMYFUNCTION("""COMPUTED_VALUE"""),45551.0)</f>
        <v>45551</v>
      </c>
      <c r="E46" s="28">
        <f>IFERROR(__xludf.DUMMYFUNCTION("""COMPUTED_VALUE"""),45620.0)</f>
        <v>45620</v>
      </c>
      <c r="F46" s="29"/>
      <c r="G46" s="25" t="str">
        <f>IFERROR(__xludf.DUMMYFUNCTION("""COMPUTED_VALUE"""),"Yes")</f>
        <v>Yes</v>
      </c>
      <c r="H46" s="25" t="str">
        <f>IFERROR(__xludf.DUMMYFUNCTION("""COMPUTED_VALUE"""),"Yes")</f>
        <v>Yes</v>
      </c>
      <c r="I46" s="25" t="str">
        <f>IFERROR(__xludf.DUMMYFUNCTION("""COMPUTED_VALUE"""),"No")</f>
        <v>No</v>
      </c>
      <c r="J46" s="26"/>
      <c r="K46" s="26" t="str">
        <f>IFERROR(__xludf.DUMMYFUNCTION("""COMPUTED_VALUE"""),"NO")</f>
        <v>NO</v>
      </c>
    </row>
    <row r="47" ht="12.75" customHeight="1">
      <c r="A47" s="20"/>
      <c r="B47" s="21" t="str">
        <f>IFERROR(__xludf.DUMMYFUNCTION("""COMPUTED_VALUE"""),"Galaxy")</f>
        <v>Galaxy</v>
      </c>
      <c r="C47" s="32" t="str">
        <f>IFERROR(__xludf.DUMMYFUNCTION("""COMPUTED_VALUE"""),"2025 Blockchain Engineering Intern")</f>
        <v>2025 Blockchain Engineering Intern</v>
      </c>
      <c r="D47" s="29">
        <f>IFERROR(__xludf.DUMMYFUNCTION("""COMPUTED_VALUE"""),45552.0)</f>
        <v>45552</v>
      </c>
      <c r="E47" s="24"/>
      <c r="F47" s="29">
        <f>IFERROR(__xludf.DUMMYFUNCTION("""COMPUTED_VALUE"""),45168.0)</f>
        <v>45168</v>
      </c>
      <c r="G47" s="35" t="str">
        <f>IFERROR(__xludf.DUMMYFUNCTION("""COMPUTED_VALUE"""),"Yes")</f>
        <v>Yes</v>
      </c>
      <c r="H47" s="31" t="str">
        <f>IFERROR(__xludf.DUMMYFUNCTION("""COMPUTED_VALUE"""),"Optional")</f>
        <v>Optional</v>
      </c>
      <c r="I47" s="31" t="str">
        <f>IFERROR(__xludf.DUMMYFUNCTION("""COMPUTED_VALUE"""),"Yes")</f>
        <v>Yes</v>
      </c>
      <c r="J47" s="26"/>
      <c r="K47" s="26" t="str">
        <f>IFERROR(__xludf.DUMMYFUNCTION("""COMPUTED_VALUE"""),"NO")</f>
        <v>NO</v>
      </c>
    </row>
    <row r="48" ht="12.75" customHeight="1">
      <c r="A48" s="20"/>
      <c r="B48" s="21" t="str">
        <f>IFERROR(__xludf.DUMMYFUNCTION("""COMPUTED_VALUE"""),"MUFG")</f>
        <v>MUFG</v>
      </c>
      <c r="C48" s="36" t="str">
        <f>IFERROR(__xludf.DUMMYFUNCTION("""COMPUTED_VALUE"""),"2025 Summer Internship Programme: Technology")</f>
        <v>2025 Summer Internship Programme: Technology</v>
      </c>
      <c r="D48" s="29"/>
      <c r="E48" s="24"/>
      <c r="F48" s="29">
        <f>IFERROR(__xludf.DUMMYFUNCTION("""COMPUTED_VALUE"""),45238.0)</f>
        <v>45238</v>
      </c>
      <c r="G48" s="31"/>
      <c r="H48" s="31"/>
      <c r="I48" s="31"/>
      <c r="J48" s="26"/>
      <c r="K48" s="26" t="str">
        <f>IFERROR(__xludf.DUMMYFUNCTION("""COMPUTED_VALUE"""),"NO")</f>
        <v>NO</v>
      </c>
    </row>
    <row r="49" ht="12.75" customHeight="1">
      <c r="A49" s="20"/>
      <c r="B49" s="20" t="str">
        <f>IFERROR(__xludf.DUMMYFUNCTION("""COMPUTED_VALUE"""),"Accelercom")</f>
        <v>Accelercom</v>
      </c>
      <c r="C49" s="37" t="str">
        <f>IFERROR(__xludf.DUMMYFUNCTION("""COMPUTED_VALUE"""),"Summer Internship Python 2025")</f>
        <v>Summer Internship Python 2025</v>
      </c>
      <c r="D49" s="29"/>
      <c r="E49" s="28"/>
      <c r="F49" s="29"/>
      <c r="G49" s="25"/>
      <c r="H49" s="25"/>
      <c r="I49" s="25"/>
      <c r="J49" s="26"/>
      <c r="K49" s="26" t="str">
        <f>IFERROR(__xludf.DUMMYFUNCTION("""COMPUTED_VALUE"""),"NO")</f>
        <v>NO</v>
      </c>
    </row>
    <row r="50" ht="12.75" customHeight="1">
      <c r="A50" s="20"/>
      <c r="B50" s="21" t="str">
        <f>IFERROR(__xludf.DUMMYFUNCTION("""COMPUTED_VALUE"""),"Addepar")</f>
        <v>Addepar</v>
      </c>
      <c r="C50" s="37" t="str">
        <f>IFERROR(__xludf.DUMMYFUNCTION("""COMPUTED_VALUE"""),"Software Engineer Intern")</f>
        <v>Software Engineer Intern</v>
      </c>
      <c r="D50" s="23"/>
      <c r="E50" s="28"/>
      <c r="F50" s="23"/>
      <c r="G50" s="38"/>
      <c r="H50" s="38"/>
      <c r="I50" s="38"/>
      <c r="J50" s="26"/>
      <c r="K50" s="26" t="str">
        <f>IFERROR(__xludf.DUMMYFUNCTION("""COMPUTED_VALUE"""),"NO")</f>
        <v>NO</v>
      </c>
    </row>
    <row r="51" ht="12.75" customHeight="1">
      <c r="A51" s="20"/>
      <c r="B51" s="20" t="str">
        <f>IFERROR(__xludf.DUMMYFUNCTION("""COMPUTED_VALUE"""),"BP")</f>
        <v>BP</v>
      </c>
      <c r="C51" s="37" t="str">
        <f>IFERROR(__xludf.DUMMYFUNCTION("""COMPUTED_VALUE"""),"Summer Internship - Software Engineering")</f>
        <v>Summer Internship - Software Engineering</v>
      </c>
      <c r="D51" s="29"/>
      <c r="E51" s="28"/>
      <c r="F51" s="29"/>
      <c r="G51" s="31"/>
      <c r="H51" s="31"/>
      <c r="I51" s="31"/>
      <c r="J51" s="26"/>
      <c r="K51" s="26" t="str">
        <f>IFERROR(__xludf.DUMMYFUNCTION("""COMPUTED_VALUE"""),"NO")</f>
        <v>NO</v>
      </c>
    </row>
    <row r="52" ht="12.75" customHeight="1">
      <c r="A52" s="20"/>
      <c r="B52" s="21" t="str">
        <f>IFERROR(__xludf.DUMMYFUNCTION("""COMPUTED_VALUE"""),"Financial Conduct Authority")</f>
        <v>Financial Conduct Authority</v>
      </c>
      <c r="C52" s="36" t="str">
        <f>IFERROR(__xludf.DUMMYFUNCTION("""COMPUTED_VALUE"""),"2025 Summer Internship Programme: Technology")</f>
        <v>2025 Summer Internship Programme: Technology</v>
      </c>
      <c r="D52" s="29"/>
      <c r="E52" s="28"/>
      <c r="F52" s="29"/>
      <c r="G52" s="25"/>
      <c r="H52" s="25"/>
      <c r="I52" s="25"/>
      <c r="J52" s="26"/>
      <c r="K52" s="26" t="str">
        <f>IFERROR(__xludf.DUMMYFUNCTION("""COMPUTED_VALUE"""),"NO")</f>
        <v>NO</v>
      </c>
    </row>
    <row r="53" ht="12.75" customHeight="1">
      <c r="A53" s="20"/>
      <c r="B53" s="21" t="str">
        <f>IFERROR(__xludf.DUMMYFUNCTION("""COMPUTED_VALUE"""),"Marsh McLennan")</f>
        <v>Marsh McLennan</v>
      </c>
      <c r="C53" s="36" t="str">
        <f>IFERROR(__xludf.DUMMYFUNCTION("""COMPUTED_VALUE"""),"Tech Support Summer Internship 2025")</f>
        <v>Tech Support Summer Internship 2025</v>
      </c>
      <c r="D53" s="29"/>
      <c r="E53" s="28"/>
      <c r="F53" s="29"/>
      <c r="G53" s="31"/>
      <c r="H53" s="31"/>
      <c r="I53" s="31"/>
      <c r="J53" s="26"/>
      <c r="K53" s="26" t="str">
        <f>IFERROR(__xludf.DUMMYFUNCTION("""COMPUTED_VALUE"""),"NO")</f>
        <v>NO</v>
      </c>
    </row>
    <row r="54" ht="12.75" customHeight="1">
      <c r="A54" s="20"/>
      <c r="B54" s="21" t="str">
        <f>IFERROR(__xludf.DUMMYFUNCTION("""COMPUTED_VALUE"""),"National Highways")</f>
        <v>National Highways</v>
      </c>
      <c r="C54" s="36" t="str">
        <f>IFERROR(__xludf.DUMMYFUNCTION("""COMPUTED_VALUE"""),"Summer Internship - Digital and IT Services")</f>
        <v>Summer Internship - Digital and IT Services</v>
      </c>
      <c r="D54" s="29"/>
      <c r="E54" s="28"/>
      <c r="F54" s="29"/>
      <c r="G54" s="31"/>
      <c r="H54" s="31"/>
      <c r="I54" s="31"/>
      <c r="J54" s="26"/>
      <c r="K54" s="26" t="str">
        <f>IFERROR(__xludf.DUMMYFUNCTION("""COMPUTED_VALUE"""),"NO")</f>
        <v>NO</v>
      </c>
    </row>
    <row r="55" ht="12.75" customHeight="1">
      <c r="A55" s="20"/>
      <c r="B55" s="21" t="str">
        <f>IFERROR(__xludf.DUMMYFUNCTION("""COMPUTED_VALUE"""),"Netcraft")</f>
        <v>Netcraft</v>
      </c>
      <c r="C55" s="37" t="str">
        <f>IFERROR(__xludf.DUMMYFUNCTION("""COMPUTED_VALUE"""),"Summer Internship")</f>
        <v>Summer Internship</v>
      </c>
      <c r="D55" s="29"/>
      <c r="E55" s="28"/>
      <c r="F55" s="29"/>
      <c r="G55" s="31" t="str">
        <f>IFERROR(__xludf.DUMMYFUNCTION("""COMPUTED_VALUE"""),"No")</f>
        <v>No</v>
      </c>
      <c r="H55" s="31" t="str">
        <f>IFERROR(__xludf.DUMMYFUNCTION("""COMPUTED_VALUE"""),"No")</f>
        <v>No</v>
      </c>
      <c r="I55" s="31" t="str">
        <f>IFERROR(__xludf.DUMMYFUNCTION("""COMPUTED_VALUE"""),"Yes")</f>
        <v>Yes</v>
      </c>
      <c r="J55" s="26"/>
      <c r="K55" s="26" t="str">
        <f>IFERROR(__xludf.DUMMYFUNCTION("""COMPUTED_VALUE"""),"NO")</f>
        <v>NO</v>
      </c>
    </row>
    <row r="56" ht="12.75" customHeight="1">
      <c r="A56" s="20"/>
      <c r="B56" s="21" t="str">
        <f>IFERROR(__xludf.DUMMYFUNCTION("""COMPUTED_VALUE"""),"Nutanix")</f>
        <v>Nutanix</v>
      </c>
      <c r="C56" s="36" t="str">
        <f>IFERROR(__xludf.DUMMYFUNCTION("""COMPUTED_VALUE"""),"Software Engineer Intern")</f>
        <v>Software Engineer Intern</v>
      </c>
      <c r="D56" s="29"/>
      <c r="E56" s="28"/>
      <c r="F56" s="29"/>
      <c r="G56" s="31" t="str">
        <f>IFERROR(__xludf.DUMMYFUNCTION("""COMPUTED_VALUE"""),"Yes")</f>
        <v>Yes</v>
      </c>
      <c r="H56" s="31" t="str">
        <f>IFERROR(__xludf.DUMMYFUNCTION("""COMPUTED_VALUE"""),"Optional")</f>
        <v>Optional</v>
      </c>
      <c r="I56" s="31" t="str">
        <f>IFERROR(__xludf.DUMMYFUNCTION("""COMPUTED_VALUE"""),"Yes")</f>
        <v>Yes</v>
      </c>
      <c r="J56" s="26"/>
      <c r="K56" s="26" t="str">
        <f>IFERROR(__xludf.DUMMYFUNCTION("""COMPUTED_VALUE"""),"NO")</f>
        <v>NO</v>
      </c>
    </row>
    <row r="57" ht="12.75" customHeight="1">
      <c r="A57" s="20"/>
      <c r="B57" s="20" t="str">
        <f>IFERROR(__xludf.DUMMYFUNCTION("""COMPUTED_VALUE"""),"Terra")</f>
        <v>Terra</v>
      </c>
      <c r="C57" s="37" t="str">
        <f>IFERROR(__xludf.DUMMYFUNCTION("""COMPUTED_VALUE"""),"AI and Engineering Intern")</f>
        <v>AI and Engineering Intern</v>
      </c>
      <c r="D57" s="29"/>
      <c r="E57" s="28"/>
      <c r="F57" s="29"/>
      <c r="G57" s="25"/>
      <c r="H57" s="25"/>
      <c r="I57" s="25"/>
      <c r="J57" s="39"/>
      <c r="K57" s="39" t="str">
        <f>IFERROR(__xludf.DUMMYFUNCTION("""COMPUTED_VALUE"""),"NO")</f>
        <v>NO</v>
      </c>
    </row>
    <row r="58" ht="12.75" customHeight="1">
      <c r="A58" s="20"/>
      <c r="B58" s="21" t="str">
        <f>IFERROR(__xludf.DUMMYFUNCTION("""COMPUTED_VALUE"""),"Two Sigma")</f>
        <v>Two Sigma</v>
      </c>
      <c r="C58" s="37" t="str">
        <f>IFERROR(__xludf.DUMMYFUNCTION("""COMPUTED_VALUE"""),"Software Engineering Internship")</f>
        <v>Software Engineering Internship</v>
      </c>
      <c r="D58" s="29"/>
      <c r="E58" s="28"/>
      <c r="F58" s="29"/>
      <c r="G58" s="25"/>
      <c r="H58" s="25"/>
      <c r="I58" s="25"/>
      <c r="J58" s="26"/>
      <c r="K58" s="26" t="str">
        <f>IFERROR(__xludf.DUMMYFUNCTION("""COMPUTED_VALUE"""),"NO")</f>
        <v>NO</v>
      </c>
    </row>
    <row r="59" ht="12.75" customHeight="1">
      <c r="A59" s="20"/>
      <c r="B59" s="21" t="str">
        <f>IFERROR(__xludf.DUMMYFUNCTION("""COMPUTED_VALUE"""),"Universal Music Group")</f>
        <v>Universal Music Group</v>
      </c>
      <c r="C59" s="37" t="str">
        <f>IFERROR(__xludf.DUMMYFUNCTION("""COMPUTED_VALUE"""),"IT Intern")</f>
        <v>IT Intern</v>
      </c>
      <c r="D59" s="29"/>
      <c r="E59" s="28"/>
      <c r="F59" s="29"/>
      <c r="G59" s="25"/>
      <c r="H59" s="25"/>
      <c r="I59" s="25"/>
      <c r="J59" s="26"/>
      <c r="K59" s="26" t="str">
        <f>IFERROR(__xludf.DUMMYFUNCTION("""COMPUTED_VALUE"""),"NO")</f>
        <v>NO</v>
      </c>
    </row>
    <row r="60" ht="12.75" customHeight="1">
      <c r="A60" s="20"/>
      <c r="B60" s="21" t="str">
        <f>IFERROR(__xludf.DUMMYFUNCTION("""COMPUTED_VALUE"""),"D.E. Shaw")</f>
        <v>D.E. Shaw</v>
      </c>
      <c r="C60" s="36" t="str">
        <f>IFERROR(__xludf.DUMMYFUNCTION("""COMPUTED_VALUE"""),"Systems: Engineering Intern - Summer 2025")</f>
        <v>Systems: Engineering Intern - Summer 2025</v>
      </c>
      <c r="D60" s="29"/>
      <c r="E60" s="28"/>
      <c r="F60" s="29">
        <f>IFERROR(__xludf.DUMMYFUNCTION("""COMPUTED_VALUE"""),45089.0)</f>
        <v>45089</v>
      </c>
      <c r="G60" s="25" t="str">
        <f>IFERROR(__xludf.DUMMYFUNCTION("""COMPUTED_VALUE"""),"Yes")</f>
        <v>Yes</v>
      </c>
      <c r="H60" s="25" t="str">
        <f>IFERROR(__xludf.DUMMYFUNCTION("""COMPUTED_VALUE"""),"No")</f>
        <v>No</v>
      </c>
      <c r="I60" s="25" t="str">
        <f>IFERROR(__xludf.DUMMYFUNCTION("""COMPUTED_VALUE"""),"Yes")</f>
        <v>Yes</v>
      </c>
      <c r="J60" s="26"/>
      <c r="K60" s="26" t="str">
        <f>IFERROR(__xludf.DUMMYFUNCTION("""COMPUTED_VALUE"""),"NO")</f>
        <v>NO</v>
      </c>
    </row>
    <row r="61" ht="12.75" customHeight="1">
      <c r="A61" s="20"/>
      <c r="B61" s="21" t="str">
        <f>IFERROR(__xludf.DUMMYFUNCTION("""COMPUTED_VALUE"""),"RBC Capital Markets")</f>
        <v>RBC Capital Markets</v>
      </c>
      <c r="C61" s="37" t="str">
        <f>IFERROR(__xludf.DUMMYFUNCTION("""COMPUTED_VALUE"""),"2025 Summer Analyst - Quantitative Technology")</f>
        <v>2025 Summer Analyst - Quantitative Technology</v>
      </c>
      <c r="D61" s="29"/>
      <c r="E61" s="28"/>
      <c r="F61" s="29">
        <f>IFERROR(__xludf.DUMMYFUNCTION("""COMPUTED_VALUE"""),45154.0)</f>
        <v>45154</v>
      </c>
      <c r="G61" s="25" t="str">
        <f>IFERROR(__xludf.DUMMYFUNCTION("""COMPUTED_VALUE"""),"Yes")</f>
        <v>Yes</v>
      </c>
      <c r="H61" s="25" t="str">
        <f>IFERROR(__xludf.DUMMYFUNCTION("""COMPUTED_VALUE"""),"Optional")</f>
        <v>Optional</v>
      </c>
      <c r="I61" s="25" t="str">
        <f>IFERROR(__xludf.DUMMYFUNCTION("""COMPUTED_VALUE"""),"No")</f>
        <v>No</v>
      </c>
      <c r="J61" s="26"/>
      <c r="K61" s="26" t="str">
        <f>IFERROR(__xludf.DUMMYFUNCTION("""COMPUTED_VALUE"""),"NO")</f>
        <v>NO</v>
      </c>
    </row>
    <row r="62" ht="12.75" customHeight="1">
      <c r="A62" s="20"/>
      <c r="B62" s="21" t="str">
        <f>IFERROR(__xludf.DUMMYFUNCTION("""COMPUTED_VALUE"""),"HSBC")</f>
        <v>HSBC</v>
      </c>
      <c r="C62" s="37" t="str">
        <f>IFERROR(__xludf.DUMMYFUNCTION("""COMPUTED_VALUE"""),"Digital Innovation Summer Internship 2023-2025")</f>
        <v>Digital Innovation Summer Internship 2023-2025</v>
      </c>
      <c r="D62" s="29"/>
      <c r="E62" s="28"/>
      <c r="F62" s="29">
        <f>IFERROR(__xludf.DUMMYFUNCTION("""COMPUTED_VALUE"""),45154.0)</f>
        <v>45154</v>
      </c>
      <c r="G62" s="25"/>
      <c r="H62" s="25"/>
      <c r="I62" s="25"/>
      <c r="J62" s="26"/>
      <c r="K62" s="26" t="str">
        <f>IFERROR(__xludf.DUMMYFUNCTION("""COMPUTED_VALUE"""),"NO")</f>
        <v>NO</v>
      </c>
    </row>
    <row r="63" ht="12.75" customHeight="1">
      <c r="A63" s="20"/>
      <c r="B63" s="21" t="str">
        <f>IFERROR(__xludf.DUMMYFUNCTION("""COMPUTED_VALUE"""),"BNY Mellon")</f>
        <v>BNY Mellon</v>
      </c>
      <c r="C63" s="37" t="str">
        <f>IFERROR(__xludf.DUMMYFUNCTION("""COMPUTED_VALUE"""),"2025 Summer Internship Program - Engineering")</f>
        <v>2025 Summer Internship Program - Engineering</v>
      </c>
      <c r="D63" s="29"/>
      <c r="E63" s="28"/>
      <c r="F63" s="29">
        <f>IFERROR(__xludf.DUMMYFUNCTION("""COMPUTED_VALUE"""),45162.0)</f>
        <v>45162</v>
      </c>
      <c r="G63" s="25"/>
      <c r="H63" s="25"/>
      <c r="I63" s="25"/>
      <c r="J63" s="26"/>
      <c r="K63" s="26" t="str">
        <f>IFERROR(__xludf.DUMMYFUNCTION("""COMPUTED_VALUE"""),"NO")</f>
        <v>NO</v>
      </c>
    </row>
    <row r="64" ht="12.75" customHeight="1">
      <c r="A64" s="20"/>
      <c r="B64" s="21" t="str">
        <f>IFERROR(__xludf.DUMMYFUNCTION("""COMPUTED_VALUE"""),"Hudson River Trading")</f>
        <v>Hudson River Trading</v>
      </c>
      <c r="C64" s="36" t="str">
        <f>IFERROR(__xludf.DUMMYFUNCTION("""COMPUTED_VALUE"""),"Software Engineering Internship - Summer 2025")</f>
        <v>Software Engineering Internship - Summer 2025</v>
      </c>
      <c r="D64" s="29"/>
      <c r="E64" s="24"/>
      <c r="F64" s="29">
        <f>IFERROR(__xludf.DUMMYFUNCTION("""COMPUTED_VALUE"""),45168.0)</f>
        <v>45168</v>
      </c>
      <c r="G64" s="25" t="str">
        <f>IFERROR(__xludf.DUMMYFUNCTION("""COMPUTED_VALUE"""),"Yes")</f>
        <v>Yes</v>
      </c>
      <c r="H64" s="25" t="str">
        <f>IFERROR(__xludf.DUMMYFUNCTION("""COMPUTED_VALUE"""),"Yes")</f>
        <v>Yes</v>
      </c>
      <c r="I64" s="25" t="str">
        <f>IFERROR(__xludf.DUMMYFUNCTION("""COMPUTED_VALUE"""),"No")</f>
        <v>No</v>
      </c>
      <c r="J64" s="26"/>
      <c r="K64" s="26" t="str">
        <f>IFERROR(__xludf.DUMMYFUNCTION("""COMPUTED_VALUE"""),"NO")</f>
        <v>NO</v>
      </c>
    </row>
    <row r="65" ht="12.75" customHeight="1">
      <c r="A65" s="20"/>
      <c r="B65" s="21" t="str">
        <f>IFERROR(__xludf.DUMMYFUNCTION("""COMPUTED_VALUE"""),"Barclays")</f>
        <v>Barclays</v>
      </c>
      <c r="C65" s="36" t="str">
        <f>IFERROR(__xludf.DUMMYFUNCTION("""COMPUTED_VALUE"""),"Technology Summer Internship Programme 2025")</f>
        <v>Technology Summer Internship Programme 2025</v>
      </c>
      <c r="D65" s="29"/>
      <c r="E65" s="24"/>
      <c r="F65" s="29">
        <f>IFERROR(__xludf.DUMMYFUNCTION("""COMPUTED_VALUE"""),45174.0)</f>
        <v>45174</v>
      </c>
      <c r="G65" s="25" t="str">
        <f>IFERROR(__xludf.DUMMYFUNCTION("""COMPUTED_VALUE"""),"Yes")</f>
        <v>Yes</v>
      </c>
      <c r="H65" s="25" t="str">
        <f>IFERROR(__xludf.DUMMYFUNCTION("""COMPUTED_VALUE"""),"Optional")</f>
        <v>Optional</v>
      </c>
      <c r="I65" s="25" t="str">
        <f>IFERROR(__xludf.DUMMYFUNCTION("""COMPUTED_VALUE"""),"No")</f>
        <v>No</v>
      </c>
      <c r="J65" s="26"/>
      <c r="K65" s="26" t="str">
        <f>IFERROR(__xludf.DUMMYFUNCTION("""COMPUTED_VALUE"""),"NO")</f>
        <v>NO</v>
      </c>
    </row>
    <row r="66" ht="12.75" customHeight="1">
      <c r="A66" s="20"/>
      <c r="B66" s="21" t="str">
        <f>IFERROR(__xludf.DUMMYFUNCTION("""COMPUTED_VALUE"""),"Balyasny Asset Management")</f>
        <v>Balyasny Asset Management</v>
      </c>
      <c r="C66" s="36" t="str">
        <f>IFERROR(__xludf.DUMMYFUNCTION("""COMPUTED_VALUE"""),"Software Engineering - 2025 Summer Internship")</f>
        <v>Software Engineering - 2025 Summer Internship</v>
      </c>
      <c r="D66" s="29"/>
      <c r="E66" s="28"/>
      <c r="F66" s="29">
        <f>IFERROR(__xludf.DUMMYFUNCTION("""COMPUTED_VALUE"""),45179.0)</f>
        <v>45179</v>
      </c>
      <c r="G66" s="25"/>
      <c r="H66" s="25"/>
      <c r="I66" s="25"/>
      <c r="J66" s="26"/>
      <c r="K66" s="26" t="str">
        <f>IFERROR(__xludf.DUMMYFUNCTION("""COMPUTED_VALUE"""),"NO")</f>
        <v>NO</v>
      </c>
    </row>
    <row r="67" ht="12.75" customHeight="1">
      <c r="A67" s="20"/>
      <c r="B67" s="21" t="str">
        <f>IFERROR(__xludf.DUMMYFUNCTION("""COMPUTED_VALUE"""),"American Express")</f>
        <v>American Express</v>
      </c>
      <c r="C67" s="37" t="str">
        <f>IFERROR(__xludf.DUMMYFUNCTION("""COMPUTED_VALUE"""),"Internship - Technology Software Engineer")</f>
        <v>Internship - Technology Software Engineer</v>
      </c>
      <c r="D67" s="29"/>
      <c r="E67" s="24"/>
      <c r="F67" s="29">
        <f>IFERROR(__xludf.DUMMYFUNCTION("""COMPUTED_VALUE"""),45187.0)</f>
        <v>45187</v>
      </c>
      <c r="G67" s="31"/>
      <c r="H67" s="31"/>
      <c r="I67" s="31"/>
      <c r="J67" s="26"/>
      <c r="K67" s="26" t="str">
        <f>IFERROR(__xludf.DUMMYFUNCTION("""COMPUTED_VALUE"""),"NO")</f>
        <v>NO</v>
      </c>
    </row>
    <row r="68" ht="12.75" customHeight="1">
      <c r="A68" s="20"/>
      <c r="B68" s="21" t="str">
        <f>IFERROR(__xludf.DUMMYFUNCTION("""COMPUTED_VALUE"""),"EY")</f>
        <v>EY</v>
      </c>
      <c r="C68" s="37" t="str">
        <f>IFERROR(__xludf.DUMMYFUNCTION("""COMPUTED_VALUE"""),"Summer Internship 2025 - Technology Consulting")</f>
        <v>Summer Internship 2025 - Technology Consulting</v>
      </c>
      <c r="D68" s="29"/>
      <c r="E68" s="28"/>
      <c r="F68" s="29">
        <f>IFERROR(__xludf.DUMMYFUNCTION("""COMPUTED_VALUE"""),45189.0)</f>
        <v>45189</v>
      </c>
      <c r="G68" s="31" t="str">
        <f>IFERROR(__xludf.DUMMYFUNCTION("""COMPUTED_VALUE"""),"Yes")</f>
        <v>Yes</v>
      </c>
      <c r="H68" s="31" t="str">
        <f>IFERROR(__xludf.DUMMYFUNCTION("""COMPUTED_VALUE"""),"Optional")</f>
        <v>Optional</v>
      </c>
      <c r="I68" s="31" t="str">
        <f>IFERROR(__xludf.DUMMYFUNCTION("""COMPUTED_VALUE"""),"No")</f>
        <v>No</v>
      </c>
      <c r="J68" s="26" t="str">
        <f>IFERROR(__xludf.DUMMYFUNCTION("""COMPUTED_VALUE"""),"There is another opening for Platform Engineering")</f>
        <v>There is another opening for Platform Engineering</v>
      </c>
      <c r="K68" s="26" t="str">
        <f>IFERROR(__xludf.DUMMYFUNCTION("""COMPUTED_VALUE"""),"NO")</f>
        <v>NO</v>
      </c>
    </row>
    <row r="69" ht="12.75" customHeight="1">
      <c r="A69" s="20"/>
      <c r="B69" s="21" t="str">
        <f>IFERROR(__xludf.DUMMYFUNCTION("""COMPUTED_VALUE"""),"Natwest Markets")</f>
        <v>Natwest Markets</v>
      </c>
      <c r="C69" s="36" t="str">
        <f>IFERROR(__xludf.DUMMYFUNCTION("""COMPUTED_VALUE"""),"Internal Audit, Technology - Internship")</f>
        <v>Internal Audit, Technology - Internship</v>
      </c>
      <c r="D69" s="29"/>
      <c r="E69" s="24"/>
      <c r="F69" s="29">
        <f>IFERROR(__xludf.DUMMYFUNCTION("""COMPUTED_VALUE"""),45194.0)</f>
        <v>45194</v>
      </c>
      <c r="G69" s="31" t="str">
        <f>IFERROR(__xludf.DUMMYFUNCTION("""COMPUTED_VALUE"""),"Yes")</f>
        <v>Yes</v>
      </c>
      <c r="H69" s="31" t="str">
        <f>IFERROR(__xludf.DUMMYFUNCTION("""COMPUTED_VALUE"""),"No")</f>
        <v>No</v>
      </c>
      <c r="I69" s="31" t="str">
        <f>IFERROR(__xludf.DUMMYFUNCTION("""COMPUTED_VALUE"""),"No")</f>
        <v>No</v>
      </c>
      <c r="J69" s="26"/>
      <c r="K69" s="26" t="str">
        <f>IFERROR(__xludf.DUMMYFUNCTION("""COMPUTED_VALUE"""),"NO")</f>
        <v>NO</v>
      </c>
    </row>
    <row r="70" ht="12.75" customHeight="1">
      <c r="A70" s="20"/>
      <c r="B70" s="21" t="str">
        <f>IFERROR(__xludf.DUMMYFUNCTION("""COMPUTED_VALUE"""),"Schonfeld")</f>
        <v>Schonfeld</v>
      </c>
      <c r="C70" s="37" t="str">
        <f>IFERROR(__xludf.DUMMYFUNCTION("""COMPUTED_VALUE"""),"2025 Network Engineering Summer Internship")</f>
        <v>2025 Network Engineering Summer Internship</v>
      </c>
      <c r="D70" s="29"/>
      <c r="E70" s="28"/>
      <c r="F70" s="29">
        <f>IFERROR(__xludf.DUMMYFUNCTION("""COMPUTED_VALUE"""),45197.0)</f>
        <v>45197</v>
      </c>
      <c r="G70" s="25"/>
      <c r="H70" s="25"/>
      <c r="I70" s="25"/>
      <c r="J70" s="26"/>
      <c r="K70" s="26" t="str">
        <f>IFERROR(__xludf.DUMMYFUNCTION("""COMPUTED_VALUE"""),"NO")</f>
        <v>NO</v>
      </c>
    </row>
    <row r="71" ht="12.75" customHeight="1">
      <c r="A71" s="20"/>
      <c r="B71" s="21" t="str">
        <f>IFERROR(__xludf.DUMMYFUNCTION("""COMPUTED_VALUE"""),"Willis Towers Watson")</f>
        <v>Willis Towers Watson</v>
      </c>
      <c r="C71" s="36" t="str">
        <f>IFERROR(__xludf.DUMMYFUNCTION("""COMPUTED_VALUE"""),"2025 Software Developer Internship")</f>
        <v>2025 Software Developer Internship</v>
      </c>
      <c r="D71" s="29"/>
      <c r="E71" s="28"/>
      <c r="F71" s="29">
        <f>IFERROR(__xludf.DUMMYFUNCTION("""COMPUTED_VALUE"""),45197.0)</f>
        <v>45197</v>
      </c>
      <c r="G71" s="31" t="str">
        <f>IFERROR(__xludf.DUMMYFUNCTION("""COMPUTED_VALUE"""),"Yes")</f>
        <v>Yes</v>
      </c>
      <c r="H71" s="31" t="str">
        <f>IFERROR(__xludf.DUMMYFUNCTION("""COMPUTED_VALUE"""),"No")</f>
        <v>No</v>
      </c>
      <c r="I71" s="31" t="str">
        <f>IFERROR(__xludf.DUMMYFUNCTION("""COMPUTED_VALUE"""),"Yes")</f>
        <v>Yes</v>
      </c>
      <c r="J71" s="26"/>
      <c r="K71" s="26" t="str">
        <f>IFERROR(__xludf.DUMMYFUNCTION("""COMPUTED_VALUE"""),"NO")</f>
        <v>NO</v>
      </c>
    </row>
    <row r="72" ht="12.75" customHeight="1">
      <c r="A72" s="20"/>
      <c r="B72" s="21" t="str">
        <f>IFERROR(__xludf.DUMMYFUNCTION("""COMPUTED_VALUE"""),"M&amp;G")</f>
        <v>M&amp;G</v>
      </c>
      <c r="C72" s="37" t="str">
        <f>IFERROR(__xludf.DUMMYFUNCTION("""COMPUTED_VALUE"""),"Technology Summer Internship (London)")</f>
        <v>Technology Summer Internship (London)</v>
      </c>
      <c r="D72" s="29"/>
      <c r="E72" s="28"/>
      <c r="F72" s="29">
        <f>IFERROR(__xludf.DUMMYFUNCTION("""COMPUTED_VALUE"""),45208.0)</f>
        <v>45208</v>
      </c>
      <c r="G72" s="25" t="str">
        <f>IFERROR(__xludf.DUMMYFUNCTION("""COMPUTED_VALUE"""),"Yes")</f>
        <v>Yes</v>
      </c>
      <c r="H72" s="25" t="str">
        <f>IFERROR(__xludf.DUMMYFUNCTION("""COMPUTED_VALUE"""),"No")</f>
        <v>No</v>
      </c>
      <c r="I72" s="25" t="str">
        <f>IFERROR(__xludf.DUMMYFUNCTION("""COMPUTED_VALUE"""),"No")</f>
        <v>No</v>
      </c>
      <c r="J72" s="26"/>
      <c r="K72" s="26" t="str">
        <f>IFERROR(__xludf.DUMMYFUNCTION("""COMPUTED_VALUE"""),"NO")</f>
        <v>NO</v>
      </c>
    </row>
    <row r="73" ht="12.75" customHeight="1">
      <c r="A73" s="20"/>
      <c r="B73" s="21" t="str">
        <f>IFERROR(__xludf.DUMMYFUNCTION("""COMPUTED_VALUE"""),"Textron")</f>
        <v>Textron</v>
      </c>
      <c r="C73" s="36" t="str">
        <f>IFERROR(__xludf.DUMMYFUNCTION("""COMPUTED_VALUE"""),"2025 IT Summer Internship")</f>
        <v>2025 IT Summer Internship</v>
      </c>
      <c r="D73" s="29"/>
      <c r="E73" s="28"/>
      <c r="F73" s="29">
        <f>IFERROR(__xludf.DUMMYFUNCTION("""COMPUTED_VALUE"""),45210.0)</f>
        <v>45210</v>
      </c>
      <c r="G73" s="25" t="str">
        <f>IFERROR(__xludf.DUMMYFUNCTION("""COMPUTED_VALUE"""),"Yes")</f>
        <v>Yes</v>
      </c>
      <c r="H73" s="25" t="str">
        <f>IFERROR(__xludf.DUMMYFUNCTION("""COMPUTED_VALUE"""),"Optional")</f>
        <v>Optional</v>
      </c>
      <c r="I73" s="25" t="str">
        <f>IFERROR(__xludf.DUMMYFUNCTION("""COMPUTED_VALUE"""),"Yes")</f>
        <v>Yes</v>
      </c>
      <c r="J73" s="26"/>
      <c r="K73" s="26" t="str">
        <f>IFERROR(__xludf.DUMMYFUNCTION("""COMPUTED_VALUE"""),"NO")</f>
        <v>NO</v>
      </c>
    </row>
    <row r="74" ht="12.75" customHeight="1">
      <c r="A74" s="20"/>
      <c r="B74" s="21" t="str">
        <f>IFERROR(__xludf.DUMMYFUNCTION("""COMPUTED_VALUE"""),"TD Securities")</f>
        <v>TD Securities</v>
      </c>
      <c r="C74" s="36" t="str">
        <f>IFERROR(__xludf.DUMMYFUNCTION("""COMPUTED_VALUE"""),"Intern Tech Summer Programme 2025")</f>
        <v>Intern Tech Summer Programme 2025</v>
      </c>
      <c r="D74" s="29"/>
      <c r="E74" s="28"/>
      <c r="F74" s="29">
        <f>IFERROR(__xludf.DUMMYFUNCTION("""COMPUTED_VALUE"""),45211.0)</f>
        <v>45211</v>
      </c>
      <c r="G74" s="25"/>
      <c r="H74" s="25"/>
      <c r="I74" s="25"/>
      <c r="J74" s="26"/>
      <c r="K74" s="26" t="str">
        <f>IFERROR(__xludf.DUMMYFUNCTION("""COMPUTED_VALUE"""),"NO")</f>
        <v>NO</v>
      </c>
    </row>
    <row r="75" ht="12.75" customHeight="1">
      <c r="A75" s="20"/>
      <c r="B75" s="21" t="str">
        <f>IFERROR(__xludf.DUMMYFUNCTION("""COMPUTED_VALUE"""),"Cloudflare")</f>
        <v>Cloudflare</v>
      </c>
      <c r="C75" s="36" t="str">
        <f>IFERROR(__xludf.DUMMYFUNCTION("""COMPUTED_VALUE"""),"Software Engineer - Intern (Summer 2025)")</f>
        <v>Software Engineer - Intern (Summer 2025)</v>
      </c>
      <c r="D75" s="29"/>
      <c r="E75" s="28"/>
      <c r="F75" s="29">
        <f>IFERROR(__xludf.DUMMYFUNCTION("""COMPUTED_VALUE"""),45212.0)</f>
        <v>45212</v>
      </c>
      <c r="G75" s="31"/>
      <c r="H75" s="31"/>
      <c r="I75" s="31"/>
      <c r="J75" s="39"/>
      <c r="K75" s="39" t="str">
        <f>IFERROR(__xludf.DUMMYFUNCTION("""COMPUTED_VALUE"""),"NO")</f>
        <v>NO</v>
      </c>
    </row>
    <row r="76" ht="12.75" customHeight="1">
      <c r="A76" s="20"/>
      <c r="B76" s="21" t="str">
        <f>IFERROR(__xludf.DUMMYFUNCTION("""COMPUTED_VALUE"""),"MathWorks")</f>
        <v>MathWorks</v>
      </c>
      <c r="C76" s="36" t="str">
        <f>IFERROR(__xludf.DUMMYFUNCTION("""COMPUTED_VALUE"""),"Software Development Internship")</f>
        <v>Software Development Internship</v>
      </c>
      <c r="D76" s="29"/>
      <c r="E76" s="28"/>
      <c r="F76" s="29">
        <f>IFERROR(__xludf.DUMMYFUNCTION("""COMPUTED_VALUE"""),45212.0)</f>
        <v>45212</v>
      </c>
      <c r="G76" s="31" t="str">
        <f>IFERROR(__xludf.DUMMYFUNCTION("""COMPUTED_VALUE"""),"Yes")</f>
        <v>Yes</v>
      </c>
      <c r="H76" s="31" t="str">
        <f>IFERROR(__xludf.DUMMYFUNCTION("""COMPUTED_VALUE"""),"Yes")</f>
        <v>Yes</v>
      </c>
      <c r="I76" s="31" t="str">
        <f>IFERROR(__xludf.DUMMYFUNCTION("""COMPUTED_VALUE"""),"Yes")</f>
        <v>Yes</v>
      </c>
      <c r="J76" s="39"/>
      <c r="K76" s="39" t="str">
        <f>IFERROR(__xludf.DUMMYFUNCTION("""COMPUTED_VALUE"""),"NO")</f>
        <v>NO</v>
      </c>
    </row>
    <row r="77" ht="12.75" customHeight="1">
      <c r="A77" s="20"/>
      <c r="B77" s="21" t="str">
        <f>IFERROR(__xludf.DUMMYFUNCTION("""COMPUTED_VALUE"""),"Tesco")</f>
        <v>Tesco</v>
      </c>
      <c r="C77" s="37" t="str">
        <f>IFERROR(__xludf.DUMMYFUNCTION("""COMPUTED_VALUE"""),"Software Engineering Internship")</f>
        <v>Software Engineering Internship</v>
      </c>
      <c r="D77" s="29"/>
      <c r="E77" s="24"/>
      <c r="F77" s="29">
        <f>IFERROR(__xludf.DUMMYFUNCTION("""COMPUTED_VALUE"""),45216.0)</f>
        <v>45216</v>
      </c>
      <c r="G77" s="31"/>
      <c r="H77" s="31"/>
      <c r="I77" s="31"/>
      <c r="J77" s="26"/>
      <c r="K77" s="26" t="str">
        <f>IFERROR(__xludf.DUMMYFUNCTION("""COMPUTED_VALUE"""),"NO")</f>
        <v>NO</v>
      </c>
    </row>
    <row r="78" ht="12.75" customHeight="1">
      <c r="A78" s="20"/>
      <c r="B78" s="21" t="str">
        <f>IFERROR(__xludf.DUMMYFUNCTION("""COMPUTED_VALUE"""),"McLaren")</f>
        <v>McLaren</v>
      </c>
      <c r="C78" s="37" t="str">
        <f>IFERROR(__xludf.DUMMYFUNCTION("""COMPUTED_VALUE"""),"IT Internship Scheme")</f>
        <v>IT Internship Scheme</v>
      </c>
      <c r="D78" s="29"/>
      <c r="E78" s="28"/>
      <c r="F78" s="29">
        <f>IFERROR(__xludf.DUMMYFUNCTION("""COMPUTED_VALUE"""),45216.0)</f>
        <v>45216</v>
      </c>
      <c r="G78" s="25"/>
      <c r="H78" s="25"/>
      <c r="I78" s="25"/>
      <c r="J78" s="26"/>
      <c r="K78" s="26" t="str">
        <f>IFERROR(__xludf.DUMMYFUNCTION("""COMPUTED_VALUE"""),"NO")</f>
        <v>NO</v>
      </c>
    </row>
    <row r="79" ht="12.75" customHeight="1">
      <c r="A79" s="20"/>
      <c r="B79" s="21" t="str">
        <f>IFERROR(__xludf.DUMMYFUNCTION("""COMPUTED_VALUE"""),"TP ICAP")</f>
        <v>TP ICAP</v>
      </c>
      <c r="C79" s="36" t="str">
        <f>IFERROR(__xludf.DUMMYFUNCTION("""COMPUTED_VALUE"""),"Technology Summer Internship 2025")</f>
        <v>Technology Summer Internship 2025</v>
      </c>
      <c r="D79" s="29"/>
      <c r="E79" s="28"/>
      <c r="F79" s="29">
        <f>IFERROR(__xludf.DUMMYFUNCTION("""COMPUTED_VALUE"""),45219.0)</f>
        <v>45219</v>
      </c>
      <c r="G79" s="31" t="str">
        <f>IFERROR(__xludf.DUMMYFUNCTION("""COMPUTED_VALUE"""),"Yes")</f>
        <v>Yes</v>
      </c>
      <c r="H79" s="31" t="str">
        <f>IFERROR(__xludf.DUMMYFUNCTION("""COMPUTED_VALUE"""),"Optional")</f>
        <v>Optional</v>
      </c>
      <c r="I79" s="31" t="str">
        <f>IFERROR(__xludf.DUMMYFUNCTION("""COMPUTED_VALUE"""),"No")</f>
        <v>No</v>
      </c>
      <c r="J79" s="26"/>
      <c r="K79" s="26" t="str">
        <f>IFERROR(__xludf.DUMMYFUNCTION("""COMPUTED_VALUE"""),"NO")</f>
        <v>NO</v>
      </c>
    </row>
    <row r="80" ht="12.75" customHeight="1">
      <c r="A80" s="20"/>
      <c r="B80" s="21" t="str">
        <f>IFERROR(__xludf.DUMMYFUNCTION("""COMPUTED_VALUE"""),"Blackstone")</f>
        <v>Blackstone</v>
      </c>
      <c r="C80" s="36" t="str">
        <f>IFERROR(__xludf.DUMMYFUNCTION("""COMPUTED_VALUE"""),"Software Developer Summer Analyst")</f>
        <v>Software Developer Summer Analyst</v>
      </c>
      <c r="D80" s="29"/>
      <c r="E80" s="28"/>
      <c r="F80" s="29">
        <f>IFERROR(__xludf.DUMMYFUNCTION("""COMPUTED_VALUE"""),45225.0)</f>
        <v>45225</v>
      </c>
      <c r="G80" s="31"/>
      <c r="H80" s="31"/>
      <c r="I80" s="31"/>
      <c r="J80" s="26"/>
      <c r="K80" s="26" t="str">
        <f>IFERROR(__xludf.DUMMYFUNCTION("""COMPUTED_VALUE"""),"NO")</f>
        <v>NO</v>
      </c>
    </row>
    <row r="81" ht="12.75" customHeight="1">
      <c r="A81" s="20"/>
      <c r="B81" s="21" t="str">
        <f>IFERROR(__xludf.DUMMYFUNCTION("""COMPUTED_VALUE"""),"MarketAxess")</f>
        <v>MarketAxess</v>
      </c>
      <c r="C81" s="36" t="str">
        <f>IFERROR(__xludf.DUMMYFUNCTION("""COMPUTED_VALUE"""),"Software Engineering Intern 2025")</f>
        <v>Software Engineering Intern 2025</v>
      </c>
      <c r="D81" s="29"/>
      <c r="E81" s="24"/>
      <c r="F81" s="29">
        <f>IFERROR(__xludf.DUMMYFUNCTION("""COMPUTED_VALUE"""),45225.0)</f>
        <v>45225</v>
      </c>
      <c r="G81" s="25" t="str">
        <f>IFERROR(__xludf.DUMMYFUNCTION("""COMPUTED_VALUE"""),"Yes")</f>
        <v>Yes</v>
      </c>
      <c r="H81" s="25" t="str">
        <f>IFERROR(__xludf.DUMMYFUNCTION("""COMPUTED_VALUE"""),"Optional")</f>
        <v>Optional</v>
      </c>
      <c r="I81" s="25" t="str">
        <f>IFERROR(__xludf.DUMMYFUNCTION("""COMPUTED_VALUE"""),"Yes")</f>
        <v>Yes</v>
      </c>
      <c r="J81" s="26"/>
      <c r="K81" s="26" t="str">
        <f>IFERROR(__xludf.DUMMYFUNCTION("""COMPUTED_VALUE"""),"NO")</f>
        <v>NO</v>
      </c>
    </row>
    <row r="82" ht="12.75" customHeight="1">
      <c r="A82" s="20"/>
      <c r="B82" s="21" t="str">
        <f>IFERROR(__xludf.DUMMYFUNCTION("""COMPUTED_VALUE"""),"FactSet")</f>
        <v>FactSet</v>
      </c>
      <c r="C82" s="37" t="str">
        <f>IFERROR(__xludf.DUMMYFUNCTION("""COMPUTED_VALUE"""),"Software Engineer Intern")</f>
        <v>Software Engineer Intern</v>
      </c>
      <c r="D82" s="29"/>
      <c r="E82" s="24"/>
      <c r="F82" s="29">
        <f>IFERROR(__xludf.DUMMYFUNCTION("""COMPUTED_VALUE"""),45225.0)</f>
        <v>45225</v>
      </c>
      <c r="G82" s="25"/>
      <c r="H82" s="25"/>
      <c r="I82" s="25"/>
      <c r="J82" s="26"/>
      <c r="K82" s="26" t="str">
        <f>IFERROR(__xludf.DUMMYFUNCTION("""COMPUTED_VALUE"""),"NO")</f>
        <v>NO</v>
      </c>
    </row>
    <row r="83" ht="12.75" customHeight="1">
      <c r="A83" s="20"/>
      <c r="B83" s="21" t="str">
        <f>IFERROR(__xludf.DUMMYFUNCTION("""COMPUTED_VALUE"""),"Qube RT")</f>
        <v>Qube RT</v>
      </c>
      <c r="C83" s="36" t="str">
        <f>IFERROR(__xludf.DUMMYFUNCTION("""COMPUTED_VALUE"""),"2025 - Internship - Software Engineering")</f>
        <v>2025 - Internship - Software Engineering</v>
      </c>
      <c r="D83" s="29"/>
      <c r="E83" s="28"/>
      <c r="F83" s="29">
        <f>IFERROR(__xludf.DUMMYFUNCTION("""COMPUTED_VALUE"""),45226.0)</f>
        <v>45226</v>
      </c>
      <c r="G83" s="31" t="str">
        <f>IFERROR(__xludf.DUMMYFUNCTION("""COMPUTED_VALUE"""),"Yes")</f>
        <v>Yes</v>
      </c>
      <c r="H83" s="31" t="str">
        <f>IFERROR(__xludf.DUMMYFUNCTION("""COMPUTED_VALUE"""),"Optional")</f>
        <v>Optional</v>
      </c>
      <c r="I83" s="31" t="str">
        <f>IFERROR(__xludf.DUMMYFUNCTION("""COMPUTED_VALUE"""),"No")</f>
        <v>No</v>
      </c>
      <c r="J83" s="26"/>
      <c r="K83" s="26" t="str">
        <f>IFERROR(__xludf.DUMMYFUNCTION("""COMPUTED_VALUE"""),"NO")</f>
        <v>NO</v>
      </c>
    </row>
    <row r="84" ht="12.75" customHeight="1">
      <c r="A84" s="20"/>
      <c r="B84" s="21" t="str">
        <f>IFERROR(__xludf.DUMMYFUNCTION("""COMPUTED_VALUE"""),"Cisco")</f>
        <v>Cisco</v>
      </c>
      <c r="C84" s="36" t="str">
        <f>IFERROR(__xludf.DUMMYFUNCTION("""COMPUTED_VALUE"""),"Software Engineer - Micro Intern")</f>
        <v>Software Engineer - Micro Intern</v>
      </c>
      <c r="D84" s="29"/>
      <c r="E84" s="28"/>
      <c r="F84" s="29">
        <f>IFERROR(__xludf.DUMMYFUNCTION("""COMPUTED_VALUE"""),45226.0)</f>
        <v>45226</v>
      </c>
      <c r="G84" s="31"/>
      <c r="H84" s="31"/>
      <c r="I84" s="31"/>
      <c r="J84" s="26"/>
      <c r="K84" s="26" t="str">
        <f>IFERROR(__xludf.DUMMYFUNCTION("""COMPUTED_VALUE"""),"NO")</f>
        <v>NO</v>
      </c>
    </row>
    <row r="85" ht="12.75" customHeight="1">
      <c r="A85" s="20"/>
      <c r="B85" s="21" t="str">
        <f>IFERROR(__xludf.DUMMYFUNCTION("""COMPUTED_VALUE"""),"PA Consulting")</f>
        <v>PA Consulting</v>
      </c>
      <c r="C85" s="37" t="str">
        <f>IFERROR(__xludf.DUMMYFUNCTION("""COMPUTED_VALUE"""),"Software Engineering - Summer Internship")</f>
        <v>Software Engineering - Summer Internship</v>
      </c>
      <c r="D85" s="29"/>
      <c r="E85" s="24"/>
      <c r="F85" s="29">
        <f>IFERROR(__xludf.DUMMYFUNCTION("""COMPUTED_VALUE"""),45229.0)</f>
        <v>45229</v>
      </c>
      <c r="G85" s="25"/>
      <c r="H85" s="25"/>
      <c r="I85" s="25"/>
      <c r="J85" s="26" t="str">
        <f>IFERROR(__xludf.DUMMYFUNCTION("""COMPUTED_VALUE"""),"There is another opening for Technology - Infrastructure")</f>
        <v>There is another opening for Technology - Infrastructure</v>
      </c>
      <c r="K85" s="26" t="str">
        <f>IFERROR(__xludf.DUMMYFUNCTION("""COMPUTED_VALUE"""),"NO")</f>
        <v>NO</v>
      </c>
    </row>
    <row r="86" ht="12.75" customHeight="1">
      <c r="A86" s="20"/>
      <c r="B86" s="21" t="str">
        <f>IFERROR(__xludf.DUMMYFUNCTION("""COMPUTED_VALUE"""),"HME")</f>
        <v>HME</v>
      </c>
      <c r="C86" s="37" t="str">
        <f>IFERROR(__xludf.DUMMYFUNCTION("""COMPUTED_VALUE"""),"Software Engineering Intern")</f>
        <v>Software Engineering Intern</v>
      </c>
      <c r="D86" s="29"/>
      <c r="E86" s="28"/>
      <c r="F86" s="29">
        <f>IFERROR(__xludf.DUMMYFUNCTION("""COMPUTED_VALUE"""),45234.0)</f>
        <v>45234</v>
      </c>
      <c r="G86" s="25"/>
      <c r="H86" s="25"/>
      <c r="I86" s="25"/>
      <c r="J86" s="26"/>
      <c r="K86" s="26" t="str">
        <f>IFERROR(__xludf.DUMMYFUNCTION("""COMPUTED_VALUE"""),"NO")</f>
        <v>NO</v>
      </c>
    </row>
    <row r="87" ht="12.75" customHeight="1">
      <c r="A87" s="20"/>
      <c r="B87" s="21" t="str">
        <f>IFERROR(__xludf.DUMMYFUNCTION("""COMPUTED_VALUE"""),"BGC Partners")</f>
        <v>BGC Partners</v>
      </c>
      <c r="C87" s="37" t="str">
        <f>IFERROR(__xludf.DUMMYFUNCTION("""COMPUTED_VALUE"""),"Technology Summer Internship - Development")</f>
        <v>Technology Summer Internship - Development</v>
      </c>
      <c r="D87" s="29"/>
      <c r="E87" s="28"/>
      <c r="F87" s="29">
        <f>IFERROR(__xludf.DUMMYFUNCTION("""COMPUTED_VALUE"""),45236.0)</f>
        <v>45236</v>
      </c>
      <c r="G87" s="25" t="str">
        <f>IFERROR(__xludf.DUMMYFUNCTION("""COMPUTED_VALUE"""),"Yes")</f>
        <v>Yes</v>
      </c>
      <c r="H87" s="25" t="str">
        <f>IFERROR(__xludf.DUMMYFUNCTION("""COMPUTED_VALUE"""),"No")</f>
        <v>No</v>
      </c>
      <c r="I87" s="25" t="str">
        <f>IFERROR(__xludf.DUMMYFUNCTION("""COMPUTED_VALUE"""),"Yes")</f>
        <v>Yes</v>
      </c>
      <c r="J87" s="26"/>
      <c r="K87" s="26" t="str">
        <f>IFERROR(__xludf.DUMMYFUNCTION("""COMPUTED_VALUE"""),"NO")</f>
        <v>NO</v>
      </c>
    </row>
    <row r="88" ht="12.75" customHeight="1">
      <c r="A88" s="20"/>
      <c r="B88" s="21" t="str">
        <f>IFERROR(__xludf.DUMMYFUNCTION("""COMPUTED_VALUE"""),"Frazer-Nash Consultancy")</f>
        <v>Frazer-Nash Consultancy</v>
      </c>
      <c r="C88" s="37" t="str">
        <f>IFERROR(__xludf.DUMMYFUNCTION("""COMPUTED_VALUE"""),"Data Science &amp; Software Summer Intern 2025")</f>
        <v>Data Science &amp; Software Summer Intern 2025</v>
      </c>
      <c r="D88" s="29"/>
      <c r="E88" s="24"/>
      <c r="F88" s="29">
        <f>IFERROR(__xludf.DUMMYFUNCTION("""COMPUTED_VALUE"""),45240.0)</f>
        <v>45240</v>
      </c>
      <c r="G88" s="25"/>
      <c r="H88" s="25"/>
      <c r="I88" s="25"/>
      <c r="J88" s="26"/>
      <c r="K88" s="26" t="str">
        <f>IFERROR(__xludf.DUMMYFUNCTION("""COMPUTED_VALUE"""),"NO")</f>
        <v>NO</v>
      </c>
    </row>
    <row r="89" ht="12.75" customHeight="1">
      <c r="A89" s="20"/>
      <c r="B89" s="21" t="str">
        <f>IFERROR(__xludf.DUMMYFUNCTION("""COMPUTED_VALUE"""),"Vanguard")</f>
        <v>Vanguard</v>
      </c>
      <c r="C89" s="37" t="str">
        <f>IFERROR(__xludf.DUMMYFUNCTION("""COMPUTED_VALUE"""),"Technology Summer Internship")</f>
        <v>Technology Summer Internship</v>
      </c>
      <c r="D89" s="29"/>
      <c r="E89" s="24"/>
      <c r="F89" s="29">
        <f>IFERROR(__xludf.DUMMYFUNCTION("""COMPUTED_VALUE"""),45240.0)</f>
        <v>45240</v>
      </c>
      <c r="G89" s="31"/>
      <c r="H89" s="31"/>
      <c r="I89" s="31"/>
      <c r="J89" s="26"/>
      <c r="K89" s="26" t="str">
        <f>IFERROR(__xludf.DUMMYFUNCTION("""COMPUTED_VALUE"""),"NO")</f>
        <v>NO</v>
      </c>
    </row>
    <row r="90" ht="12.75" customHeight="1">
      <c r="A90" s="20"/>
      <c r="B90" s="21" t="str">
        <f>IFERROR(__xludf.DUMMYFUNCTION("""COMPUTED_VALUE"""),"QinetiQ")</f>
        <v>QinetiQ</v>
      </c>
      <c r="C90" s="37" t="str">
        <f>IFERROR(__xludf.DUMMYFUNCTION("""COMPUTED_VALUE"""),"IT Engineer - Summer Placement")</f>
        <v>IT Engineer - Summer Placement</v>
      </c>
      <c r="D90" s="29"/>
      <c r="E90" s="24"/>
      <c r="F90" s="29">
        <f>IFERROR(__xludf.DUMMYFUNCTION("""COMPUTED_VALUE"""),45240.0)</f>
        <v>45240</v>
      </c>
      <c r="G90" s="31" t="str">
        <f>IFERROR(__xludf.DUMMYFUNCTION("""COMPUTED_VALUE"""),"Yes")</f>
        <v>Yes</v>
      </c>
      <c r="H90" s="31" t="str">
        <f>IFERROR(__xludf.DUMMYFUNCTION("""COMPUTED_VALUE"""),"Yes")</f>
        <v>Yes</v>
      </c>
      <c r="I90" s="31" t="str">
        <f>IFERROR(__xludf.DUMMYFUNCTION("""COMPUTED_VALUE"""),"No")</f>
        <v>No</v>
      </c>
      <c r="J90" s="26"/>
      <c r="K90" s="26" t="str">
        <f>IFERROR(__xludf.DUMMYFUNCTION("""COMPUTED_VALUE"""),"NO")</f>
        <v>NO</v>
      </c>
    </row>
    <row r="91" ht="12.75" customHeight="1">
      <c r="A91" s="20"/>
      <c r="B91" s="21" t="str">
        <f>IFERROR(__xludf.DUMMYFUNCTION("""COMPUTED_VALUE"""),"Rolls-Royce")</f>
        <v>Rolls-Royce</v>
      </c>
      <c r="C91" s="36" t="str">
        <f>IFERROR(__xludf.DUMMYFUNCTION("""COMPUTED_VALUE"""),"Technology Summer Internship")</f>
        <v>Technology Summer Internship</v>
      </c>
      <c r="D91" s="29"/>
      <c r="E91" s="24"/>
      <c r="F91" s="29">
        <f>IFERROR(__xludf.DUMMYFUNCTION("""COMPUTED_VALUE"""),45244.0)</f>
        <v>45244</v>
      </c>
      <c r="G91" s="31"/>
      <c r="H91" s="31"/>
      <c r="I91" s="31"/>
      <c r="J91" s="26"/>
      <c r="K91" s="26" t="str">
        <f>IFERROR(__xludf.DUMMYFUNCTION("""COMPUTED_VALUE"""),"NO")</f>
        <v>NO</v>
      </c>
    </row>
    <row r="92" ht="12.75" customHeight="1">
      <c r="A92" s="20"/>
      <c r="B92" s="21" t="str">
        <f>IFERROR(__xludf.DUMMYFUNCTION("""COMPUTED_VALUE"""),"Tradeweb")</f>
        <v>Tradeweb</v>
      </c>
      <c r="C92" s="37" t="str">
        <f>IFERROR(__xludf.DUMMYFUNCTION("""COMPUTED_VALUE"""),"Summer Internship 2025 - Technology Division")</f>
        <v>Summer Internship 2025 - Technology Division</v>
      </c>
      <c r="D92" s="29"/>
      <c r="E92" s="24"/>
      <c r="F92" s="29">
        <f>IFERROR(__xludf.DUMMYFUNCTION("""COMPUTED_VALUE"""),45245.0)</f>
        <v>45245</v>
      </c>
      <c r="G92" s="31"/>
      <c r="H92" s="31"/>
      <c r="I92" s="31"/>
      <c r="J92" s="26"/>
      <c r="K92" s="26" t="str">
        <f>IFERROR(__xludf.DUMMYFUNCTION("""COMPUTED_VALUE"""),"NO")</f>
        <v>NO</v>
      </c>
    </row>
    <row r="93" ht="12.75" customHeight="1">
      <c r="A93" s="20"/>
      <c r="B93" s="21" t="str">
        <f>IFERROR(__xludf.DUMMYFUNCTION("""COMPUTED_VALUE"""),"TikTok")</f>
        <v>TikTok</v>
      </c>
      <c r="C93" s="37" t="str">
        <f>IFERROR(__xludf.DUMMYFUNCTION("""COMPUTED_VALUE"""),"System Software Engineer, Summer Intern")</f>
        <v>System Software Engineer, Summer Intern</v>
      </c>
      <c r="D93" s="29"/>
      <c r="E93" s="24"/>
      <c r="F93" s="29">
        <f>IFERROR(__xludf.DUMMYFUNCTION("""COMPUTED_VALUE"""),45247.0)</f>
        <v>45247</v>
      </c>
      <c r="G93" s="25" t="str">
        <f>IFERROR(__xludf.DUMMYFUNCTION("""COMPUTED_VALUE"""),"Yes")</f>
        <v>Yes</v>
      </c>
      <c r="H93" s="25" t="str">
        <f>IFERROR(__xludf.DUMMYFUNCTION("""COMPUTED_VALUE"""),"No")</f>
        <v>No</v>
      </c>
      <c r="I93" s="25" t="str">
        <f>IFERROR(__xludf.DUMMYFUNCTION("""COMPUTED_VALUE"""),"Yes")</f>
        <v>Yes</v>
      </c>
      <c r="J93" s="26"/>
      <c r="K93" s="26" t="str">
        <f>IFERROR(__xludf.DUMMYFUNCTION("""COMPUTED_VALUE"""),"NO")</f>
        <v>NO</v>
      </c>
    </row>
    <row r="94" ht="12.75" customHeight="1">
      <c r="A94" s="20"/>
      <c r="B94" s="21" t="str">
        <f>IFERROR(__xludf.DUMMYFUNCTION("""COMPUTED_VALUE"""),"Siemens")</f>
        <v>Siemens</v>
      </c>
      <c r="C94" s="37" t="str">
        <f>IFERROR(__xludf.DUMMYFUNCTION("""COMPUTED_VALUE"""),"Software Engineer Intern")</f>
        <v>Software Engineer Intern</v>
      </c>
      <c r="D94" s="29"/>
      <c r="E94" s="24"/>
      <c r="F94" s="29">
        <f>IFERROR(__xludf.DUMMYFUNCTION("""COMPUTED_VALUE"""),45247.0)</f>
        <v>45247</v>
      </c>
      <c r="G94" s="25"/>
      <c r="H94" s="31"/>
      <c r="I94" s="31"/>
      <c r="J94" s="26"/>
      <c r="K94" s="26" t="str">
        <f>IFERROR(__xludf.DUMMYFUNCTION("""COMPUTED_VALUE"""),"NO")</f>
        <v>NO</v>
      </c>
    </row>
    <row r="95" ht="12.75" customHeight="1">
      <c r="A95" s="20"/>
      <c r="B95" s="21" t="str">
        <f>IFERROR(__xludf.DUMMYFUNCTION("""COMPUTED_VALUE"""),"UK Atomic Energy Authority")</f>
        <v>UK Atomic Energy Authority</v>
      </c>
      <c r="C95" s="36" t="str">
        <f>IFERROR(__xludf.DUMMYFUNCTION("""COMPUTED_VALUE"""),"Software Engineering - Summer Placement 2025")</f>
        <v>Software Engineering - Summer Placement 2025</v>
      </c>
      <c r="D95" s="29"/>
      <c r="E95" s="24"/>
      <c r="F95" s="29">
        <f>IFERROR(__xludf.DUMMYFUNCTION("""COMPUTED_VALUE"""),45247.0)</f>
        <v>45247</v>
      </c>
      <c r="G95" s="31" t="str">
        <f>IFERROR(__xludf.DUMMYFUNCTION("""COMPUTED_VALUE"""),"Yes")</f>
        <v>Yes</v>
      </c>
      <c r="H95" s="31" t="str">
        <f>IFERROR(__xludf.DUMMYFUNCTION("""COMPUTED_VALUE"""),"No")</f>
        <v>No</v>
      </c>
      <c r="I95" s="31" t="str">
        <f>IFERROR(__xludf.DUMMYFUNCTION("""COMPUTED_VALUE"""),"Yes")</f>
        <v>Yes</v>
      </c>
      <c r="J95" s="26"/>
      <c r="K95" s="26" t="str">
        <f>IFERROR(__xludf.DUMMYFUNCTION("""COMPUTED_VALUE"""),"NO")</f>
        <v>NO</v>
      </c>
    </row>
    <row r="96" ht="12.75" customHeight="1">
      <c r="A96" s="20"/>
      <c r="B96" s="21" t="str">
        <f>IFERROR(__xludf.DUMMYFUNCTION("""COMPUTED_VALUE"""),"BT")</f>
        <v>BT</v>
      </c>
      <c r="C96" s="36" t="str">
        <f>IFERROR(__xludf.DUMMYFUNCTION("""COMPUTED_VALUE"""),"Summer Placement - Research &amp; Network Strategy")</f>
        <v>Summer Placement - Research &amp; Network Strategy</v>
      </c>
      <c r="D96" s="29"/>
      <c r="E96" s="24"/>
      <c r="F96" s="29">
        <f>IFERROR(__xludf.DUMMYFUNCTION("""COMPUTED_VALUE"""),45250.0)</f>
        <v>45250</v>
      </c>
      <c r="G96" s="25" t="str">
        <f>IFERROR(__xludf.DUMMYFUNCTION("""COMPUTED_VALUE"""),"Yes")</f>
        <v>Yes</v>
      </c>
      <c r="H96" s="25" t="str">
        <f>IFERROR(__xludf.DUMMYFUNCTION("""COMPUTED_VALUE"""),"Yes")</f>
        <v>Yes</v>
      </c>
      <c r="I96" s="25" t="str">
        <f>IFERROR(__xludf.DUMMYFUNCTION("""COMPUTED_VALUE"""),"No")</f>
        <v>No</v>
      </c>
      <c r="J96" s="26"/>
      <c r="K96" s="26" t="str">
        <f>IFERROR(__xludf.DUMMYFUNCTION("""COMPUTED_VALUE"""),"NO")</f>
        <v>NO</v>
      </c>
    </row>
    <row r="97" ht="12.75" customHeight="1">
      <c r="A97" s="20"/>
      <c r="B97" s="21" t="str">
        <f>IFERROR(__xludf.DUMMYFUNCTION("""COMPUTED_VALUE"""),"Jefferies")</f>
        <v>Jefferies</v>
      </c>
      <c r="C97" s="37" t="str">
        <f>IFERROR(__xludf.DUMMYFUNCTION("""COMPUTED_VALUE"""),"2025 Information Technology Summer Internship")</f>
        <v>2025 Information Technology Summer Internship</v>
      </c>
      <c r="D97" s="29"/>
      <c r="E97" s="24"/>
      <c r="F97" s="29">
        <f>IFERROR(__xludf.DUMMYFUNCTION("""COMPUTED_VALUE"""),45252.0)</f>
        <v>45252</v>
      </c>
      <c r="G97" s="25"/>
      <c r="H97" s="25"/>
      <c r="I97" s="25"/>
      <c r="J97" s="26"/>
      <c r="K97" s="26" t="str">
        <f>IFERROR(__xludf.DUMMYFUNCTION("""COMPUTED_VALUE"""),"NO")</f>
        <v>NO</v>
      </c>
    </row>
    <row r="98" ht="12.75" customHeight="1">
      <c r="A98" s="20"/>
      <c r="B98" s="21" t="str">
        <f>IFERROR(__xludf.DUMMYFUNCTION("""COMPUTED_VALUE"""),"Graphcore")</f>
        <v>Graphcore</v>
      </c>
      <c r="C98" s="37" t="str">
        <f>IFERROR(__xludf.DUMMYFUNCTION("""COMPUTED_VALUE"""),"Intern 2025 - Software")</f>
        <v>Intern 2025 - Software</v>
      </c>
      <c r="D98" s="29"/>
      <c r="E98" s="24"/>
      <c r="F98" s="29">
        <f>IFERROR(__xludf.DUMMYFUNCTION("""COMPUTED_VALUE"""),45253.0)</f>
        <v>45253</v>
      </c>
      <c r="G98" s="25"/>
      <c r="H98" s="25"/>
      <c r="I98" s="25"/>
      <c r="J98" s="26"/>
      <c r="K98" s="26" t="str">
        <f>IFERROR(__xludf.DUMMYFUNCTION("""COMPUTED_VALUE"""),"NO")</f>
        <v>NO</v>
      </c>
    </row>
    <row r="99" ht="12.75" customHeight="1">
      <c r="A99" s="20"/>
      <c r="B99" s="21" t="str">
        <f>IFERROR(__xludf.DUMMYFUNCTION("""COMPUTED_VALUE"""),"Renishaw")</f>
        <v>Renishaw</v>
      </c>
      <c r="C99" s="36" t="str">
        <f>IFERROR(__xludf.DUMMYFUNCTION("""COMPUTED_VALUE"""),"Software Summer Internship")</f>
        <v>Software Summer Internship</v>
      </c>
      <c r="D99" s="29"/>
      <c r="E99" s="24"/>
      <c r="F99" s="29">
        <f>IFERROR(__xludf.DUMMYFUNCTION("""COMPUTED_VALUE"""),45257.0)</f>
        <v>45257</v>
      </c>
      <c r="G99" s="25"/>
      <c r="H99" s="25"/>
      <c r="I99" s="25"/>
      <c r="J99" s="26"/>
      <c r="K99" s="26" t="str">
        <f>IFERROR(__xludf.DUMMYFUNCTION("""COMPUTED_VALUE"""),"NO")</f>
        <v>NO</v>
      </c>
    </row>
    <row r="100" ht="12.75" customHeight="1">
      <c r="A100" s="20"/>
      <c r="B100" s="21" t="str">
        <f>IFERROR(__xludf.DUMMYFUNCTION("""COMPUTED_VALUE"""),"Crédit Agricole")</f>
        <v>Crédit Agricole</v>
      </c>
      <c r="C100" s="37" t="str">
        <f>IFERROR(__xludf.DUMMYFUNCTION("""COMPUTED_VALUE"""),"Summer Internship Programme 2025 - IT")</f>
        <v>Summer Internship Programme 2025 - IT</v>
      </c>
      <c r="D100" s="29"/>
      <c r="E100" s="24"/>
      <c r="F100" s="29">
        <f>IFERROR(__xludf.DUMMYFUNCTION("""COMPUTED_VALUE"""),45260.0)</f>
        <v>45260</v>
      </c>
      <c r="G100" s="25"/>
      <c r="H100" s="25"/>
      <c r="I100" s="25"/>
      <c r="J100" s="26"/>
      <c r="K100" s="26" t="str">
        <f>IFERROR(__xludf.DUMMYFUNCTION("""COMPUTED_VALUE"""),"NO")</f>
        <v>NO</v>
      </c>
    </row>
    <row r="101" ht="12.75" customHeight="1">
      <c r="A101" s="20"/>
      <c r="B101" s="21" t="str">
        <f>IFERROR(__xludf.DUMMYFUNCTION("""COMPUTED_VALUE"""),"Jacobs")</f>
        <v>Jacobs</v>
      </c>
      <c r="C101" s="37" t="str">
        <f>IFERROR(__xludf.DUMMYFUNCTION("""COMPUTED_VALUE"""),"Geospatial &amp; GIS - Summer Internship")</f>
        <v>Geospatial &amp; GIS - Summer Internship</v>
      </c>
      <c r="D101" s="29"/>
      <c r="E101" s="24"/>
      <c r="F101" s="29">
        <f>IFERROR(__xludf.DUMMYFUNCTION("""COMPUTED_VALUE"""),45264.0)</f>
        <v>45264</v>
      </c>
      <c r="G101" s="31" t="str">
        <f>IFERROR(__xludf.DUMMYFUNCTION("""COMPUTED_VALUE"""),"Yes")</f>
        <v>Yes</v>
      </c>
      <c r="H101" s="31" t="str">
        <f>IFERROR(__xludf.DUMMYFUNCTION("""COMPUTED_VALUE"""),"Optional")</f>
        <v>Optional</v>
      </c>
      <c r="I101" s="31" t="str">
        <f>IFERROR(__xludf.DUMMYFUNCTION("""COMPUTED_VALUE"""),"No")</f>
        <v>No</v>
      </c>
      <c r="J101" s="26"/>
      <c r="K101" s="26" t="str">
        <f>IFERROR(__xludf.DUMMYFUNCTION("""COMPUTED_VALUE"""),"NO")</f>
        <v>NO</v>
      </c>
    </row>
    <row r="102" ht="12.75" customHeight="1">
      <c r="A102" s="20"/>
      <c r="B102" s="21" t="str">
        <f>IFERROR(__xludf.DUMMYFUNCTION("""COMPUTED_VALUE"""),"King")</f>
        <v>King</v>
      </c>
      <c r="C102" s="36" t="str">
        <f>IFERROR(__xludf.DUMMYFUNCTION("""COMPUTED_VALUE"""),"Summer Technology Internships 2025")</f>
        <v>Summer Technology Internships 2025</v>
      </c>
      <c r="D102" s="29"/>
      <c r="E102" s="24"/>
      <c r="F102" s="29">
        <f>IFERROR(__xludf.DUMMYFUNCTION("""COMPUTED_VALUE"""),45266.0)</f>
        <v>45266</v>
      </c>
      <c r="G102" s="25" t="str">
        <f>IFERROR(__xludf.DUMMYFUNCTION("""COMPUTED_VALUE"""),"Yes")</f>
        <v>Yes</v>
      </c>
      <c r="H102" s="25"/>
      <c r="I102" s="25"/>
      <c r="J102" s="26"/>
      <c r="K102" s="26" t="str">
        <f>IFERROR(__xludf.DUMMYFUNCTION("""COMPUTED_VALUE"""),"NO")</f>
        <v>NO</v>
      </c>
    </row>
    <row r="103" ht="12.75" customHeight="1">
      <c r="A103" s="20"/>
      <c r="B103" s="21" t="str">
        <f>IFERROR(__xludf.DUMMYFUNCTION("""COMPUTED_VALUE"""),"Five AI")</f>
        <v>Five AI</v>
      </c>
      <c r="C103" s="36" t="str">
        <f>IFERROR(__xludf.DUMMYFUNCTION("""COMPUTED_VALUE"""),"Software Engineer - Summer Internship 2025")</f>
        <v>Software Engineer - Summer Internship 2025</v>
      </c>
      <c r="D103" s="29"/>
      <c r="E103" s="24"/>
      <c r="F103" s="29">
        <f>IFERROR(__xludf.DUMMYFUNCTION("""COMPUTED_VALUE"""),45268.0)</f>
        <v>45268</v>
      </c>
      <c r="G103" s="25"/>
      <c r="H103" s="25"/>
      <c r="I103" s="25"/>
      <c r="J103" s="26"/>
      <c r="K103" s="26" t="str">
        <f>IFERROR(__xludf.DUMMYFUNCTION("""COMPUTED_VALUE"""),"NO")</f>
        <v>NO</v>
      </c>
    </row>
    <row r="104" ht="12.75" customHeight="1">
      <c r="A104" s="20"/>
      <c r="B104" s="21" t="str">
        <f>IFERROR(__xludf.DUMMYFUNCTION("""COMPUTED_VALUE"""),"Verisk")</f>
        <v>Verisk</v>
      </c>
      <c r="C104" s="36" t="str">
        <f>IFERROR(__xludf.DUMMYFUNCTION("""COMPUTED_VALUE"""),"Tech - 2025 Summer Internship Program")</f>
        <v>Tech - 2025 Summer Internship Program</v>
      </c>
      <c r="D104" s="29"/>
      <c r="E104" s="24"/>
      <c r="F104" s="29">
        <f>IFERROR(__xludf.DUMMYFUNCTION("""COMPUTED_VALUE"""),45268.0)</f>
        <v>45268</v>
      </c>
      <c r="G104" s="31" t="str">
        <f>IFERROR(__xludf.DUMMYFUNCTION("""COMPUTED_VALUE"""),"Yes")</f>
        <v>Yes</v>
      </c>
      <c r="H104" s="31" t="str">
        <f>IFERROR(__xludf.DUMMYFUNCTION("""COMPUTED_VALUE"""),"Optional")</f>
        <v>Optional</v>
      </c>
      <c r="I104" s="31" t="str">
        <f>IFERROR(__xludf.DUMMYFUNCTION("""COMPUTED_VALUE"""),"No")</f>
        <v>No</v>
      </c>
      <c r="J104" s="26"/>
      <c r="K104" s="26" t="str">
        <f>IFERROR(__xludf.DUMMYFUNCTION("""COMPUTED_VALUE"""),"NO")</f>
        <v>NO</v>
      </c>
    </row>
    <row r="105" ht="12.75" customHeight="1">
      <c r="A105" s="20"/>
      <c r="B105" s="21" t="str">
        <f>IFERROR(__xludf.DUMMYFUNCTION("""COMPUTED_VALUE"""),"Ripple")</f>
        <v>Ripple</v>
      </c>
      <c r="C105" s="36" t="str">
        <f>IFERROR(__xludf.DUMMYFUNCTION("""COMPUTED_VALUE"""),"Software Engineer Intern (Summer)")</f>
        <v>Software Engineer Intern (Summer)</v>
      </c>
      <c r="D105" s="29"/>
      <c r="E105" s="24"/>
      <c r="F105" s="29">
        <f>IFERROR(__xludf.DUMMYFUNCTION("""COMPUTED_VALUE"""),45271.0)</f>
        <v>45271</v>
      </c>
      <c r="G105" s="31"/>
      <c r="H105" s="31"/>
      <c r="I105" s="31"/>
      <c r="J105" s="26"/>
      <c r="K105" s="26" t="str">
        <f>IFERROR(__xludf.DUMMYFUNCTION("""COMPUTED_VALUE"""),"NO")</f>
        <v>NO</v>
      </c>
    </row>
    <row r="106" ht="12.75" customHeight="1">
      <c r="A106" s="20"/>
      <c r="B106" s="21" t="str">
        <f>IFERROR(__xludf.DUMMYFUNCTION("""COMPUTED_VALUE"""),"Speechmatics")</f>
        <v>Speechmatics</v>
      </c>
      <c r="C106" s="36" t="str">
        <f>IFERROR(__xludf.DUMMYFUNCTION("""COMPUTED_VALUE"""),"ML Software Engineering Internship")</f>
        <v>ML Software Engineering Internship</v>
      </c>
      <c r="D106" s="29"/>
      <c r="E106" s="24"/>
      <c r="F106" s="29">
        <f>IFERROR(__xludf.DUMMYFUNCTION("""COMPUTED_VALUE"""),45272.0)</f>
        <v>45272</v>
      </c>
      <c r="G106" s="25" t="str">
        <f>IFERROR(__xludf.DUMMYFUNCTION("""COMPUTED_VALUE"""),"Yes")</f>
        <v>Yes</v>
      </c>
      <c r="H106" s="31"/>
      <c r="I106" s="31"/>
      <c r="J106" s="26"/>
      <c r="K106" s="26" t="str">
        <f>IFERROR(__xludf.DUMMYFUNCTION("""COMPUTED_VALUE"""),"NO")</f>
        <v>NO</v>
      </c>
    </row>
    <row r="107" ht="12.75" customHeight="1">
      <c r="A107" s="20"/>
      <c r="B107" s="21" t="str">
        <f>IFERROR(__xludf.DUMMYFUNCTION("""COMPUTED_VALUE"""),"NXP Semiconductors")</f>
        <v>NXP Semiconductors</v>
      </c>
      <c r="C107" s="36" t="str">
        <f>IFERROR(__xludf.DUMMYFUNCTION("""COMPUTED_VALUE"""),"Internship - Software Engineering - 2025")</f>
        <v>Internship - Software Engineering - 2025</v>
      </c>
      <c r="D107" s="29"/>
      <c r="E107" s="24"/>
      <c r="F107" s="29">
        <f>IFERROR(__xludf.DUMMYFUNCTION("""COMPUTED_VALUE"""),45272.0)</f>
        <v>45272</v>
      </c>
      <c r="G107" s="25"/>
      <c r="H107" s="31"/>
      <c r="I107" s="31"/>
      <c r="J107" s="26"/>
      <c r="K107" s="26" t="str">
        <f>IFERROR(__xludf.DUMMYFUNCTION("""COMPUTED_VALUE"""),"NO")</f>
        <v>NO</v>
      </c>
    </row>
    <row r="108" ht="12.75" customHeight="1">
      <c r="A108" s="20"/>
      <c r="B108" s="21" t="str">
        <f>IFERROR(__xludf.DUMMYFUNCTION("""COMPUTED_VALUE"""),"Mastercard")</f>
        <v>Mastercard</v>
      </c>
      <c r="C108" s="36" t="str">
        <f>IFERROR(__xludf.DUMMYFUNCTION("""COMPUTED_VALUE"""),"Software Engineering Intern, Summer 2025")</f>
        <v>Software Engineering Intern, Summer 2025</v>
      </c>
      <c r="D108" s="29"/>
      <c r="E108" s="24"/>
      <c r="F108" s="29">
        <f>IFERROR(__xludf.DUMMYFUNCTION("""COMPUTED_VALUE"""),45272.0)</f>
        <v>45272</v>
      </c>
      <c r="G108" s="31" t="str">
        <f>IFERROR(__xludf.DUMMYFUNCTION("""COMPUTED_VALUE"""),"Yes")</f>
        <v>Yes</v>
      </c>
      <c r="H108" s="31" t="str">
        <f>IFERROR(__xludf.DUMMYFUNCTION("""COMPUTED_VALUE"""),"Optional")</f>
        <v>Optional</v>
      </c>
      <c r="I108" s="31" t="str">
        <f>IFERROR(__xludf.DUMMYFUNCTION("""COMPUTED_VALUE"""),"No")</f>
        <v>No</v>
      </c>
      <c r="J108" s="26"/>
      <c r="K108" s="26" t="str">
        <f>IFERROR(__xludf.DUMMYFUNCTION("""COMPUTED_VALUE"""),"NO")</f>
        <v>NO</v>
      </c>
    </row>
    <row r="109" ht="12.75" customHeight="1">
      <c r="A109" s="20"/>
      <c r="B109" s="21" t="str">
        <f>IFERROR(__xludf.DUMMYFUNCTION("""COMPUTED_VALUE"""),"HP")</f>
        <v>HP</v>
      </c>
      <c r="C109" s="36" t="str">
        <f>IFERROR(__xludf.DUMMYFUNCTION("""COMPUTED_VALUE"""),"Software Engineer Intern")</f>
        <v>Software Engineer Intern</v>
      </c>
      <c r="D109" s="29"/>
      <c r="E109" s="24"/>
      <c r="F109" s="29">
        <f>IFERROR(__xludf.DUMMYFUNCTION("""COMPUTED_VALUE"""),45273.0)</f>
        <v>45273</v>
      </c>
      <c r="G109" s="31"/>
      <c r="H109" s="31"/>
      <c r="I109" s="31"/>
      <c r="J109" s="26"/>
      <c r="K109" s="26" t="str">
        <f>IFERROR(__xludf.DUMMYFUNCTION("""COMPUTED_VALUE"""),"NO")</f>
        <v>NO</v>
      </c>
    </row>
    <row r="110" ht="12.75" customHeight="1">
      <c r="A110" s="20"/>
      <c r="B110" s="21" t="str">
        <f>IFERROR(__xludf.DUMMYFUNCTION("""COMPUTED_VALUE"""),"Quantcast")</f>
        <v>Quantcast</v>
      </c>
      <c r="C110" s="37" t="str">
        <f>IFERROR(__xludf.DUMMYFUNCTION("""COMPUTED_VALUE"""),"Software Engineering Intern - Summer 2025")</f>
        <v>Software Engineering Intern - Summer 2025</v>
      </c>
      <c r="D110" s="29"/>
      <c r="E110" s="24"/>
      <c r="F110" s="29">
        <f>IFERROR(__xludf.DUMMYFUNCTION("""COMPUTED_VALUE"""),45273.0)</f>
        <v>45273</v>
      </c>
      <c r="G110" s="31"/>
      <c r="H110" s="31"/>
      <c r="I110" s="31"/>
      <c r="J110" s="39"/>
      <c r="K110" s="39" t="str">
        <f>IFERROR(__xludf.DUMMYFUNCTION("""COMPUTED_VALUE"""),"NO")</f>
        <v>NO</v>
      </c>
    </row>
    <row r="111" ht="12.75" customHeight="1">
      <c r="A111" s="20"/>
      <c r="B111" s="21" t="str">
        <f>IFERROR(__xludf.DUMMYFUNCTION("""COMPUTED_VALUE"""),"TE Connectivity")</f>
        <v>TE Connectivity</v>
      </c>
      <c r="C111" s="36" t="str">
        <f>IFERROR(__xludf.DUMMYFUNCTION("""COMPUTED_VALUE"""),"Software Engineer Intern")</f>
        <v>Software Engineer Intern</v>
      </c>
      <c r="D111" s="29"/>
      <c r="E111" s="24"/>
      <c r="F111" s="29">
        <f>IFERROR(__xludf.DUMMYFUNCTION("""COMPUTED_VALUE"""),45279.0)</f>
        <v>45279</v>
      </c>
      <c r="G111" s="31"/>
      <c r="H111" s="31"/>
      <c r="I111" s="31"/>
      <c r="J111" s="39"/>
      <c r="K111" s="39" t="str">
        <f>IFERROR(__xludf.DUMMYFUNCTION("""COMPUTED_VALUE"""),"NO")</f>
        <v>NO</v>
      </c>
    </row>
    <row r="112" ht="12.75" customHeight="1">
      <c r="A112" s="20"/>
      <c r="B112" s="21" t="str">
        <f>IFERROR(__xludf.DUMMYFUNCTION("""COMPUTED_VALUE"""),"FSP")</f>
        <v>FSP</v>
      </c>
      <c r="C112" s="37" t="str">
        <f>IFERROR(__xludf.DUMMYFUNCTION("""COMPUTED_VALUE"""),"Intern Software Developer")</f>
        <v>Intern Software Developer</v>
      </c>
      <c r="D112" s="29"/>
      <c r="E112" s="24"/>
      <c r="F112" s="29">
        <f>IFERROR(__xludf.DUMMYFUNCTION("""COMPUTED_VALUE"""),45280.0)</f>
        <v>45280</v>
      </c>
      <c r="G112" s="31"/>
      <c r="H112" s="31"/>
      <c r="I112" s="31"/>
      <c r="J112" s="26"/>
      <c r="K112" s="26" t="str">
        <f>IFERROR(__xludf.DUMMYFUNCTION("""COMPUTED_VALUE"""),"NO")</f>
        <v>NO</v>
      </c>
    </row>
    <row r="113" ht="12.75" customHeight="1">
      <c r="A113" s="20"/>
      <c r="B113" s="21" t="str">
        <f>IFERROR(__xludf.DUMMYFUNCTION("""COMPUTED_VALUE"""),"Centrica")</f>
        <v>Centrica</v>
      </c>
      <c r="C113" s="36" t="str">
        <f>IFERROR(__xludf.DUMMYFUNCTION("""COMPUTED_VALUE"""),"Software Engineering Summer Internship")</f>
        <v>Software Engineering Summer Internship</v>
      </c>
      <c r="D113" s="29"/>
      <c r="E113" s="24"/>
      <c r="F113" s="29">
        <f>IFERROR(__xludf.DUMMYFUNCTION("""COMPUTED_VALUE"""),45281.0)</f>
        <v>45281</v>
      </c>
      <c r="G113" s="31"/>
      <c r="H113" s="31"/>
      <c r="I113" s="31"/>
      <c r="J113" s="26"/>
      <c r="K113" s="26" t="str">
        <f>IFERROR(__xludf.DUMMYFUNCTION("""COMPUTED_VALUE"""),"NO")</f>
        <v>NO</v>
      </c>
    </row>
    <row r="114" ht="12.75" customHeight="1">
      <c r="A114" s="20"/>
      <c r="B114" s="21" t="str">
        <f>IFERROR(__xludf.DUMMYFUNCTION("""COMPUTED_VALUE"""),"Caxton Associates")</f>
        <v>Caxton Associates</v>
      </c>
      <c r="C114" s="37" t="str">
        <f>IFERROR(__xludf.DUMMYFUNCTION("""COMPUTED_VALUE"""),"Summer Internship Programme (Quant and Tech)")</f>
        <v>Summer Internship Programme (Quant and Tech)</v>
      </c>
      <c r="D114" s="29"/>
      <c r="E114" s="24"/>
      <c r="F114" s="29">
        <f>IFERROR(__xludf.DUMMYFUNCTION("""COMPUTED_VALUE"""),45296.0)</f>
        <v>45296</v>
      </c>
      <c r="G114" s="31" t="str">
        <f>IFERROR(__xludf.DUMMYFUNCTION("""COMPUTED_VALUE"""),"Yes")</f>
        <v>Yes</v>
      </c>
      <c r="H114" s="31"/>
      <c r="I114" s="31"/>
      <c r="J114" s="26"/>
      <c r="K114" s="26" t="str">
        <f>IFERROR(__xludf.DUMMYFUNCTION("""COMPUTED_VALUE"""),"NO")</f>
        <v>NO</v>
      </c>
    </row>
    <row r="115" ht="12.75" customHeight="1">
      <c r="A115" s="20"/>
      <c r="B115" s="21" t="str">
        <f>IFERROR(__xludf.DUMMYFUNCTION("""COMPUTED_VALUE"""),"S&amp;P Global")</f>
        <v>S&amp;P Global</v>
      </c>
      <c r="C115" s="25" t="str">
        <f>IFERROR(__xludf.DUMMYFUNCTION("""COMPUTED_VALUE"""),"Summer Intern")</f>
        <v>Summer Intern</v>
      </c>
      <c r="D115" s="35"/>
      <c r="E115" s="28"/>
      <c r="F115" s="35">
        <f>IFERROR(__xludf.DUMMYFUNCTION("""COMPUTED_VALUE"""),45300.0)</f>
        <v>45300</v>
      </c>
      <c r="G115" s="31"/>
      <c r="H115" s="31"/>
      <c r="I115" s="31"/>
      <c r="J115" s="26"/>
      <c r="K115" s="26" t="str">
        <f>IFERROR(__xludf.DUMMYFUNCTION("""COMPUTED_VALUE"""),"NO")</f>
        <v>NO</v>
      </c>
    </row>
    <row r="116" ht="12.75" customHeight="1">
      <c r="A116" s="20"/>
      <c r="B116" s="21" t="str">
        <f>IFERROR(__xludf.DUMMYFUNCTION("""COMPUTED_VALUE"""),"ICBC Standard Bank")</f>
        <v>ICBC Standard Bank</v>
      </c>
      <c r="C116" s="31" t="str">
        <f>IFERROR(__xludf.DUMMYFUNCTION("""COMPUTED_VALUE"""),"Summer Intern - Technology")</f>
        <v>Summer Intern - Technology</v>
      </c>
      <c r="D116" s="35"/>
      <c r="E116" s="28"/>
      <c r="F116" s="35">
        <f>IFERROR(__xludf.DUMMYFUNCTION("""COMPUTED_VALUE"""),45310.0)</f>
        <v>45310</v>
      </c>
      <c r="G116" s="31"/>
      <c r="H116" s="31"/>
      <c r="I116" s="31"/>
      <c r="J116" s="26"/>
      <c r="K116" s="26" t="str">
        <f>IFERROR(__xludf.DUMMYFUNCTION("""COMPUTED_VALUE"""),"NO")</f>
        <v>NO</v>
      </c>
    </row>
    <row r="117" ht="12.75" customHeight="1">
      <c r="A117" s="20"/>
      <c r="B117" s="21" t="str">
        <f>IFERROR(__xludf.DUMMYFUNCTION("""COMPUTED_VALUE"""),"Thales")</f>
        <v>Thales</v>
      </c>
      <c r="C117" s="25" t="str">
        <f>IFERROR(__xludf.DUMMYFUNCTION("""COMPUTED_VALUE"""),"Software Engineering Intern")</f>
        <v>Software Engineering Intern</v>
      </c>
      <c r="D117" s="35"/>
      <c r="E117" s="28"/>
      <c r="F117" s="35">
        <f>IFERROR(__xludf.DUMMYFUNCTION("""COMPUTED_VALUE"""),45316.0)</f>
        <v>45316</v>
      </c>
      <c r="G117" s="31"/>
      <c r="H117" s="31"/>
      <c r="I117" s="31"/>
      <c r="J117" s="26"/>
      <c r="K117" s="26" t="str">
        <f>IFERROR(__xludf.DUMMYFUNCTION("""COMPUTED_VALUE"""),"NO")</f>
        <v>NO</v>
      </c>
    </row>
    <row r="118" ht="12.75" customHeight="1">
      <c r="A118" s="20"/>
      <c r="B118" s="21" t="str">
        <f>IFERROR(__xludf.DUMMYFUNCTION("""COMPUTED_VALUE"""),"Hiscox")</f>
        <v>Hiscox</v>
      </c>
      <c r="C118" s="31" t="str">
        <f>IFERROR(__xludf.DUMMYFUNCTION("""COMPUTED_VALUE"""),"Technology Intern")</f>
        <v>Technology Intern</v>
      </c>
      <c r="D118" s="35"/>
      <c r="E118" s="28"/>
      <c r="F118" s="35">
        <f>IFERROR(__xludf.DUMMYFUNCTION("""COMPUTED_VALUE"""),45323.0)</f>
        <v>45323</v>
      </c>
      <c r="G118" s="31"/>
      <c r="H118" s="31"/>
      <c r="I118" s="31"/>
      <c r="J118" s="26" t="str">
        <f>IFERROR(__xludf.DUMMYFUNCTION("""COMPUTED_VALUE"""),"Web Software / C++ / Data Pipeline")</f>
        <v>Web Software / C++ / Data Pipeline</v>
      </c>
      <c r="K118" s="26" t="str">
        <f>IFERROR(__xludf.DUMMYFUNCTION("""COMPUTED_VALUE"""),"NO")</f>
        <v>NO</v>
      </c>
    </row>
    <row r="119" ht="12.75" customHeight="1">
      <c r="A119" s="20"/>
      <c r="B119" s="21" t="str">
        <f>IFERROR(__xludf.DUMMYFUNCTION("""COMPUTED_VALUE"""),"PredictX")</f>
        <v>PredictX</v>
      </c>
      <c r="C119" s="25" t="str">
        <f>IFERROR(__xludf.DUMMYFUNCTION("""COMPUTED_VALUE"""),"Paid Summer 2025 Internship")</f>
        <v>Paid Summer 2025 Internship</v>
      </c>
      <c r="D119" s="35"/>
      <c r="E119" s="28"/>
      <c r="F119" s="35">
        <f>IFERROR(__xludf.DUMMYFUNCTION("""COMPUTED_VALUE"""),45323.0)</f>
        <v>45323</v>
      </c>
      <c r="G119" s="31"/>
      <c r="H119" s="31"/>
      <c r="I119" s="31"/>
      <c r="J119" s="26"/>
      <c r="K119" s="26" t="str">
        <f>IFERROR(__xludf.DUMMYFUNCTION("""COMPUTED_VALUE"""),"NO")</f>
        <v>NO</v>
      </c>
    </row>
    <row r="120" ht="12.75" customHeight="1">
      <c r="A120" s="20"/>
      <c r="B120" s="21" t="str">
        <f>IFERROR(__xludf.DUMMYFUNCTION("""COMPUTED_VALUE"""),"Cboe Global Markets")</f>
        <v>Cboe Global Markets</v>
      </c>
      <c r="C120" s="31" t="str">
        <f>IFERROR(__xludf.DUMMYFUNCTION("""COMPUTED_VALUE"""),"Intern")</f>
        <v>Intern</v>
      </c>
      <c r="D120" s="35"/>
      <c r="E120" s="28"/>
      <c r="F120" s="35">
        <f>IFERROR(__xludf.DUMMYFUNCTION("""COMPUTED_VALUE"""),45337.0)</f>
        <v>45337</v>
      </c>
      <c r="G120" s="31"/>
      <c r="H120" s="31"/>
      <c r="I120" s="31"/>
      <c r="J120" s="26"/>
      <c r="K120" s="26" t="str">
        <f>IFERROR(__xludf.DUMMYFUNCTION("""COMPUTED_VALUE"""),"NO")</f>
        <v>NO</v>
      </c>
    </row>
    <row r="121" ht="12.75" customHeight="1">
      <c r="A121" s="20"/>
      <c r="B121" s="21" t="str">
        <f>IFERROR(__xludf.DUMMYFUNCTION("""COMPUTED_VALUE"""),"Spotify")</f>
        <v>Spotify</v>
      </c>
      <c r="C121" s="31" t="str">
        <f>IFERROR(__xludf.DUMMYFUNCTION("""COMPUTED_VALUE"""),"2025 Summer Internship")</f>
        <v>2025 Summer Internship</v>
      </c>
      <c r="D121" s="35"/>
      <c r="E121" s="28"/>
      <c r="F121" s="35">
        <f>IFERROR(__xludf.DUMMYFUNCTION("""COMPUTED_VALUE"""),45352.0)</f>
        <v>45352</v>
      </c>
      <c r="G121" s="31"/>
      <c r="H121" s="31"/>
      <c r="I121" s="31"/>
      <c r="J121" s="26"/>
      <c r="K121" s="26" t="str">
        <f>IFERROR(__xludf.DUMMYFUNCTION("""COMPUTED_VALUE"""),"NO")</f>
        <v>NO</v>
      </c>
    </row>
    <row r="122" ht="12.75" customHeight="1">
      <c r="A122" s="20"/>
      <c r="B122" s="21" t="str">
        <f>IFERROR(__xludf.DUMMYFUNCTION("""COMPUTED_VALUE"""),"KPMG")</f>
        <v>KPMG</v>
      </c>
      <c r="C122" s="31" t="str">
        <f>IFERROR(__xludf.DUMMYFUNCTION("""COMPUTED_VALUE"""),"Vacation Technology - Technology Consulting")</f>
        <v>Vacation Technology - Technology Consulting</v>
      </c>
      <c r="D122" s="35"/>
      <c r="E122" s="28"/>
      <c r="F122" s="35">
        <f>IFERROR(__xludf.DUMMYFUNCTION("""COMPUTED_VALUE"""),45356.0)</f>
        <v>45356</v>
      </c>
      <c r="G122" s="31"/>
      <c r="H122" s="31"/>
      <c r="I122" s="31"/>
      <c r="J122" s="26"/>
      <c r="K122" s="26" t="str">
        <f>IFERROR(__xludf.DUMMYFUNCTION("""COMPUTED_VALUE"""),"NO")</f>
        <v>NO</v>
      </c>
    </row>
    <row r="123" ht="12.75" customHeight="1">
      <c r="A123" s="20"/>
      <c r="B123" s="21" t="str">
        <f>IFERROR(__xludf.DUMMYFUNCTION("""COMPUTED_VALUE"""),"Scotiabank")</f>
        <v>Scotiabank</v>
      </c>
      <c r="C123" s="31" t="str">
        <f>IFERROR(__xludf.DUMMYFUNCTION("""COMPUTED_VALUE"""),"Technology Summer Internship 2025")</f>
        <v>Technology Summer Internship 2025</v>
      </c>
      <c r="D123" s="35"/>
      <c r="E123" s="28"/>
      <c r="F123" s="35"/>
      <c r="G123" s="31"/>
      <c r="H123" s="31"/>
      <c r="I123" s="31"/>
      <c r="J123" s="26"/>
      <c r="K123" s="26" t="str">
        <f>IFERROR(__xludf.DUMMYFUNCTION("""COMPUTED_VALUE"""),"NO")</f>
        <v>NO</v>
      </c>
    </row>
    <row r="124" ht="12.75" customHeight="1">
      <c r="A124" s="20"/>
      <c r="B124" s="21" t="str">
        <f>IFERROR(__xludf.DUMMYFUNCTION("""COMPUTED_VALUE"""),"The Walt Disney Company")</f>
        <v>The Walt Disney Company</v>
      </c>
      <c r="C124" s="31" t="str">
        <f>IFERROR(__xludf.DUMMYFUNCTION("""COMPUTED_VALUE"""),"Technology &amp; IT Internships")</f>
        <v>Technology &amp; IT Internships</v>
      </c>
      <c r="D124" s="35"/>
      <c r="E124" s="28"/>
      <c r="F124" s="35"/>
      <c r="G124" s="31"/>
      <c r="H124" s="31"/>
      <c r="I124" s="31"/>
      <c r="J124" s="26"/>
      <c r="K124" s="26" t="str">
        <f>IFERROR(__xludf.DUMMYFUNCTION("""COMPUTED_VALUE"""),"NO")</f>
        <v>NO</v>
      </c>
    </row>
    <row r="125" ht="12.75" customHeight="1">
      <c r="A125" s="20"/>
      <c r="B125" s="21" t="str">
        <f>IFERROR(__xludf.DUMMYFUNCTION("""COMPUTED_VALUE"""),"SLB")</f>
        <v>SLB</v>
      </c>
      <c r="C125" s="31"/>
      <c r="D125" s="35"/>
      <c r="E125" s="28"/>
      <c r="F125" s="35"/>
      <c r="G125" s="31"/>
      <c r="H125" s="31"/>
      <c r="I125" s="31"/>
      <c r="J125" s="26"/>
      <c r="K125" s="26" t="str">
        <f>IFERROR(__xludf.DUMMYFUNCTION("""COMPUTED_VALUE"""),"NO")</f>
        <v>NO</v>
      </c>
    </row>
    <row r="126" ht="12.75" customHeight="1">
      <c r="A126" s="20"/>
      <c r="B126" s="21" t="str">
        <f>IFERROR(__xludf.DUMMYFUNCTION("""COMPUTED_VALUE"""),"Google")</f>
        <v>Google</v>
      </c>
      <c r="C126" s="31"/>
      <c r="D126" s="35"/>
      <c r="E126" s="28"/>
      <c r="F126" s="35"/>
      <c r="G126" s="31"/>
      <c r="H126" s="31"/>
      <c r="I126" s="31"/>
      <c r="J126" s="26"/>
      <c r="K126" s="26" t="str">
        <f>IFERROR(__xludf.DUMMYFUNCTION("""COMPUTED_VALUE"""),"NO")</f>
        <v>NO</v>
      </c>
    </row>
    <row r="127" ht="12.75" customHeight="1">
      <c r="A127" s="20"/>
      <c r="B127" s="21" t="str">
        <f>IFERROR(__xludf.DUMMYFUNCTION("""COMPUTED_VALUE"""),"Microsoft")</f>
        <v>Microsoft</v>
      </c>
      <c r="C127" s="31"/>
      <c r="D127" s="35"/>
      <c r="E127" s="28"/>
      <c r="F127" s="35"/>
      <c r="G127" s="31"/>
      <c r="H127" s="31"/>
      <c r="I127" s="31"/>
      <c r="J127" s="26"/>
      <c r="K127" s="26" t="str">
        <f>IFERROR(__xludf.DUMMYFUNCTION("""COMPUTED_VALUE"""),"NO")</f>
        <v>NO</v>
      </c>
    </row>
    <row r="128" ht="12.75" customHeight="1">
      <c r="A128" s="20"/>
      <c r="B128" s="21" t="str">
        <f>IFERROR(__xludf.DUMMYFUNCTION("""COMPUTED_VALUE"""),"Netflix")</f>
        <v>Netflix</v>
      </c>
      <c r="C128" s="31"/>
      <c r="D128" s="35"/>
      <c r="E128" s="28"/>
      <c r="F128" s="35"/>
      <c r="G128" s="31"/>
      <c r="H128" s="31"/>
      <c r="I128" s="31"/>
      <c r="J128" s="26"/>
      <c r="K128" s="26" t="str">
        <f>IFERROR(__xludf.DUMMYFUNCTION("""COMPUTED_VALUE"""),"NO")</f>
        <v>NO</v>
      </c>
    </row>
    <row r="129" ht="12.75" customHeight="1">
      <c r="A129" s="20"/>
      <c r="B129" s="20" t="str">
        <f>IFERROR(__xludf.DUMMYFUNCTION("""COMPUTED_VALUE"""),"Facebook")</f>
        <v>Facebook</v>
      </c>
      <c r="C129" s="31"/>
      <c r="D129" s="35"/>
      <c r="E129" s="28"/>
      <c r="F129" s="35"/>
      <c r="G129" s="31"/>
      <c r="H129" s="31"/>
      <c r="I129" s="31"/>
      <c r="J129" s="26"/>
      <c r="K129" s="26" t="str">
        <f>IFERROR(__xludf.DUMMYFUNCTION("""COMPUTED_VALUE"""),"NO")</f>
        <v>NO</v>
      </c>
    </row>
    <row r="130" ht="12.75" customHeight="1">
      <c r="A130" s="20"/>
      <c r="B130" s="21" t="str">
        <f>IFERROR(__xludf.DUMMYFUNCTION("""COMPUTED_VALUE"""),"Ocado")</f>
        <v>Ocado</v>
      </c>
      <c r="C130" s="31"/>
      <c r="D130" s="35"/>
      <c r="E130" s="28"/>
      <c r="F130" s="35"/>
      <c r="G130" s="31"/>
      <c r="H130" s="31"/>
      <c r="I130" s="31"/>
      <c r="J130" s="26"/>
      <c r="K130" s="26" t="str">
        <f>IFERROR(__xludf.DUMMYFUNCTION("""COMPUTED_VALUE"""),"NO")</f>
        <v>NO</v>
      </c>
    </row>
    <row r="131" ht="12.75" customHeight="1">
      <c r="A131" s="20"/>
      <c r="B131" s="21" t="str">
        <f>IFERROR(__xludf.DUMMYFUNCTION("""COMPUTED_VALUE"""),"Angstrom Sports")</f>
        <v>Angstrom Sports</v>
      </c>
      <c r="C131" s="31"/>
      <c r="D131" s="35"/>
      <c r="E131" s="28"/>
      <c r="F131" s="35"/>
      <c r="G131" s="31"/>
      <c r="H131" s="31"/>
      <c r="I131" s="31"/>
      <c r="J131" s="26"/>
      <c r="K131" s="26" t="str">
        <f>IFERROR(__xludf.DUMMYFUNCTION("""COMPUTED_VALUE"""),"NO")</f>
        <v>NO</v>
      </c>
    </row>
    <row r="132" ht="12.75" customHeight="1">
      <c r="A132" s="31"/>
      <c r="B132" s="21" t="str">
        <f>IFERROR(__xludf.DUMMYFUNCTION("""COMPUTED_VALUE"""),"Bloomberg")</f>
        <v>Bloomberg</v>
      </c>
      <c r="C132" s="31"/>
      <c r="D132" s="35"/>
      <c r="E132" s="28"/>
      <c r="F132" s="35"/>
      <c r="G132" s="31"/>
      <c r="H132" s="31"/>
      <c r="I132" s="31"/>
      <c r="J132" s="26"/>
      <c r="K132" s="26" t="str">
        <f>IFERROR(__xludf.DUMMYFUNCTION("""COMPUTED_VALUE"""),"NO")</f>
        <v>NO</v>
      </c>
    </row>
    <row r="133" ht="12.75" customHeight="1">
      <c r="A133" s="31"/>
      <c r="B133" s="21" t="str">
        <f>IFERROR(__xludf.DUMMYFUNCTION("""COMPUTED_VALUE"""),"Apple")</f>
        <v>Apple</v>
      </c>
      <c r="C133" s="31"/>
      <c r="D133" s="35"/>
      <c r="E133" s="28"/>
      <c r="F133" s="35"/>
      <c r="G133" s="31"/>
      <c r="H133" s="31"/>
      <c r="I133" s="31"/>
      <c r="J133" s="26"/>
      <c r="K133" s="26" t="str">
        <f>IFERROR(__xludf.DUMMYFUNCTION("""COMPUTED_VALUE"""),"NO")</f>
        <v>NO</v>
      </c>
    </row>
    <row r="134" ht="12.75" customHeight="1">
      <c r="A134" s="31"/>
      <c r="B134" s="21" t="str">
        <f>IFERROR(__xludf.DUMMYFUNCTION("""COMPUTED_VALUE"""),"IBM")</f>
        <v>IBM</v>
      </c>
      <c r="C134" s="31"/>
      <c r="D134" s="35"/>
      <c r="E134" s="28"/>
      <c r="F134" s="35"/>
      <c r="G134" s="31"/>
      <c r="H134" s="31"/>
      <c r="I134" s="31"/>
      <c r="J134" s="26"/>
      <c r="K134" s="26" t="str">
        <f>IFERROR(__xludf.DUMMYFUNCTION("""COMPUTED_VALUE"""),"NO")</f>
        <v>NO</v>
      </c>
    </row>
    <row r="135" ht="12.75" customHeight="1">
      <c r="A135" s="31"/>
      <c r="B135" s="40" t="str">
        <f>IFERROR(__xludf.DUMMYFUNCTION("""COMPUTED_VALUE"""),"Oracle")</f>
        <v>Oracle</v>
      </c>
      <c r="C135" s="31"/>
      <c r="D135" s="35"/>
      <c r="E135" s="28"/>
      <c r="F135" s="35"/>
      <c r="G135" s="31"/>
      <c r="H135" s="31"/>
      <c r="I135" s="31"/>
      <c r="J135" s="26"/>
      <c r="K135" s="26" t="str">
        <f>IFERROR(__xludf.DUMMYFUNCTION("""COMPUTED_VALUE"""),"NO")</f>
        <v>NO</v>
      </c>
    </row>
    <row r="136" ht="12.75" customHeight="1">
      <c r="A136" s="31"/>
      <c r="B136" s="31" t="str">
        <f>IFERROR(__xludf.DUMMYFUNCTION("""COMPUTED_VALUE"""),"")</f>
        <v/>
      </c>
      <c r="C136" s="31"/>
      <c r="D136" s="35"/>
      <c r="E136" s="28"/>
      <c r="F136" s="35"/>
      <c r="G136" s="31"/>
      <c r="H136" s="31"/>
      <c r="I136" s="31"/>
      <c r="J136" s="26"/>
      <c r="K136" s="26"/>
    </row>
    <row r="137" ht="12.75" customHeight="1">
      <c r="A137" s="31"/>
      <c r="B137" s="31" t="str">
        <f>IFERROR(__xludf.DUMMYFUNCTION("""COMPUTED_VALUE"""),"")</f>
        <v/>
      </c>
      <c r="C137" s="31"/>
      <c r="D137" s="35"/>
      <c r="E137" s="28"/>
      <c r="F137" s="35"/>
      <c r="G137" s="31"/>
      <c r="H137" s="31"/>
      <c r="I137" s="31"/>
      <c r="J137" s="26"/>
      <c r="K137" s="26"/>
    </row>
    <row r="138" ht="12.75" customHeight="1">
      <c r="A138" s="31"/>
      <c r="B138" s="31" t="str">
        <f>IFERROR(__xludf.DUMMYFUNCTION("""COMPUTED_VALUE"""),"")</f>
        <v/>
      </c>
      <c r="C138" s="31"/>
      <c r="D138" s="35"/>
      <c r="E138" s="28"/>
      <c r="F138" s="35"/>
      <c r="G138" s="31"/>
      <c r="H138" s="31"/>
      <c r="I138" s="31"/>
      <c r="J138" s="26"/>
      <c r="K138" s="26"/>
    </row>
    <row r="139" ht="12.75" customHeight="1">
      <c r="A139" s="31"/>
      <c r="B139" s="31" t="str">
        <f>IFERROR(__xludf.DUMMYFUNCTION("""COMPUTED_VALUE"""),"")</f>
        <v/>
      </c>
      <c r="C139" s="31"/>
      <c r="D139" s="35"/>
      <c r="E139" s="28"/>
      <c r="F139" s="35"/>
      <c r="G139" s="31"/>
      <c r="H139" s="31"/>
      <c r="I139" s="31"/>
      <c r="J139" s="26"/>
      <c r="K139" s="26"/>
    </row>
    <row r="140" ht="12.75" customHeight="1">
      <c r="A140" s="31"/>
      <c r="B140" s="31" t="str">
        <f>IFERROR(__xludf.DUMMYFUNCTION("""COMPUTED_VALUE"""),"")</f>
        <v/>
      </c>
      <c r="C140" s="31"/>
      <c r="D140" s="35"/>
      <c r="E140" s="28"/>
      <c r="F140" s="35"/>
      <c r="G140" s="31"/>
      <c r="H140" s="31"/>
      <c r="I140" s="31"/>
      <c r="J140" s="26"/>
      <c r="K140" s="26"/>
    </row>
    <row r="141" ht="12.75" customHeight="1">
      <c r="A141" s="31"/>
      <c r="B141" s="31" t="str">
        <f>IFERROR(__xludf.DUMMYFUNCTION("""COMPUTED_VALUE"""),"")</f>
        <v/>
      </c>
      <c r="C141" s="31"/>
      <c r="D141" s="35"/>
      <c r="E141" s="28"/>
      <c r="F141" s="35"/>
      <c r="G141" s="31"/>
      <c r="H141" s="31"/>
      <c r="I141" s="31"/>
      <c r="J141" s="26"/>
      <c r="K141" s="26"/>
    </row>
    <row r="142" ht="12.75" customHeight="1">
      <c r="A142" s="31"/>
      <c r="B142" s="31" t="str">
        <f>IFERROR(__xludf.DUMMYFUNCTION("""COMPUTED_VALUE"""),"")</f>
        <v/>
      </c>
      <c r="C142" s="31"/>
      <c r="D142" s="35"/>
      <c r="E142" s="28"/>
      <c r="F142" s="35"/>
      <c r="G142" s="31"/>
      <c r="H142" s="31"/>
      <c r="I142" s="31"/>
      <c r="J142" s="26"/>
      <c r="K142" s="26"/>
    </row>
    <row r="143" ht="12.75" customHeight="1">
      <c r="A143" s="31"/>
      <c r="B143" s="31" t="str">
        <f>IFERROR(__xludf.DUMMYFUNCTION("""COMPUTED_VALUE"""),"")</f>
        <v/>
      </c>
      <c r="C143" s="31"/>
      <c r="D143" s="35"/>
      <c r="E143" s="28"/>
      <c r="F143" s="35"/>
      <c r="G143" s="31"/>
      <c r="H143" s="31"/>
      <c r="I143" s="31"/>
      <c r="J143" s="26"/>
      <c r="K143" s="26"/>
    </row>
    <row r="144" ht="12.75" customHeight="1">
      <c r="A144" s="31"/>
      <c r="B144" s="31" t="str">
        <f>IFERROR(__xludf.DUMMYFUNCTION("""COMPUTED_VALUE"""),"")</f>
        <v/>
      </c>
      <c r="C144" s="31"/>
      <c r="D144" s="35"/>
      <c r="E144" s="28"/>
      <c r="F144" s="35"/>
      <c r="G144" s="31"/>
      <c r="H144" s="31"/>
      <c r="I144" s="31"/>
      <c r="J144" s="26"/>
      <c r="K144" s="26"/>
    </row>
    <row r="145" ht="12.75" customHeight="1">
      <c r="A145" s="31"/>
      <c r="B145" s="31" t="str">
        <f>IFERROR(__xludf.DUMMYFUNCTION("""COMPUTED_VALUE"""),"")</f>
        <v/>
      </c>
      <c r="C145" s="31"/>
      <c r="D145" s="35"/>
      <c r="E145" s="28"/>
      <c r="F145" s="35"/>
      <c r="G145" s="31"/>
      <c r="H145" s="31"/>
      <c r="I145" s="31"/>
      <c r="J145" s="26"/>
      <c r="K145" s="26"/>
    </row>
    <row r="146" ht="12.75" customHeight="1">
      <c r="A146" s="31"/>
      <c r="B146" s="31" t="str">
        <f>IFERROR(__xludf.DUMMYFUNCTION("""COMPUTED_VALUE"""),"")</f>
        <v/>
      </c>
      <c r="C146" s="31"/>
      <c r="D146" s="35"/>
      <c r="E146" s="28"/>
      <c r="F146" s="35"/>
      <c r="G146" s="31"/>
      <c r="H146" s="31"/>
      <c r="I146" s="31"/>
      <c r="J146" s="26"/>
      <c r="K146" s="26"/>
    </row>
    <row r="147" ht="12.75" customHeight="1">
      <c r="A147" s="31"/>
      <c r="B147" s="31" t="str">
        <f>IFERROR(__xludf.DUMMYFUNCTION("""COMPUTED_VALUE"""),"")</f>
        <v/>
      </c>
      <c r="C147" s="31"/>
      <c r="D147" s="35"/>
      <c r="E147" s="28"/>
      <c r="F147" s="35"/>
      <c r="G147" s="31"/>
      <c r="H147" s="31"/>
      <c r="I147" s="31"/>
      <c r="J147" s="26"/>
      <c r="K147" s="26"/>
    </row>
    <row r="148" ht="12.75" customHeight="1">
      <c r="A148" s="31"/>
      <c r="B148" s="31" t="str">
        <f>IFERROR(__xludf.DUMMYFUNCTION("""COMPUTED_VALUE"""),"")</f>
        <v/>
      </c>
      <c r="C148" s="31"/>
      <c r="D148" s="35"/>
      <c r="E148" s="28"/>
      <c r="F148" s="35"/>
      <c r="G148" s="31"/>
      <c r="H148" s="31"/>
      <c r="I148" s="31"/>
      <c r="J148" s="26"/>
      <c r="K148" s="26"/>
    </row>
    <row r="149" ht="12.75" customHeight="1">
      <c r="A149" s="31"/>
      <c r="B149" s="31" t="str">
        <f>IFERROR(__xludf.DUMMYFUNCTION("""COMPUTED_VALUE"""),"")</f>
        <v/>
      </c>
      <c r="C149" s="31"/>
      <c r="D149" s="35"/>
      <c r="E149" s="28"/>
      <c r="F149" s="35"/>
      <c r="G149" s="31"/>
      <c r="H149" s="31"/>
      <c r="I149" s="31"/>
      <c r="J149" s="26"/>
      <c r="K149" s="26"/>
    </row>
    <row r="150" ht="12.75" customHeight="1">
      <c r="A150" s="31"/>
      <c r="B150" s="31" t="str">
        <f>IFERROR(__xludf.DUMMYFUNCTION("""COMPUTED_VALUE"""),"")</f>
        <v/>
      </c>
      <c r="C150" s="31"/>
      <c r="D150" s="35"/>
      <c r="E150" s="28"/>
      <c r="F150" s="35"/>
      <c r="G150" s="31"/>
      <c r="H150" s="31"/>
      <c r="I150" s="31"/>
      <c r="J150" s="26"/>
      <c r="K150" s="26"/>
    </row>
    <row r="151" ht="12.75" customHeight="1">
      <c r="A151" s="31"/>
      <c r="B151" s="31" t="str">
        <f>IFERROR(__xludf.DUMMYFUNCTION("""COMPUTED_VALUE"""),"")</f>
        <v/>
      </c>
      <c r="C151" s="31"/>
      <c r="D151" s="35"/>
      <c r="E151" s="28"/>
      <c r="F151" s="35"/>
      <c r="G151" s="31"/>
      <c r="H151" s="31"/>
      <c r="I151" s="31"/>
      <c r="J151" s="26"/>
      <c r="K151" s="26"/>
    </row>
    <row r="152" ht="12.75" customHeight="1">
      <c r="A152" s="31"/>
      <c r="B152" s="31" t="str">
        <f>IFERROR(__xludf.DUMMYFUNCTION("""COMPUTED_VALUE"""),"")</f>
        <v/>
      </c>
      <c r="C152" s="31"/>
      <c r="D152" s="35"/>
      <c r="E152" s="28"/>
      <c r="F152" s="35"/>
      <c r="G152" s="31"/>
      <c r="H152" s="31"/>
      <c r="I152" s="31"/>
      <c r="J152" s="26"/>
      <c r="K152" s="26"/>
    </row>
    <row r="153" ht="12.75" customHeight="1">
      <c r="A153" s="31"/>
      <c r="B153" s="31" t="str">
        <f>IFERROR(__xludf.DUMMYFUNCTION("""COMPUTED_VALUE"""),"")</f>
        <v/>
      </c>
      <c r="C153" s="31"/>
      <c r="D153" s="35"/>
      <c r="E153" s="28"/>
      <c r="F153" s="35"/>
      <c r="G153" s="31"/>
      <c r="H153" s="31"/>
      <c r="I153" s="31"/>
      <c r="J153" s="26"/>
      <c r="K153" s="26"/>
    </row>
    <row r="154" ht="12.75" customHeight="1">
      <c r="A154" s="31"/>
      <c r="B154" s="31" t="str">
        <f>IFERROR(__xludf.DUMMYFUNCTION("""COMPUTED_VALUE"""),"")</f>
        <v/>
      </c>
      <c r="C154" s="31"/>
      <c r="D154" s="35"/>
      <c r="E154" s="28"/>
      <c r="F154" s="35"/>
      <c r="G154" s="31"/>
      <c r="H154" s="31"/>
      <c r="I154" s="31"/>
      <c r="J154" s="26"/>
      <c r="K154" s="26"/>
    </row>
    <row r="155" ht="12.75" customHeight="1">
      <c r="A155" s="31"/>
      <c r="B155" s="31" t="str">
        <f>IFERROR(__xludf.DUMMYFUNCTION("""COMPUTED_VALUE"""),"")</f>
        <v/>
      </c>
      <c r="C155" s="31"/>
      <c r="D155" s="35"/>
      <c r="E155" s="28"/>
      <c r="F155" s="35"/>
      <c r="G155" s="31"/>
      <c r="H155" s="31"/>
      <c r="I155" s="31"/>
      <c r="J155" s="26"/>
      <c r="K155" s="26"/>
    </row>
    <row r="156" ht="12.75" customHeight="1">
      <c r="A156" s="31"/>
      <c r="B156" s="31" t="str">
        <f>IFERROR(__xludf.DUMMYFUNCTION("""COMPUTED_VALUE"""),"")</f>
        <v/>
      </c>
      <c r="C156" s="31"/>
      <c r="D156" s="35"/>
      <c r="E156" s="28"/>
      <c r="F156" s="35"/>
      <c r="G156" s="31"/>
      <c r="H156" s="31"/>
      <c r="I156" s="31"/>
      <c r="J156" s="26"/>
      <c r="K156" s="26"/>
    </row>
    <row r="157" ht="12.75" customHeight="1">
      <c r="A157" s="31"/>
      <c r="B157" s="31" t="str">
        <f>IFERROR(__xludf.DUMMYFUNCTION("""COMPUTED_VALUE"""),"")</f>
        <v/>
      </c>
      <c r="C157" s="31"/>
      <c r="D157" s="35"/>
      <c r="E157" s="28"/>
      <c r="F157" s="35"/>
      <c r="G157" s="31"/>
      <c r="H157" s="31"/>
      <c r="I157" s="31"/>
      <c r="J157" s="26"/>
      <c r="K157" s="26"/>
    </row>
    <row r="158" ht="12.75" customHeight="1">
      <c r="A158" s="31"/>
      <c r="B158" s="31" t="str">
        <f>IFERROR(__xludf.DUMMYFUNCTION("""COMPUTED_VALUE"""),"")</f>
        <v/>
      </c>
      <c r="C158" s="31"/>
      <c r="D158" s="35"/>
      <c r="E158" s="28"/>
      <c r="F158" s="35"/>
      <c r="G158" s="31"/>
      <c r="H158" s="31"/>
      <c r="I158" s="31"/>
      <c r="J158" s="26"/>
      <c r="K158" s="26"/>
    </row>
    <row r="159" ht="12.75" customHeight="1">
      <c r="A159" s="31"/>
      <c r="B159" s="31" t="str">
        <f>IFERROR(__xludf.DUMMYFUNCTION("""COMPUTED_VALUE"""),"")</f>
        <v/>
      </c>
      <c r="C159" s="31"/>
      <c r="D159" s="35"/>
      <c r="E159" s="28"/>
      <c r="F159" s="35"/>
      <c r="G159" s="31"/>
      <c r="H159" s="31"/>
      <c r="I159" s="31"/>
      <c r="J159" s="26"/>
      <c r="K159" s="26"/>
    </row>
    <row r="160" ht="12.75" customHeight="1">
      <c r="A160" s="31"/>
      <c r="B160" s="31" t="str">
        <f>IFERROR(__xludf.DUMMYFUNCTION("""COMPUTED_VALUE"""),"")</f>
        <v/>
      </c>
      <c r="C160" s="31"/>
      <c r="D160" s="35"/>
      <c r="E160" s="28"/>
      <c r="F160" s="35"/>
      <c r="G160" s="31"/>
      <c r="H160" s="31"/>
      <c r="I160" s="31"/>
      <c r="J160" s="26"/>
      <c r="K160" s="26"/>
    </row>
    <row r="161" ht="12.75" customHeight="1">
      <c r="A161" s="31"/>
      <c r="B161" s="31" t="str">
        <f>IFERROR(__xludf.DUMMYFUNCTION("""COMPUTED_VALUE"""),"")</f>
        <v/>
      </c>
      <c r="C161" s="31"/>
      <c r="D161" s="35"/>
      <c r="E161" s="28"/>
      <c r="F161" s="35"/>
      <c r="G161" s="31"/>
      <c r="H161" s="31"/>
      <c r="I161" s="31"/>
      <c r="J161" s="26"/>
      <c r="K161" s="26"/>
    </row>
    <row r="162" ht="12.75" customHeight="1">
      <c r="A162" s="31"/>
      <c r="B162" s="31" t="str">
        <f>IFERROR(__xludf.DUMMYFUNCTION("""COMPUTED_VALUE"""),"")</f>
        <v/>
      </c>
      <c r="C162" s="31"/>
      <c r="D162" s="35"/>
      <c r="E162" s="28"/>
      <c r="F162" s="35"/>
      <c r="G162" s="31"/>
      <c r="H162" s="31"/>
      <c r="I162" s="31"/>
      <c r="J162" s="26"/>
      <c r="K162" s="26"/>
    </row>
    <row r="163" ht="12.75" customHeight="1">
      <c r="A163" s="31"/>
      <c r="B163" s="31" t="str">
        <f>IFERROR(__xludf.DUMMYFUNCTION("""COMPUTED_VALUE"""),"")</f>
        <v/>
      </c>
      <c r="C163" s="31"/>
      <c r="D163" s="35"/>
      <c r="E163" s="28"/>
      <c r="F163" s="35"/>
      <c r="G163" s="31"/>
      <c r="H163" s="31"/>
      <c r="I163" s="31"/>
      <c r="J163" s="26"/>
      <c r="K163" s="26"/>
    </row>
    <row r="164" ht="12.75" customHeight="1">
      <c r="A164" s="31"/>
      <c r="B164" s="31" t="str">
        <f>IFERROR(__xludf.DUMMYFUNCTION("""COMPUTED_VALUE"""),"")</f>
        <v/>
      </c>
      <c r="C164" s="31"/>
      <c r="D164" s="35"/>
      <c r="E164" s="28"/>
      <c r="F164" s="35"/>
      <c r="G164" s="31"/>
      <c r="H164" s="31"/>
      <c r="I164" s="31"/>
      <c r="J164" s="26"/>
      <c r="K164" s="26"/>
    </row>
    <row r="165" ht="12.75" customHeight="1">
      <c r="A165" s="31"/>
      <c r="B165" s="31" t="str">
        <f>IFERROR(__xludf.DUMMYFUNCTION("""COMPUTED_VALUE"""),"")</f>
        <v/>
      </c>
      <c r="C165" s="31"/>
      <c r="D165" s="35"/>
      <c r="E165" s="28"/>
      <c r="F165" s="35"/>
      <c r="G165" s="31"/>
      <c r="H165" s="31"/>
      <c r="I165" s="31"/>
      <c r="J165" s="26"/>
      <c r="K165" s="26"/>
    </row>
    <row r="166" ht="12.75" customHeight="1">
      <c r="A166" s="31"/>
      <c r="B166" s="31" t="str">
        <f>IFERROR(__xludf.DUMMYFUNCTION("""COMPUTED_VALUE"""),"")</f>
        <v/>
      </c>
      <c r="C166" s="31"/>
      <c r="D166" s="35"/>
      <c r="E166" s="28"/>
      <c r="F166" s="35"/>
      <c r="G166" s="31"/>
      <c r="H166" s="31"/>
      <c r="I166" s="31"/>
      <c r="J166" s="26"/>
      <c r="K166" s="26"/>
    </row>
    <row r="167" ht="12.75" customHeight="1">
      <c r="A167" s="31"/>
      <c r="B167" s="31" t="str">
        <f>IFERROR(__xludf.DUMMYFUNCTION("""COMPUTED_VALUE"""),"")</f>
        <v/>
      </c>
      <c r="C167" s="31"/>
      <c r="D167" s="35"/>
      <c r="E167" s="28"/>
      <c r="F167" s="35"/>
      <c r="G167" s="31"/>
      <c r="H167" s="31"/>
      <c r="I167" s="31"/>
      <c r="J167" s="26"/>
      <c r="K167" s="26"/>
    </row>
    <row r="168" ht="12.75" customHeight="1">
      <c r="A168" s="31"/>
      <c r="B168" s="31" t="str">
        <f>IFERROR(__xludf.DUMMYFUNCTION("""COMPUTED_VALUE"""),"")</f>
        <v/>
      </c>
      <c r="C168" s="31"/>
      <c r="D168" s="35"/>
      <c r="E168" s="28"/>
      <c r="F168" s="35"/>
      <c r="G168" s="31"/>
      <c r="H168" s="31"/>
      <c r="I168" s="31"/>
      <c r="J168" s="26"/>
      <c r="K168" s="26"/>
    </row>
    <row r="169" ht="12.75" customHeight="1">
      <c r="A169" s="31"/>
      <c r="B169" s="31" t="str">
        <f>IFERROR(__xludf.DUMMYFUNCTION("""COMPUTED_VALUE"""),"")</f>
        <v/>
      </c>
      <c r="C169" s="31"/>
      <c r="D169" s="35"/>
      <c r="E169" s="28"/>
      <c r="F169" s="35"/>
      <c r="G169" s="31"/>
      <c r="H169" s="31"/>
      <c r="I169" s="31"/>
      <c r="J169" s="26"/>
      <c r="K169" s="26"/>
    </row>
    <row r="170" ht="12.75" customHeight="1">
      <c r="A170" s="31"/>
      <c r="B170" s="31" t="str">
        <f>IFERROR(__xludf.DUMMYFUNCTION("""COMPUTED_VALUE"""),"")</f>
        <v/>
      </c>
      <c r="C170" s="31"/>
      <c r="D170" s="35"/>
      <c r="E170" s="28"/>
      <c r="F170" s="35"/>
      <c r="G170" s="31"/>
      <c r="H170" s="31"/>
      <c r="I170" s="31"/>
      <c r="J170" s="26"/>
      <c r="K170" s="26"/>
    </row>
    <row r="171" ht="12.75" customHeight="1">
      <c r="A171" s="31"/>
      <c r="B171" s="31" t="str">
        <f>IFERROR(__xludf.DUMMYFUNCTION("""COMPUTED_VALUE"""),"")</f>
        <v/>
      </c>
      <c r="C171" s="31"/>
      <c r="D171" s="35"/>
      <c r="E171" s="28"/>
      <c r="F171" s="35"/>
      <c r="G171" s="31"/>
      <c r="H171" s="31"/>
      <c r="I171" s="31"/>
      <c r="J171" s="26"/>
      <c r="K171" s="26"/>
    </row>
    <row r="172" ht="12.75" customHeight="1">
      <c r="A172" s="31"/>
      <c r="B172" s="31" t="str">
        <f>IFERROR(__xludf.DUMMYFUNCTION("""COMPUTED_VALUE"""),"")</f>
        <v/>
      </c>
      <c r="C172" s="31"/>
      <c r="D172" s="35"/>
      <c r="E172" s="28"/>
      <c r="F172" s="35"/>
      <c r="G172" s="31"/>
      <c r="H172" s="31"/>
      <c r="I172" s="31"/>
      <c r="J172" s="26"/>
      <c r="K172" s="26"/>
    </row>
    <row r="173" ht="12.75" customHeight="1">
      <c r="A173" s="31"/>
      <c r="B173" s="31" t="str">
        <f>IFERROR(__xludf.DUMMYFUNCTION("""COMPUTED_VALUE"""),"")</f>
        <v/>
      </c>
      <c r="C173" s="31"/>
      <c r="D173" s="35"/>
      <c r="E173" s="28"/>
      <c r="F173" s="35"/>
      <c r="G173" s="31"/>
      <c r="H173" s="31"/>
      <c r="I173" s="31"/>
      <c r="J173" s="26"/>
      <c r="K173" s="26"/>
    </row>
    <row r="174" ht="12.75" customHeight="1">
      <c r="A174" s="31"/>
      <c r="B174" s="31" t="str">
        <f>IFERROR(__xludf.DUMMYFUNCTION("""COMPUTED_VALUE"""),"")</f>
        <v/>
      </c>
      <c r="C174" s="31"/>
      <c r="D174" s="35"/>
      <c r="E174" s="28"/>
      <c r="F174" s="35"/>
      <c r="G174" s="31"/>
      <c r="H174" s="31"/>
      <c r="I174" s="31"/>
      <c r="J174" s="26"/>
      <c r="K174" s="26"/>
    </row>
    <row r="175" ht="12.75" customHeight="1">
      <c r="A175" s="31"/>
      <c r="B175" s="31" t="str">
        <f>IFERROR(__xludf.DUMMYFUNCTION("""COMPUTED_VALUE"""),"")</f>
        <v/>
      </c>
      <c r="C175" s="31"/>
      <c r="D175" s="35"/>
      <c r="E175" s="28"/>
      <c r="F175" s="35"/>
      <c r="G175" s="31"/>
      <c r="H175" s="31"/>
      <c r="I175" s="31"/>
      <c r="J175" s="26"/>
      <c r="K175" s="26"/>
    </row>
    <row r="176" ht="12.75" customHeight="1">
      <c r="A176" s="31"/>
      <c r="B176" s="31" t="str">
        <f>IFERROR(__xludf.DUMMYFUNCTION("""COMPUTED_VALUE"""),"")</f>
        <v/>
      </c>
      <c r="C176" s="31"/>
      <c r="D176" s="35"/>
      <c r="E176" s="28"/>
      <c r="F176" s="35"/>
      <c r="G176" s="31"/>
      <c r="H176" s="31"/>
      <c r="I176" s="31"/>
      <c r="J176" s="26"/>
      <c r="K176" s="26"/>
    </row>
    <row r="177" ht="12.75" customHeight="1">
      <c r="A177" s="31"/>
      <c r="B177" s="31" t="str">
        <f>IFERROR(__xludf.DUMMYFUNCTION("""COMPUTED_VALUE"""),"")</f>
        <v/>
      </c>
      <c r="C177" s="31"/>
      <c r="D177" s="35"/>
      <c r="E177" s="28"/>
      <c r="F177" s="35"/>
      <c r="G177" s="31"/>
      <c r="H177" s="31"/>
      <c r="I177" s="31"/>
      <c r="J177" s="26"/>
      <c r="K177" s="26"/>
    </row>
    <row r="178" ht="12.75" customHeight="1">
      <c r="A178" s="31"/>
      <c r="B178" s="31" t="str">
        <f>IFERROR(__xludf.DUMMYFUNCTION("""COMPUTED_VALUE"""),"")</f>
        <v/>
      </c>
      <c r="C178" s="31"/>
      <c r="D178" s="35"/>
      <c r="E178" s="28"/>
      <c r="F178" s="35"/>
      <c r="G178" s="31"/>
      <c r="H178" s="31"/>
      <c r="I178" s="31"/>
      <c r="J178" s="26"/>
      <c r="K178" s="26"/>
    </row>
    <row r="179" ht="12.75" customHeight="1">
      <c r="A179" s="31"/>
      <c r="B179" s="31" t="str">
        <f>IFERROR(__xludf.DUMMYFUNCTION("""COMPUTED_VALUE"""),"")</f>
        <v/>
      </c>
      <c r="C179" s="31"/>
      <c r="D179" s="35"/>
      <c r="E179" s="28"/>
      <c r="F179" s="35"/>
      <c r="G179" s="31"/>
      <c r="H179" s="31"/>
      <c r="I179" s="31"/>
      <c r="J179" s="26"/>
      <c r="K179" s="26"/>
    </row>
    <row r="180" ht="12.75" customHeight="1">
      <c r="A180" s="31"/>
      <c r="B180" s="31" t="str">
        <f>IFERROR(__xludf.DUMMYFUNCTION("""COMPUTED_VALUE"""),"")</f>
        <v/>
      </c>
      <c r="C180" s="31"/>
      <c r="D180" s="35"/>
      <c r="E180" s="28"/>
      <c r="F180" s="35"/>
      <c r="G180" s="31"/>
      <c r="H180" s="31"/>
      <c r="I180" s="31"/>
      <c r="J180" s="26"/>
      <c r="K180" s="26"/>
    </row>
    <row r="181" ht="12.75" customHeight="1">
      <c r="A181" s="31"/>
      <c r="B181" s="31" t="str">
        <f>IFERROR(__xludf.DUMMYFUNCTION("""COMPUTED_VALUE"""),"")</f>
        <v/>
      </c>
      <c r="C181" s="31"/>
      <c r="D181" s="35"/>
      <c r="E181" s="28"/>
      <c r="F181" s="35"/>
      <c r="G181" s="31"/>
      <c r="H181" s="31"/>
      <c r="I181" s="31"/>
      <c r="J181" s="26"/>
      <c r="K181" s="26"/>
    </row>
    <row r="182" ht="12.75" customHeight="1">
      <c r="A182" s="31"/>
      <c r="B182" s="31" t="str">
        <f>IFERROR(__xludf.DUMMYFUNCTION("""COMPUTED_VALUE"""),"")</f>
        <v/>
      </c>
      <c r="C182" s="31"/>
      <c r="D182" s="35"/>
      <c r="E182" s="28"/>
      <c r="F182" s="35"/>
      <c r="G182" s="31"/>
      <c r="H182" s="31"/>
      <c r="I182" s="31"/>
      <c r="J182" s="26"/>
      <c r="K182" s="26"/>
    </row>
    <row r="183" ht="12.75" customHeight="1">
      <c r="A183" s="31"/>
      <c r="B183" s="31" t="str">
        <f>IFERROR(__xludf.DUMMYFUNCTION("""COMPUTED_VALUE"""),"")</f>
        <v/>
      </c>
      <c r="C183" s="31"/>
      <c r="D183" s="35"/>
      <c r="E183" s="28"/>
      <c r="F183" s="35"/>
      <c r="G183" s="31"/>
      <c r="H183" s="31"/>
      <c r="I183" s="31"/>
      <c r="J183" s="26"/>
      <c r="K183" s="26"/>
    </row>
    <row r="184" ht="12.75" customHeight="1">
      <c r="A184" s="31"/>
      <c r="B184" s="31" t="str">
        <f>IFERROR(__xludf.DUMMYFUNCTION("""COMPUTED_VALUE"""),"")</f>
        <v/>
      </c>
      <c r="C184" s="31"/>
      <c r="D184" s="35"/>
      <c r="E184" s="28"/>
      <c r="F184" s="35"/>
      <c r="G184" s="31"/>
      <c r="H184" s="31"/>
      <c r="I184" s="31"/>
      <c r="J184" s="26"/>
      <c r="K184" s="26"/>
    </row>
    <row r="185" ht="12.75" customHeight="1">
      <c r="A185" s="31"/>
      <c r="B185" s="31" t="str">
        <f>IFERROR(__xludf.DUMMYFUNCTION("""COMPUTED_VALUE"""),"")</f>
        <v/>
      </c>
      <c r="C185" s="31"/>
      <c r="D185" s="35"/>
      <c r="E185" s="28"/>
      <c r="F185" s="35"/>
      <c r="G185" s="31"/>
      <c r="H185" s="31"/>
      <c r="I185" s="31"/>
      <c r="J185" s="26"/>
      <c r="K185" s="26"/>
    </row>
    <row r="186" ht="12.75" customHeight="1">
      <c r="A186" s="31"/>
      <c r="B186" s="31" t="str">
        <f>IFERROR(__xludf.DUMMYFUNCTION("""COMPUTED_VALUE"""),"")</f>
        <v/>
      </c>
      <c r="C186" s="31"/>
      <c r="D186" s="35"/>
      <c r="E186" s="28"/>
      <c r="F186" s="35"/>
      <c r="G186" s="31"/>
      <c r="H186" s="31"/>
      <c r="I186" s="31"/>
      <c r="J186" s="26"/>
      <c r="K186" s="26"/>
    </row>
    <row r="187" ht="12.75" customHeight="1">
      <c r="A187" s="31"/>
      <c r="B187" s="31" t="str">
        <f>IFERROR(__xludf.DUMMYFUNCTION("""COMPUTED_VALUE"""),"")</f>
        <v/>
      </c>
      <c r="C187" s="31"/>
      <c r="D187" s="35"/>
      <c r="E187" s="28"/>
      <c r="F187" s="35"/>
      <c r="G187" s="31"/>
      <c r="H187" s="31"/>
      <c r="I187" s="31"/>
      <c r="J187" s="26"/>
      <c r="K187" s="26"/>
    </row>
    <row r="188" ht="12.75" customHeight="1">
      <c r="A188" s="31"/>
      <c r="B188" s="31" t="str">
        <f>IFERROR(__xludf.DUMMYFUNCTION("""COMPUTED_VALUE"""),"")</f>
        <v/>
      </c>
      <c r="C188" s="31"/>
      <c r="D188" s="35"/>
      <c r="E188" s="28"/>
      <c r="F188" s="35"/>
      <c r="G188" s="31"/>
      <c r="H188" s="31"/>
      <c r="I188" s="31"/>
      <c r="J188" s="26"/>
      <c r="K188" s="26"/>
    </row>
    <row r="189" ht="12.75" customHeight="1">
      <c r="A189" s="31"/>
      <c r="B189" s="31" t="str">
        <f>IFERROR(__xludf.DUMMYFUNCTION("""COMPUTED_VALUE"""),"")</f>
        <v/>
      </c>
      <c r="C189" s="31"/>
      <c r="D189" s="35"/>
      <c r="E189" s="28"/>
      <c r="F189" s="35"/>
      <c r="G189" s="31"/>
      <c r="H189" s="31"/>
      <c r="I189" s="31"/>
      <c r="J189" s="26"/>
      <c r="K189" s="26"/>
    </row>
    <row r="190" ht="12.75" customHeight="1">
      <c r="A190" s="31"/>
      <c r="B190" s="31" t="str">
        <f>IFERROR(__xludf.DUMMYFUNCTION("""COMPUTED_VALUE"""),"")</f>
        <v/>
      </c>
      <c r="C190" s="31"/>
      <c r="D190" s="35"/>
      <c r="E190" s="28"/>
      <c r="F190" s="35"/>
      <c r="G190" s="31"/>
      <c r="H190" s="31"/>
      <c r="I190" s="31"/>
      <c r="J190" s="26"/>
      <c r="K190" s="26"/>
    </row>
    <row r="191" ht="12.75" customHeight="1">
      <c r="A191" s="31"/>
      <c r="B191" s="31" t="str">
        <f>IFERROR(__xludf.DUMMYFUNCTION("""COMPUTED_VALUE"""),"")</f>
        <v/>
      </c>
      <c r="C191" s="31"/>
      <c r="D191" s="35"/>
      <c r="E191" s="28"/>
      <c r="F191" s="35"/>
      <c r="G191" s="31"/>
      <c r="H191" s="31"/>
      <c r="I191" s="31"/>
      <c r="J191" s="26"/>
      <c r="K191" s="26"/>
    </row>
    <row r="192" ht="12.75" customHeight="1">
      <c r="A192" s="31"/>
      <c r="B192" s="31" t="str">
        <f>IFERROR(__xludf.DUMMYFUNCTION("""COMPUTED_VALUE"""),"")</f>
        <v/>
      </c>
      <c r="C192" s="31"/>
      <c r="D192" s="35"/>
      <c r="E192" s="28"/>
      <c r="F192" s="35"/>
      <c r="G192" s="31"/>
      <c r="H192" s="31"/>
      <c r="I192" s="31"/>
      <c r="J192" s="26"/>
      <c r="K192" s="26"/>
    </row>
    <row r="193" ht="12.75" customHeight="1">
      <c r="A193" s="31"/>
      <c r="B193" s="31" t="str">
        <f>IFERROR(__xludf.DUMMYFUNCTION("""COMPUTED_VALUE"""),"")</f>
        <v/>
      </c>
      <c r="C193" s="31"/>
      <c r="D193" s="35"/>
      <c r="E193" s="28"/>
      <c r="F193" s="35"/>
      <c r="G193" s="31"/>
      <c r="H193" s="31"/>
      <c r="I193" s="31"/>
      <c r="J193" s="26"/>
      <c r="K193" s="26"/>
    </row>
    <row r="194" ht="12.75" customHeight="1">
      <c r="A194" s="31"/>
      <c r="B194" s="31" t="str">
        <f>IFERROR(__xludf.DUMMYFUNCTION("""COMPUTED_VALUE"""),"")</f>
        <v/>
      </c>
      <c r="C194" s="31"/>
      <c r="D194" s="35"/>
      <c r="E194" s="28"/>
      <c r="F194" s="35"/>
      <c r="G194" s="31"/>
      <c r="H194" s="31"/>
      <c r="I194" s="31"/>
      <c r="J194" s="26"/>
      <c r="K194" s="26"/>
    </row>
    <row r="195" ht="12.75" customHeight="1">
      <c r="A195" s="31"/>
      <c r="B195" s="31" t="str">
        <f>IFERROR(__xludf.DUMMYFUNCTION("""COMPUTED_VALUE"""),"")</f>
        <v/>
      </c>
      <c r="C195" s="31"/>
      <c r="D195" s="35"/>
      <c r="E195" s="28"/>
      <c r="F195" s="35"/>
      <c r="G195" s="31"/>
      <c r="H195" s="31"/>
      <c r="I195" s="31"/>
      <c r="J195" s="26"/>
      <c r="K195" s="26"/>
    </row>
    <row r="196" ht="12.75" customHeight="1">
      <c r="A196" s="31"/>
      <c r="B196" s="31" t="str">
        <f>IFERROR(__xludf.DUMMYFUNCTION("""COMPUTED_VALUE"""),"")</f>
        <v/>
      </c>
      <c r="C196" s="31"/>
      <c r="D196" s="35"/>
      <c r="E196" s="28"/>
      <c r="F196" s="35"/>
      <c r="G196" s="31"/>
      <c r="H196" s="31"/>
      <c r="I196" s="31"/>
      <c r="J196" s="26"/>
      <c r="K196" s="26"/>
    </row>
    <row r="197" ht="12.75" customHeight="1">
      <c r="A197" s="31"/>
      <c r="B197" s="31" t="str">
        <f>IFERROR(__xludf.DUMMYFUNCTION("""COMPUTED_VALUE"""),"")</f>
        <v/>
      </c>
      <c r="C197" s="31"/>
      <c r="D197" s="35"/>
      <c r="E197" s="28"/>
      <c r="F197" s="35"/>
      <c r="G197" s="31"/>
      <c r="H197" s="31"/>
      <c r="I197" s="31"/>
      <c r="J197" s="26"/>
      <c r="K197" s="26"/>
    </row>
    <row r="198" ht="12.75" customHeight="1">
      <c r="A198" s="31"/>
      <c r="B198" s="31" t="str">
        <f>IFERROR(__xludf.DUMMYFUNCTION("""COMPUTED_VALUE"""),"")</f>
        <v/>
      </c>
      <c r="C198" s="31"/>
      <c r="D198" s="35"/>
      <c r="E198" s="28"/>
      <c r="F198" s="35"/>
      <c r="G198" s="31"/>
      <c r="H198" s="31"/>
      <c r="I198" s="31"/>
      <c r="J198" s="26"/>
      <c r="K198" s="26"/>
    </row>
    <row r="199" ht="12.75" customHeight="1">
      <c r="A199" s="31"/>
      <c r="B199" s="31" t="str">
        <f>IFERROR(__xludf.DUMMYFUNCTION("""COMPUTED_VALUE"""),"")</f>
        <v/>
      </c>
      <c r="C199" s="31"/>
      <c r="D199" s="35"/>
      <c r="E199" s="28"/>
      <c r="F199" s="35"/>
      <c r="G199" s="31"/>
      <c r="H199" s="31"/>
      <c r="I199" s="31"/>
      <c r="J199" s="26"/>
      <c r="K199" s="26"/>
    </row>
    <row r="200" ht="12.75" customHeight="1">
      <c r="A200" s="31"/>
      <c r="B200" s="31" t="str">
        <f>IFERROR(__xludf.DUMMYFUNCTION("""COMPUTED_VALUE"""),"")</f>
        <v/>
      </c>
      <c r="C200" s="31"/>
      <c r="D200" s="35"/>
      <c r="E200" s="28"/>
      <c r="F200" s="35"/>
      <c r="G200" s="31"/>
      <c r="H200" s="31"/>
      <c r="I200" s="31"/>
      <c r="J200" s="26"/>
      <c r="K200" s="26"/>
    </row>
    <row r="201" ht="12.75" customHeight="1">
      <c r="A201" s="31"/>
      <c r="B201" s="31" t="str">
        <f>IFERROR(__xludf.DUMMYFUNCTION("""COMPUTED_VALUE"""),"")</f>
        <v/>
      </c>
      <c r="C201" s="31"/>
      <c r="D201" s="35"/>
      <c r="E201" s="28"/>
      <c r="F201" s="35"/>
      <c r="G201" s="31"/>
      <c r="H201" s="31"/>
      <c r="I201" s="31"/>
      <c r="J201" s="26"/>
      <c r="K201" s="26"/>
    </row>
  </sheetData>
  <mergeCells count="3">
    <mergeCell ref="G2:H2"/>
    <mergeCell ref="C3:J3"/>
    <mergeCell ref="C1:K1"/>
  </mergeCells>
  <conditionalFormatting sqref="E5:E201">
    <cfRule type="expression" dxfId="0" priority="1">
      <formula>AND(ISNUMBER(E5),TRUNC(E5)&lt;TODAY())</formula>
    </cfRule>
  </conditionalFormatting>
  <conditionalFormatting sqref="E5:E201">
    <cfRule type="expression" dxfId="1" priority="2">
      <formula>AND(ISNUMBER(E5),TRUNC(E5)&gt;TODAY())</formula>
    </cfRule>
  </conditionalFormatting>
  <conditionalFormatting sqref="D5:D201">
    <cfRule type="expression" dxfId="2" priority="3">
      <formula>AND(ISNUMBER(D5),TRUNC(D5)&gt;TODAY())</formula>
    </cfRule>
  </conditionalFormatting>
  <conditionalFormatting sqref="D5:D201">
    <cfRule type="expression" dxfId="3" priority="4">
      <formula>AND(ISNUMBER(D5),TRUNC(D5)&lt;TODAY()-6)</formula>
    </cfRule>
  </conditionalFormatting>
  <conditionalFormatting sqref="E5:E201">
    <cfRule type="timePeriod" dxfId="4" priority="5" timePeriod="today"/>
  </conditionalFormatting>
  <conditionalFormatting sqref="D5:D201">
    <cfRule type="expression" dxfId="5" priority="6">
      <formula>AND(ISNUMBER(D5),TRUNC(D5)&lt;TODAY()+1)</formula>
    </cfRule>
  </conditionalFormatting>
  <conditionalFormatting sqref="E5:E201">
    <cfRule type="cellIs" dxfId="0" priority="7" operator="equal">
      <formula>"CLOSED"</formula>
    </cfRule>
  </conditionalFormatting>
  <conditionalFormatting sqref="D5:D201">
    <cfRule type="cellIs" dxfId="1" priority="8" operator="equal">
      <formula>"OPEN"</formula>
    </cfRule>
  </conditionalFormatting>
  <conditionalFormatting sqref="D5:D201">
    <cfRule type="cellIs" dxfId="6" priority="9" operator="equal">
      <formula>"N/A"</formula>
    </cfRule>
  </conditionalFormatting>
  <conditionalFormatting sqref="E5:E201">
    <cfRule type="cellIs" dxfId="6" priority="10" operator="equal">
      <formula>"N/A"</formula>
    </cfRule>
  </conditionalFormatting>
  <conditionalFormatting sqref="A5:B201">
    <cfRule type="expression" dxfId="7" priority="11">
      <formula>$K5="YES"</formula>
    </cfRule>
  </conditionalFormatting>
  <conditionalFormatting sqref="A5:A131 B5:B134 C5:K201">
    <cfRule type="expression" dxfId="8" priority="12">
      <formula>$K5="YES"</formula>
    </cfRule>
  </conditionalFormatting>
  <hyperlinks>
    <hyperlink r:id="rId1" ref="C1"/>
    <hyperlink r:id="rId2" ref="E2"/>
    <hyperlink r:id="rId3" ref="F2"/>
    <hyperlink r:id="rId4" ref="G2"/>
    <hyperlink r:id="rId5" ref="I2"/>
    <hyperlink r:id="rId6" ref="B3"/>
    <hyperlink r:id="rId7" ref="C3"/>
    <hyperlink r:id="rId8" ref="B5"/>
    <hyperlink r:id="rId9" ref="C5"/>
    <hyperlink r:id="rId10" ref="B6"/>
    <hyperlink r:id="rId11" ref="C6"/>
    <hyperlink r:id="rId12" ref="B7"/>
    <hyperlink r:id="rId13" ref="C7"/>
    <hyperlink r:id="rId14" ref="B8"/>
    <hyperlink r:id="rId15" ref="C8"/>
    <hyperlink r:id="rId16" ref="B9"/>
    <hyperlink r:id="rId17" ref="C9"/>
    <hyperlink r:id="rId18" ref="B10"/>
    <hyperlink r:id="rId19" ref="C10"/>
    <hyperlink r:id="rId20" ref="B11"/>
    <hyperlink r:id="rId21" ref="C11"/>
    <hyperlink r:id="rId22" ref="B12"/>
    <hyperlink r:id="rId23" ref="C12"/>
    <hyperlink r:id="rId24" ref="B13"/>
    <hyperlink r:id="rId25" ref="C13"/>
    <hyperlink r:id="rId26" ref="B14"/>
    <hyperlink r:id="rId27" ref="C14"/>
    <hyperlink r:id="rId28" ref="B15"/>
    <hyperlink r:id="rId29" ref="C15"/>
    <hyperlink r:id="rId30" ref="B16"/>
    <hyperlink r:id="rId31" ref="C16"/>
    <hyperlink r:id="rId32" ref="B17"/>
    <hyperlink r:id="rId33" ref="C17"/>
    <hyperlink r:id="rId34" ref="B18"/>
    <hyperlink r:id="rId35" ref="C18"/>
    <hyperlink r:id="rId36" ref="B19"/>
    <hyperlink r:id="rId37" ref="C19"/>
    <hyperlink r:id="rId38" ref="B20"/>
    <hyperlink r:id="rId39" ref="C20"/>
    <hyperlink r:id="rId40" ref="B21"/>
    <hyperlink r:id="rId41" ref="C21"/>
    <hyperlink r:id="rId42" ref="B22"/>
    <hyperlink r:id="rId43" ref="C22"/>
    <hyperlink r:id="rId44" ref="B23"/>
    <hyperlink r:id="rId45" ref="C23"/>
    <hyperlink r:id="rId46" ref="B24"/>
    <hyperlink r:id="rId47" ref="C24"/>
    <hyperlink r:id="rId48" ref="B25"/>
    <hyperlink r:id="rId49" location="/job/6201998" ref="C25"/>
    <hyperlink r:id="rId50" ref="B26"/>
    <hyperlink r:id="rId51" ref="C26"/>
    <hyperlink r:id="rId52" ref="B27"/>
    <hyperlink r:id="rId53" ref="C27"/>
    <hyperlink r:id="rId54" ref="B28"/>
    <hyperlink r:id="rId55" ref="C28"/>
    <hyperlink r:id="rId56" ref="B29"/>
    <hyperlink r:id="rId57" ref="C29"/>
    <hyperlink r:id="rId58" ref="B30"/>
    <hyperlink r:id="rId59" ref="C30"/>
    <hyperlink r:id="rId60" ref="B31"/>
    <hyperlink r:id="rId61" ref="C31"/>
    <hyperlink r:id="rId62" ref="B32"/>
    <hyperlink r:id="rId63" ref="C32"/>
    <hyperlink r:id="rId64" ref="B33"/>
    <hyperlink r:id="rId65" ref="C33"/>
    <hyperlink r:id="rId66" ref="B34"/>
    <hyperlink r:id="rId67" ref="C34"/>
    <hyperlink r:id="rId68" ref="B35"/>
    <hyperlink r:id="rId69" ref="C35"/>
    <hyperlink r:id="rId70" ref="B36"/>
    <hyperlink r:id="rId71" ref="C36"/>
    <hyperlink r:id="rId72" ref="B37"/>
    <hyperlink r:id="rId73" ref="C37"/>
    <hyperlink r:id="rId74" ref="B38"/>
    <hyperlink r:id="rId75" ref="C38"/>
    <hyperlink r:id="rId76" ref="B39"/>
    <hyperlink r:id="rId77" ref="C39"/>
    <hyperlink r:id="rId78" ref="B40"/>
    <hyperlink r:id="rId79" ref="C40"/>
    <hyperlink r:id="rId80" ref="B41"/>
    <hyperlink r:id="rId81" ref="C41"/>
    <hyperlink r:id="rId82" ref="B42"/>
    <hyperlink r:id="rId83" ref="C42"/>
    <hyperlink r:id="rId84" ref="B43"/>
    <hyperlink r:id="rId85" ref="C43"/>
    <hyperlink r:id="rId86" ref="B44"/>
    <hyperlink r:id="rId87" ref="C44"/>
    <hyperlink r:id="rId88" ref="B45"/>
    <hyperlink r:id="rId89" ref="C45"/>
    <hyperlink r:id="rId90" ref="B46"/>
    <hyperlink r:id="rId91" ref="C46"/>
    <hyperlink r:id="rId92" ref="B47"/>
    <hyperlink r:id="rId93" ref="C47"/>
    <hyperlink r:id="rId94" ref="B48"/>
    <hyperlink r:id="rId95" ref="B50"/>
    <hyperlink r:id="rId96" ref="B52"/>
    <hyperlink r:id="rId97" ref="B53"/>
    <hyperlink r:id="rId98" ref="B54"/>
    <hyperlink r:id="rId99" ref="B55"/>
    <hyperlink r:id="rId100" ref="B56"/>
    <hyperlink r:id="rId101" ref="B58"/>
    <hyperlink r:id="rId102" ref="B59"/>
    <hyperlink r:id="rId103" ref="B60"/>
    <hyperlink r:id="rId104" ref="B61"/>
    <hyperlink r:id="rId105" ref="B62"/>
    <hyperlink r:id="rId106" ref="B63"/>
    <hyperlink r:id="rId107" ref="B64"/>
    <hyperlink r:id="rId108" ref="B65"/>
    <hyperlink r:id="rId109" ref="B66"/>
    <hyperlink r:id="rId110" ref="B67"/>
    <hyperlink r:id="rId111" ref="B68"/>
    <hyperlink r:id="rId112" ref="B69"/>
    <hyperlink r:id="rId113" ref="B70"/>
    <hyperlink r:id="rId114" ref="B71"/>
    <hyperlink r:id="rId115" ref="B72"/>
    <hyperlink r:id="rId116" ref="B73"/>
    <hyperlink r:id="rId117" ref="B74"/>
    <hyperlink r:id="rId118" ref="B75"/>
    <hyperlink r:id="rId119" ref="B76"/>
    <hyperlink r:id="rId120" ref="B77"/>
    <hyperlink r:id="rId121" ref="B78"/>
    <hyperlink r:id="rId122" ref="B79"/>
    <hyperlink r:id="rId123" ref="B80"/>
    <hyperlink r:id="rId124" ref="B81"/>
    <hyperlink r:id="rId125" ref="B82"/>
    <hyperlink r:id="rId126" ref="B83"/>
    <hyperlink r:id="rId127" ref="B84"/>
    <hyperlink r:id="rId128" ref="B85"/>
    <hyperlink r:id="rId129" ref="B86"/>
    <hyperlink r:id="rId130" ref="B87"/>
    <hyperlink r:id="rId131" ref="B88"/>
    <hyperlink r:id="rId132" ref="B89"/>
    <hyperlink r:id="rId133" ref="B90"/>
    <hyperlink r:id="rId134" ref="B91"/>
    <hyperlink r:id="rId135" ref="B92"/>
    <hyperlink r:id="rId136" ref="B93"/>
    <hyperlink r:id="rId137" ref="B94"/>
    <hyperlink r:id="rId138" ref="B95"/>
    <hyperlink r:id="rId139" ref="B96"/>
    <hyperlink r:id="rId140" ref="B97"/>
    <hyperlink r:id="rId141" ref="B98"/>
    <hyperlink r:id="rId142" ref="B99"/>
    <hyperlink r:id="rId143" ref="B100"/>
    <hyperlink r:id="rId144" ref="B101"/>
    <hyperlink r:id="rId145" ref="B102"/>
    <hyperlink r:id="rId146" ref="B103"/>
    <hyperlink r:id="rId147" ref="B104"/>
    <hyperlink r:id="rId148" ref="B105"/>
    <hyperlink r:id="rId149" ref="B106"/>
    <hyperlink r:id="rId150" ref="B107"/>
    <hyperlink r:id="rId151" ref="B108"/>
    <hyperlink r:id="rId152" ref="B109"/>
    <hyperlink r:id="rId153" ref="B110"/>
    <hyperlink r:id="rId154" ref="B111"/>
    <hyperlink r:id="rId155" ref="B112"/>
    <hyperlink r:id="rId156" ref="B113"/>
    <hyperlink r:id="rId157" ref="B114"/>
    <hyperlink r:id="rId158" ref="B115"/>
    <hyperlink r:id="rId159" ref="B116"/>
    <hyperlink r:id="rId160" ref="B117"/>
    <hyperlink r:id="rId161" ref="B118"/>
    <hyperlink r:id="rId162" ref="B119"/>
    <hyperlink r:id="rId163" ref="B120"/>
    <hyperlink r:id="rId164" ref="B121"/>
    <hyperlink r:id="rId165" ref="B122"/>
    <hyperlink r:id="rId166" ref="B123"/>
    <hyperlink r:id="rId167" ref="B124"/>
    <hyperlink r:id="rId168" ref="B125"/>
    <hyperlink r:id="rId169" ref="B126"/>
    <hyperlink r:id="rId170" ref="B127"/>
    <hyperlink r:id="rId171" ref="B128"/>
    <hyperlink r:id="rId172" ref="B130"/>
    <hyperlink r:id="rId173" ref="B131"/>
    <hyperlink r:id="rId174" ref="B132"/>
    <hyperlink r:id="rId175" ref="B133"/>
    <hyperlink r:id="rId176" ref="B134"/>
    <hyperlink r:id="rId177" ref="B135"/>
  </hyperlinks>
  <printOptions/>
  <pageMargins bottom="0.75" footer="0.0" header="0.0" left="0.7" right="0.7" top="0.75"/>
  <pageSetup paperSize="9" orientation="portrait"/>
  <drawing r:id="rId17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5.0"/>
  <cols>
    <col customWidth="1" hidden="1" min="1" max="1" width="29.43"/>
    <col customWidth="1" min="2" max="2" width="29.43"/>
    <col customWidth="1" min="3" max="3" width="46.86"/>
    <col customWidth="1" min="4" max="4" width="11.86"/>
    <col customWidth="1" min="5" max="5" width="12.86"/>
    <col customWidth="1" min="6" max="6" width="15.57"/>
    <col customWidth="1" min="7" max="7" width="5.43"/>
    <col customWidth="1" min="8" max="8" width="11.29"/>
    <col customWidth="1" min="10" max="10" width="84.86"/>
    <col hidden="1" min="11" max="11" width="14.43"/>
  </cols>
  <sheetData>
    <row r="1">
      <c r="A1" s="1"/>
      <c r="B1" s="2"/>
      <c r="C1" s="3" t="s">
        <v>0</v>
      </c>
    </row>
    <row r="2" ht="45.0" customHeight="1">
      <c r="A2" s="4"/>
      <c r="B2" s="4"/>
      <c r="C2" s="41" t="s">
        <v>8</v>
      </c>
      <c r="D2" s="6"/>
      <c r="E2" s="7" t="s">
        <v>2</v>
      </c>
      <c r="F2" s="7" t="s">
        <v>3</v>
      </c>
      <c r="G2" s="8" t="s">
        <v>4</v>
      </c>
      <c r="I2" s="7" t="s">
        <v>5</v>
      </c>
      <c r="J2" s="9"/>
    </row>
    <row r="3" ht="12.75" customHeight="1">
      <c r="A3" s="10"/>
      <c r="B3" s="11" t="s">
        <v>9</v>
      </c>
      <c r="C3" s="12" t="s">
        <v>7</v>
      </c>
    </row>
    <row r="4" ht="12.75" customHeight="1">
      <c r="A4" s="14" t="str">
        <f>IFERROR(__xludf.DUMMYFUNCTION("IMPORTRANGE(""https://docs.google.com/spreadsheets/d/1KFQM4NWY7BOu-GiF7fHPIBZvVxqnXi21KL0IYIfy5fg/edit?gid=306400843#gid=306400843"",""'UKTechnology_Graduate Schemes'!R2:AB400"")"),"")</f>
        <v/>
      </c>
      <c r="B4" s="14" t="str">
        <f>IFERROR(__xludf.DUMMYFUNCTION("""COMPUTED_VALUE"""),"Company Name")</f>
        <v>Company Name</v>
      </c>
      <c r="C4" s="14" t="str">
        <f>IFERROR(__xludf.DUMMYFUNCTION("""COMPUTED_VALUE"""),"Programme Name")</f>
        <v>Programme Name</v>
      </c>
      <c r="D4" s="15" t="str">
        <f>IFERROR(__xludf.DUMMYFUNCTION("""COMPUTED_VALUE"""),"Opening Date")</f>
        <v>Opening Date</v>
      </c>
      <c r="E4" s="16" t="str">
        <f>IFERROR(__xludf.DUMMYFUNCTION("""COMPUTED_VALUE"""),"Closing Date")</f>
        <v>Closing Date</v>
      </c>
      <c r="F4" s="17" t="str">
        <f>IFERROR(__xludf.DUMMYFUNCTION("""COMPUTED_VALUE"""),"Last Year Opening")</f>
        <v>Last Year Opening</v>
      </c>
      <c r="G4" s="14" t="str">
        <f>IFERROR(__xludf.DUMMYFUNCTION("""COMPUTED_VALUE"""),"CV")</f>
        <v>CV</v>
      </c>
      <c r="H4" s="18" t="str">
        <f>IFERROR(__xludf.DUMMYFUNCTION("""COMPUTED_VALUE"""),"Cover Letter")</f>
        <v>Cover Letter</v>
      </c>
      <c r="I4" s="14" t="str">
        <f>IFERROR(__xludf.DUMMYFUNCTION("""COMPUTED_VALUE"""),"Written Answers")</f>
        <v>Written Answers</v>
      </c>
      <c r="J4" s="19" t="str">
        <f>IFERROR(__xludf.DUMMYFUNCTION("""COMPUTED_VALUE"""),"Notes")</f>
        <v>Notes</v>
      </c>
      <c r="K4" s="42" t="str">
        <f>IFERROR(__xludf.DUMMYFUNCTION("""COMPUTED_VALUE"""),"Section Header")</f>
        <v>Section Header</v>
      </c>
    </row>
    <row r="5" ht="12.75" customHeight="1">
      <c r="A5" s="22"/>
      <c r="B5" s="22" t="str">
        <f>IFERROR(__xludf.DUMMYFUNCTION("""COMPUTED_VALUE"""),"BlackRock")</f>
        <v>BlackRock</v>
      </c>
      <c r="C5" s="22" t="str">
        <f>IFERROR(__xludf.DUMMYFUNCTION("""COMPUTED_VALUE"""),"Analyst Program")</f>
        <v>Analyst Program</v>
      </c>
      <c r="D5" s="29">
        <f>IFERROR(__xludf.DUMMYFUNCTION("""COMPUTED_VALUE"""),45474.0)</f>
        <v>45474</v>
      </c>
      <c r="E5" s="30"/>
      <c r="F5" s="29"/>
      <c r="G5" s="25" t="str">
        <f>IFERROR(__xludf.DUMMYFUNCTION("""COMPUTED_VALUE"""),"Yes")</f>
        <v>Yes</v>
      </c>
      <c r="H5" s="25" t="str">
        <f>IFERROR(__xludf.DUMMYFUNCTION("""COMPUTED_VALUE"""),"No")</f>
        <v>No</v>
      </c>
      <c r="I5" s="25" t="str">
        <f>IFERROR(__xludf.DUMMYFUNCTION("""COMPUTED_VALUE"""),"No")</f>
        <v>No</v>
      </c>
      <c r="J5" s="26"/>
      <c r="K5" s="42" t="str">
        <f>IFERROR(__xludf.DUMMYFUNCTION("""COMPUTED_VALUE"""),"NO")</f>
        <v>NO</v>
      </c>
    </row>
    <row r="6" ht="12.75" customHeight="1">
      <c r="A6" s="22"/>
      <c r="B6" s="22" t="str">
        <f>IFERROR(__xludf.DUMMYFUNCTION("""COMPUTED_VALUE"""),"DRW")</f>
        <v>DRW</v>
      </c>
      <c r="C6" s="27" t="str">
        <f>IFERROR(__xludf.DUMMYFUNCTION("""COMPUTED_VALUE"""),"Software Developer")</f>
        <v>Software Developer</v>
      </c>
      <c r="D6" s="29">
        <f>IFERROR(__xludf.DUMMYFUNCTION("""COMPUTED_VALUE"""),45492.0)</f>
        <v>45492</v>
      </c>
      <c r="E6" s="28"/>
      <c r="F6" s="29"/>
      <c r="G6" s="25" t="str">
        <f>IFERROR(__xludf.DUMMYFUNCTION("""COMPUTED_VALUE"""),"Yes")</f>
        <v>Yes</v>
      </c>
      <c r="H6" s="25" t="str">
        <f>IFERROR(__xludf.DUMMYFUNCTION("""COMPUTED_VALUE"""),"Yes")</f>
        <v>Yes</v>
      </c>
      <c r="I6" s="25" t="str">
        <f>IFERROR(__xludf.DUMMYFUNCTION("""COMPUTED_VALUE"""),"No")</f>
        <v>No</v>
      </c>
      <c r="J6" s="26"/>
      <c r="K6" s="42" t="str">
        <f>IFERROR(__xludf.DUMMYFUNCTION("""COMPUTED_VALUE"""),"NO")</f>
        <v>NO</v>
      </c>
    </row>
    <row r="7" ht="12.75" customHeight="1">
      <c r="A7" s="22"/>
      <c r="B7" s="22" t="str">
        <f>IFERROR(__xludf.DUMMYFUNCTION("""COMPUTED_VALUE"""),"Five Rings")</f>
        <v>Five Rings</v>
      </c>
      <c r="C7" s="27" t="str">
        <f>IFERROR(__xludf.DUMMYFUNCTION("""COMPUTED_VALUE"""),"Full Time 2025 - Software Developer")</f>
        <v>Full Time 2025 - Software Developer</v>
      </c>
      <c r="D7" s="23">
        <f>IFERROR(__xludf.DUMMYFUNCTION("""COMPUTED_VALUE"""),45503.0)</f>
        <v>45503</v>
      </c>
      <c r="E7" s="28"/>
      <c r="F7" s="25"/>
      <c r="G7" s="25" t="str">
        <f>IFERROR(__xludf.DUMMYFUNCTION("""COMPUTED_VALUE"""),"Yes")</f>
        <v>Yes</v>
      </c>
      <c r="H7" s="25" t="str">
        <f>IFERROR(__xludf.DUMMYFUNCTION("""COMPUTED_VALUE"""),"No")</f>
        <v>No</v>
      </c>
      <c r="I7" s="25" t="str">
        <f>IFERROR(__xludf.DUMMYFUNCTION("""COMPUTED_VALUE"""),"No")</f>
        <v>No</v>
      </c>
      <c r="J7" s="26"/>
      <c r="K7" s="42" t="str">
        <f>IFERROR(__xludf.DUMMYFUNCTION("""COMPUTED_VALUE"""),"NO")</f>
        <v>NO</v>
      </c>
    </row>
    <row r="8" ht="12.75" customHeight="1">
      <c r="A8" s="22"/>
      <c r="B8" s="22" t="str">
        <f>IFERROR(__xludf.DUMMYFUNCTION("""COMPUTED_VALUE"""),"Marshall Wace")</f>
        <v>Marshall Wace</v>
      </c>
      <c r="C8" s="27" t="str">
        <f>IFERROR(__xludf.DUMMYFUNCTION("""COMPUTED_VALUE"""),"Technology Graduate Scheme 2025")</f>
        <v>Technology Graduate Scheme 2025</v>
      </c>
      <c r="D8" s="29">
        <f>IFERROR(__xludf.DUMMYFUNCTION("""COMPUTED_VALUE"""),45503.0)</f>
        <v>45503</v>
      </c>
      <c r="E8" s="28"/>
      <c r="F8" s="29"/>
      <c r="G8" s="25" t="str">
        <f>IFERROR(__xludf.DUMMYFUNCTION("""COMPUTED_VALUE"""),"Yes")</f>
        <v>Yes</v>
      </c>
      <c r="H8" s="31"/>
      <c r="I8" s="31"/>
      <c r="J8" s="26"/>
      <c r="K8" s="42" t="str">
        <f>IFERROR(__xludf.DUMMYFUNCTION("""COMPUTED_VALUE"""),"NO")</f>
        <v>NO</v>
      </c>
    </row>
    <row r="9" ht="12.75" customHeight="1">
      <c r="A9" s="22"/>
      <c r="B9" s="22" t="str">
        <f>IFERROR(__xludf.DUMMYFUNCTION("""COMPUTED_VALUE"""),"Palantir")</f>
        <v>Palantir</v>
      </c>
      <c r="C9" s="27" t="str">
        <f>IFERROR(__xludf.DUMMYFUNCTION("""COMPUTED_VALUE"""),"Software Engineer, New Grad")</f>
        <v>Software Engineer, New Grad</v>
      </c>
      <c r="D9" s="29">
        <f>IFERROR(__xludf.DUMMYFUNCTION("""COMPUTED_VALUE"""),45505.0)</f>
        <v>45505</v>
      </c>
      <c r="E9" s="28"/>
      <c r="F9" s="29">
        <f>IFERROR(__xludf.DUMMYFUNCTION("""COMPUTED_VALUE"""),45139.0)</f>
        <v>45139</v>
      </c>
      <c r="G9" s="25" t="str">
        <f>IFERROR(__xludf.DUMMYFUNCTION("""COMPUTED_VALUE"""),"Yes")</f>
        <v>Yes</v>
      </c>
      <c r="H9" s="25" t="str">
        <f>IFERROR(__xludf.DUMMYFUNCTION("""COMPUTED_VALUE"""),"Optional")</f>
        <v>Optional</v>
      </c>
      <c r="I9" s="25" t="str">
        <f>IFERROR(__xludf.DUMMYFUNCTION("""COMPUTED_VALUE"""),"Yes")</f>
        <v>Yes</v>
      </c>
      <c r="J9" s="26"/>
      <c r="K9" s="42" t="str">
        <f>IFERROR(__xludf.DUMMYFUNCTION("""COMPUTED_VALUE"""),"NO")</f>
        <v>NO</v>
      </c>
    </row>
    <row r="10" ht="12.75" customHeight="1">
      <c r="A10" s="22"/>
      <c r="B10" s="22" t="str">
        <f>IFERROR(__xludf.DUMMYFUNCTION("""COMPUTED_VALUE"""),"BNP Paribas")</f>
        <v>BNP Paribas</v>
      </c>
      <c r="C10" s="27" t="str">
        <f>IFERROR(__xludf.DUMMYFUNCTION("""COMPUTED_VALUE"""),"2025 Graduate Programme - Technology")</f>
        <v>2025 Graduate Programme - Technology</v>
      </c>
      <c r="D10" s="29">
        <f>IFERROR(__xludf.DUMMYFUNCTION("""COMPUTED_VALUE"""),45510.0)</f>
        <v>45510</v>
      </c>
      <c r="E10" s="23">
        <f>IFERROR(__xludf.DUMMYFUNCTION("""COMPUTED_VALUE"""),45557.0)</f>
        <v>45557</v>
      </c>
      <c r="F10" s="29"/>
      <c r="G10" s="25" t="str">
        <f>IFERROR(__xludf.DUMMYFUNCTION("""COMPUTED_VALUE"""),"Yes")</f>
        <v>Yes</v>
      </c>
      <c r="H10" s="25" t="str">
        <f>IFERROR(__xludf.DUMMYFUNCTION("""COMPUTED_VALUE"""),"No")</f>
        <v>No</v>
      </c>
      <c r="I10" s="25" t="str">
        <f>IFERROR(__xludf.DUMMYFUNCTION("""COMPUTED_VALUE"""),"No")</f>
        <v>No</v>
      </c>
      <c r="J10" s="26"/>
      <c r="K10" s="42" t="str">
        <f>IFERROR(__xludf.DUMMYFUNCTION("""COMPUTED_VALUE"""),"NO")</f>
        <v>NO</v>
      </c>
    </row>
    <row r="11" ht="12.75" customHeight="1">
      <c r="A11" s="22"/>
      <c r="B11" s="22" t="str">
        <f>IFERROR(__xludf.DUMMYFUNCTION("""COMPUTED_VALUE"""),"Citadel")</f>
        <v>Citadel</v>
      </c>
      <c r="C11" s="27" t="str">
        <f>IFERROR(__xludf.DUMMYFUNCTION("""COMPUTED_VALUE"""),"Software Engineer - 2025 University Graduate")</f>
        <v>Software Engineer - 2025 University Graduate</v>
      </c>
      <c r="D11" s="29">
        <f>IFERROR(__xludf.DUMMYFUNCTION("""COMPUTED_VALUE"""),45510.0)</f>
        <v>45510</v>
      </c>
      <c r="E11" s="28"/>
      <c r="F11" s="29"/>
      <c r="G11" s="31"/>
      <c r="H11" s="31"/>
      <c r="I11" s="31"/>
      <c r="J11" s="26"/>
      <c r="K11" s="42" t="str">
        <f>IFERROR(__xludf.DUMMYFUNCTION("""COMPUTED_VALUE"""),"NO")</f>
        <v>NO</v>
      </c>
    </row>
    <row r="12" ht="12.75" customHeight="1">
      <c r="A12" s="22"/>
      <c r="B12" s="22" t="str">
        <f>IFERROR(__xludf.DUMMYFUNCTION("""COMPUTED_VALUE"""),"Jane Street")</f>
        <v>Jane Street</v>
      </c>
      <c r="C12" s="27" t="str">
        <f>IFERROR(__xludf.DUMMYFUNCTION("""COMPUTED_VALUE"""),"Software Engineer")</f>
        <v>Software Engineer</v>
      </c>
      <c r="D12" s="29">
        <f>IFERROR(__xludf.DUMMYFUNCTION("""COMPUTED_VALUE"""),45512.0)</f>
        <v>45512</v>
      </c>
      <c r="E12" s="28"/>
      <c r="F12" s="29"/>
      <c r="G12" s="33" t="str">
        <f>IFERROR(__xludf.DUMMYFUNCTION("""COMPUTED_VALUE"""),"Yes")</f>
        <v>Yes</v>
      </c>
      <c r="H12" s="33" t="str">
        <f>IFERROR(__xludf.DUMMYFUNCTION("""COMPUTED_VALUE"""),"No")</f>
        <v>No</v>
      </c>
      <c r="I12" s="33" t="str">
        <f>IFERROR(__xludf.DUMMYFUNCTION("""COMPUTED_VALUE"""),"Yes")</f>
        <v>Yes</v>
      </c>
      <c r="J12" s="26"/>
      <c r="K12" s="42" t="str">
        <f>IFERROR(__xludf.DUMMYFUNCTION("""COMPUTED_VALUE"""),"NO")</f>
        <v>NO</v>
      </c>
    </row>
    <row r="13" ht="12.75" customHeight="1">
      <c r="A13" s="22"/>
      <c r="B13" s="22" t="str">
        <f>IFERROR(__xludf.DUMMYFUNCTION("""COMPUTED_VALUE"""),"Squarepoint Capital")</f>
        <v>Squarepoint Capital</v>
      </c>
      <c r="C13" s="27" t="str">
        <f>IFERROR(__xludf.DUMMYFUNCTION("""COMPUTED_VALUE"""),"Graduate Software Developer")</f>
        <v>Graduate Software Developer</v>
      </c>
      <c r="D13" s="23">
        <f>IFERROR(__xludf.DUMMYFUNCTION("""COMPUTED_VALUE"""),45512.0)</f>
        <v>45512</v>
      </c>
      <c r="E13" s="24"/>
      <c r="F13" s="25"/>
      <c r="G13" s="25" t="str">
        <f>IFERROR(__xludf.DUMMYFUNCTION("""COMPUTED_VALUE"""),"Yes")</f>
        <v>Yes</v>
      </c>
      <c r="H13" s="25" t="str">
        <f>IFERROR(__xludf.DUMMYFUNCTION("""COMPUTED_VALUE"""),"Optional")</f>
        <v>Optional</v>
      </c>
      <c r="I13" s="25" t="str">
        <f>IFERROR(__xludf.DUMMYFUNCTION("""COMPUTED_VALUE"""),"Yes")</f>
        <v>Yes</v>
      </c>
      <c r="J13" s="26"/>
      <c r="K13" s="42" t="str">
        <f>IFERROR(__xludf.DUMMYFUNCTION("""COMPUTED_VALUE"""),"NO")</f>
        <v>NO</v>
      </c>
    </row>
    <row r="14" ht="12.75" customHeight="1">
      <c r="A14" s="22"/>
      <c r="B14" s="22" t="str">
        <f>IFERROR(__xludf.DUMMYFUNCTION("""COMPUTED_VALUE"""),"Palantir")</f>
        <v>Palantir</v>
      </c>
      <c r="C14" s="22" t="str">
        <f>IFERROR(__xludf.DUMMYFUNCTION("""COMPUTED_VALUE"""),"Product Designer, New Grad")</f>
        <v>Product Designer, New Grad</v>
      </c>
      <c r="D14" s="29">
        <f>IFERROR(__xludf.DUMMYFUNCTION("""COMPUTED_VALUE"""),45517.0)</f>
        <v>45517</v>
      </c>
      <c r="E14" s="28"/>
      <c r="F14" s="29">
        <f>IFERROR(__xludf.DUMMYFUNCTION("""COMPUTED_VALUE"""),45139.0)</f>
        <v>45139</v>
      </c>
      <c r="G14" s="25" t="str">
        <f>IFERROR(__xludf.DUMMYFUNCTION("""COMPUTED_VALUE"""),"Yes")</f>
        <v>Yes</v>
      </c>
      <c r="H14" s="25" t="str">
        <f>IFERROR(__xludf.DUMMYFUNCTION("""COMPUTED_VALUE"""),"Optional")</f>
        <v>Optional</v>
      </c>
      <c r="I14" s="25" t="str">
        <f>IFERROR(__xludf.DUMMYFUNCTION("""COMPUTED_VALUE"""),"Yes")</f>
        <v>Yes</v>
      </c>
      <c r="J14" s="26"/>
      <c r="K14" s="42" t="str">
        <f>IFERROR(__xludf.DUMMYFUNCTION("""COMPUTED_VALUE"""),"NO")</f>
        <v>NO</v>
      </c>
    </row>
    <row r="15" ht="12.75" customHeight="1">
      <c r="A15" s="22"/>
      <c r="B15" s="22" t="str">
        <f>IFERROR(__xludf.DUMMYFUNCTION("""COMPUTED_VALUE"""),"Rokos Capital Management")</f>
        <v>Rokos Capital Management</v>
      </c>
      <c r="C15" s="27" t="str">
        <f>IFERROR(__xludf.DUMMYFUNCTION("""COMPUTED_VALUE"""),"Technology Graduate Programme 2025")</f>
        <v>Technology Graduate Programme 2025</v>
      </c>
      <c r="D15" s="23">
        <f>IFERROR(__xludf.DUMMYFUNCTION("""COMPUTED_VALUE"""),45520.0)</f>
        <v>45520</v>
      </c>
      <c r="E15" s="28">
        <f>IFERROR(__xludf.DUMMYFUNCTION("""COMPUTED_VALUE"""),45597.0)</f>
        <v>45597</v>
      </c>
      <c r="F15" s="25"/>
      <c r="G15" s="25" t="str">
        <f>IFERROR(__xludf.DUMMYFUNCTION("""COMPUTED_VALUE"""),"Yes")</f>
        <v>Yes</v>
      </c>
      <c r="H15" s="25" t="str">
        <f>IFERROR(__xludf.DUMMYFUNCTION("""COMPUTED_VALUE"""),"No")</f>
        <v>No</v>
      </c>
      <c r="I15" s="25" t="str">
        <f>IFERROR(__xludf.DUMMYFUNCTION("""COMPUTED_VALUE"""),"No")</f>
        <v>No</v>
      </c>
      <c r="J15" s="26"/>
      <c r="K15" s="42" t="str">
        <f>IFERROR(__xludf.DUMMYFUNCTION("""COMPUTED_VALUE"""),"NO")</f>
        <v>NO</v>
      </c>
    </row>
    <row r="16" ht="12.75" customHeight="1">
      <c r="A16" s="22"/>
      <c r="B16" s="22" t="str">
        <f>IFERROR(__xludf.DUMMYFUNCTION("""COMPUTED_VALUE"""),"MUFG")</f>
        <v>MUFG</v>
      </c>
      <c r="C16" s="22" t="str">
        <f>IFERROR(__xludf.DUMMYFUNCTION("""COMPUTED_VALUE"""),"2025 Technology Analyst Programme")</f>
        <v>2025 Technology Analyst Programme</v>
      </c>
      <c r="D16" s="23">
        <f>IFERROR(__xludf.DUMMYFUNCTION("""COMPUTED_VALUE"""),45535.0)</f>
        <v>45535</v>
      </c>
      <c r="E16" s="28">
        <f>IFERROR(__xludf.DUMMYFUNCTION("""COMPUTED_VALUE"""),45606.0)</f>
        <v>45606</v>
      </c>
      <c r="F16" s="25"/>
      <c r="G16" s="25"/>
      <c r="H16" s="25"/>
      <c r="I16" s="25"/>
      <c r="J16" s="26"/>
      <c r="K16" s="42" t="str">
        <f>IFERROR(__xludf.DUMMYFUNCTION("""COMPUTED_VALUE"""),"NO")</f>
        <v>NO</v>
      </c>
    </row>
    <row r="17" ht="12.75" customHeight="1">
      <c r="A17" s="22"/>
      <c r="B17" s="22" t="str">
        <f>IFERROR(__xludf.DUMMYFUNCTION("""COMPUTED_VALUE"""),"J.P. Morgan")</f>
        <v>J.P. Morgan</v>
      </c>
      <c r="C17" s="27" t="str">
        <f>IFERROR(__xludf.DUMMYFUNCTION("""COMPUTED_VALUE"""),"2025 Software Engineer Program")</f>
        <v>2025 Software Engineer Program</v>
      </c>
      <c r="D17" s="29">
        <f>IFERROR(__xludf.DUMMYFUNCTION("""COMPUTED_VALUE"""),45536.0)</f>
        <v>45536</v>
      </c>
      <c r="E17" s="28">
        <f>IFERROR(__xludf.DUMMYFUNCTION("""COMPUTED_VALUE"""),45599.0)</f>
        <v>45599</v>
      </c>
      <c r="F17" s="25"/>
      <c r="G17" s="29" t="str">
        <f>IFERROR(__xludf.DUMMYFUNCTION("""COMPUTED_VALUE"""),"Yes")</f>
        <v>Yes</v>
      </c>
      <c r="H17" s="43" t="str">
        <f>IFERROR(__xludf.DUMMYFUNCTION("""COMPUTED_VALUE"""),"Yes")</f>
        <v>Yes</v>
      </c>
      <c r="I17" s="25" t="str">
        <f>IFERROR(__xludf.DUMMYFUNCTION("""COMPUTED_VALUE"""),"No")</f>
        <v>No</v>
      </c>
      <c r="J17" s="26"/>
      <c r="K17" s="42" t="str">
        <f>IFERROR(__xludf.DUMMYFUNCTION("""COMPUTED_VALUE"""),"NO")</f>
        <v>NO</v>
      </c>
    </row>
    <row r="18" ht="12.75" customHeight="1">
      <c r="A18" s="22"/>
      <c r="B18" s="22" t="str">
        <f>IFERROR(__xludf.DUMMYFUNCTION("""COMPUTED_VALUE"""),"Macquarie Group")</f>
        <v>Macquarie Group</v>
      </c>
      <c r="C18" s="21" t="str">
        <f>IFERROR(__xludf.DUMMYFUNCTION("""COMPUTED_VALUE"""),"2025 Graduate Programme")</f>
        <v>2025 Graduate Programme</v>
      </c>
      <c r="D18" s="29">
        <f>IFERROR(__xludf.DUMMYFUNCTION("""COMPUTED_VALUE"""),45537.0)</f>
        <v>45537</v>
      </c>
      <c r="E18" s="28">
        <f>IFERROR(__xludf.DUMMYFUNCTION("""COMPUTED_VALUE"""),45590.0)</f>
        <v>45590</v>
      </c>
      <c r="F18" s="29">
        <f>IFERROR(__xludf.DUMMYFUNCTION("""COMPUTED_VALUE"""),45170.0)</f>
        <v>45170</v>
      </c>
      <c r="G18" s="25" t="str">
        <f>IFERROR(__xludf.DUMMYFUNCTION("""COMPUTED_VALUE"""),"Yes")</f>
        <v>Yes</v>
      </c>
      <c r="H18" s="25" t="str">
        <f>IFERROR(__xludf.DUMMYFUNCTION("""COMPUTED_VALUE"""),"No")</f>
        <v>No</v>
      </c>
      <c r="I18" s="25" t="str">
        <f>IFERROR(__xludf.DUMMYFUNCTION("""COMPUTED_VALUE"""),"No")</f>
        <v>No</v>
      </c>
      <c r="J18" s="26"/>
      <c r="K18" s="42" t="str">
        <f>IFERROR(__xludf.DUMMYFUNCTION("""COMPUTED_VALUE"""),"NO")</f>
        <v>NO</v>
      </c>
    </row>
    <row r="19" ht="12.75" customHeight="1">
      <c r="A19" s="22"/>
      <c r="B19" s="22" t="str">
        <f>IFERROR(__xludf.DUMMYFUNCTION("""COMPUTED_VALUE"""),"Baillie Gifford")</f>
        <v>Baillie Gifford</v>
      </c>
      <c r="C19" s="32" t="str">
        <f>IFERROR(__xludf.DUMMYFUNCTION("""COMPUTED_VALUE"""),"Technology Solutions Graduate Programme 2025")</f>
        <v>Technology Solutions Graduate Programme 2025</v>
      </c>
      <c r="D19" s="29">
        <f>IFERROR(__xludf.DUMMYFUNCTION("""COMPUTED_VALUE"""),45538.0)</f>
        <v>45538</v>
      </c>
      <c r="E19" s="28">
        <f>IFERROR(__xludf.DUMMYFUNCTION("""COMPUTED_VALUE"""),45607.0)</f>
        <v>45607</v>
      </c>
      <c r="F19" s="29">
        <f>IFERROR(__xludf.DUMMYFUNCTION("""COMPUTED_VALUE"""),45174.0)</f>
        <v>45174</v>
      </c>
      <c r="G19" s="31"/>
      <c r="H19" s="31"/>
      <c r="I19" s="31"/>
      <c r="J19" s="26"/>
      <c r="K19" s="42" t="str">
        <f>IFERROR(__xludf.DUMMYFUNCTION("""COMPUTED_VALUE"""),"NO")</f>
        <v>NO</v>
      </c>
    </row>
    <row r="20" ht="12.75" customHeight="1">
      <c r="A20" s="22"/>
      <c r="B20" s="22" t="str">
        <f>IFERROR(__xludf.DUMMYFUNCTION("""COMPUTED_VALUE"""),"TTP")</f>
        <v>TTP</v>
      </c>
      <c r="C20" s="32" t="str">
        <f>IFERROR(__xludf.DUMMYFUNCTION("""COMPUTED_VALUE"""),"Graduate Software Engineer 2025")</f>
        <v>Graduate Software Engineer 2025</v>
      </c>
      <c r="D20" s="23">
        <f>IFERROR(__xludf.DUMMYFUNCTION("""COMPUTED_VALUE"""),45540.0)</f>
        <v>45540</v>
      </c>
      <c r="E20" s="28"/>
      <c r="F20" s="25"/>
      <c r="G20" s="31" t="str">
        <f>IFERROR(__xludf.DUMMYFUNCTION("""COMPUTED_VALUE"""),"Yes")</f>
        <v>Yes</v>
      </c>
      <c r="H20" s="31" t="str">
        <f>IFERROR(__xludf.DUMMYFUNCTION("""COMPUTED_VALUE"""),"No")</f>
        <v>No</v>
      </c>
      <c r="I20" s="31" t="str">
        <f>IFERROR(__xludf.DUMMYFUNCTION("""COMPUTED_VALUE"""),"Yes")</f>
        <v>Yes</v>
      </c>
      <c r="J20" s="26"/>
      <c r="K20" s="42" t="str">
        <f>IFERROR(__xludf.DUMMYFUNCTION("""COMPUTED_VALUE"""),"NO")</f>
        <v>NO</v>
      </c>
    </row>
    <row r="21" ht="12.75" customHeight="1">
      <c r="A21" s="22"/>
      <c r="B21" s="22" t="str">
        <f>IFERROR(__xludf.DUMMYFUNCTION("""COMPUTED_VALUE"""),"Susquehanna International Group")</f>
        <v>Susquehanna International Group</v>
      </c>
      <c r="C21" s="27" t="str">
        <f>IFERROR(__xludf.DUMMYFUNCTION("""COMPUTED_VALUE"""),"Software Developer Graduate: 2025")</f>
        <v>Software Developer Graduate: 2025</v>
      </c>
      <c r="D21" s="29">
        <f>IFERROR(__xludf.DUMMYFUNCTION("""COMPUTED_VALUE"""),45547.0)</f>
        <v>45547</v>
      </c>
      <c r="E21" s="24"/>
      <c r="F21" s="25"/>
      <c r="G21" s="31" t="str">
        <f>IFERROR(__xludf.DUMMYFUNCTION("""COMPUTED_VALUE"""),"Yes")</f>
        <v>Yes</v>
      </c>
      <c r="H21" s="31" t="str">
        <f>IFERROR(__xludf.DUMMYFUNCTION("""COMPUTED_VALUE"""),"No")</f>
        <v>No</v>
      </c>
      <c r="I21" s="31" t="str">
        <f>IFERROR(__xludf.DUMMYFUNCTION("""COMPUTED_VALUE"""),"No")</f>
        <v>No</v>
      </c>
      <c r="J21" s="26"/>
      <c r="K21" s="42" t="str">
        <f>IFERROR(__xludf.DUMMYFUNCTION("""COMPUTED_VALUE"""),"NO")</f>
        <v>NO</v>
      </c>
    </row>
    <row r="22" ht="12.75" customHeight="1">
      <c r="A22" s="22"/>
      <c r="B22" s="22" t="str">
        <f>IFERROR(__xludf.DUMMYFUNCTION("""COMPUTED_VALUE"""),"BAE Systems")</f>
        <v>BAE Systems</v>
      </c>
      <c r="C22" s="32" t="str">
        <f>IFERROR(__xludf.DUMMYFUNCTION("""COMPUTED_VALUE"""),"Graduate Software Developer")</f>
        <v>Graduate Software Developer</v>
      </c>
      <c r="D22" s="29">
        <f>IFERROR(__xludf.DUMMYFUNCTION("""COMPUTED_VALUE"""),45547.0)</f>
        <v>45547</v>
      </c>
      <c r="E22" s="28"/>
      <c r="F22" s="25"/>
      <c r="G22" s="31" t="str">
        <f>IFERROR(__xludf.DUMMYFUNCTION("""COMPUTED_VALUE"""),"No")</f>
        <v>No</v>
      </c>
      <c r="H22" s="31" t="str">
        <f>IFERROR(__xludf.DUMMYFUNCTION("""COMPUTED_VALUE"""),"No")</f>
        <v>No</v>
      </c>
      <c r="I22" s="31" t="str">
        <f>IFERROR(__xludf.DUMMYFUNCTION("""COMPUTED_VALUE"""),"No")</f>
        <v>No</v>
      </c>
      <c r="J22" s="26"/>
      <c r="K22" s="42" t="str">
        <f>IFERROR(__xludf.DUMMYFUNCTION("""COMPUTED_VALUE"""),"NO")</f>
        <v>NO</v>
      </c>
    </row>
    <row r="23" ht="12.75" customHeight="1">
      <c r="A23" s="22"/>
      <c r="B23" s="22" t="str">
        <f>IFERROR(__xludf.DUMMYFUNCTION("""COMPUTED_VALUE"""),"Da Vinci Trading")</f>
        <v>Da Vinci Trading</v>
      </c>
      <c r="C23" s="27" t="str">
        <f>IFERROR(__xludf.DUMMYFUNCTION("""COMPUTED_VALUE"""),"Graduate C++ Software Engineer")</f>
        <v>Graduate C++ Software Engineer</v>
      </c>
      <c r="D23" s="23">
        <f>IFERROR(__xludf.DUMMYFUNCTION("""COMPUTED_VALUE"""),45548.0)</f>
        <v>45548</v>
      </c>
      <c r="E23" s="28"/>
      <c r="F23" s="25"/>
      <c r="G23" s="31" t="str">
        <f>IFERROR(__xludf.DUMMYFUNCTION("""COMPUTED_VALUE"""),"Yes")</f>
        <v>Yes</v>
      </c>
      <c r="H23" s="31" t="str">
        <f>IFERROR(__xludf.DUMMYFUNCTION("""COMPUTED_VALUE"""),"Yes")</f>
        <v>Yes</v>
      </c>
      <c r="I23" s="31" t="str">
        <f>IFERROR(__xludf.DUMMYFUNCTION("""COMPUTED_VALUE"""),"No")</f>
        <v>No</v>
      </c>
      <c r="J23" s="26"/>
      <c r="K23" s="42" t="str">
        <f>IFERROR(__xludf.DUMMYFUNCTION("""COMPUTED_VALUE"""),"NO")</f>
        <v>NO</v>
      </c>
    </row>
    <row r="24" ht="12.75" customHeight="1">
      <c r="A24" s="22"/>
      <c r="B24" s="22" t="str">
        <f>IFERROR(__xludf.DUMMYFUNCTION("""COMPUTED_VALUE"""),"Capital One")</f>
        <v>Capital One</v>
      </c>
      <c r="C24" s="32" t="str">
        <f>IFERROR(__xludf.DUMMYFUNCTION("""COMPUTED_VALUE"""),"Technology Graduate")</f>
        <v>Technology Graduate</v>
      </c>
      <c r="D24" s="23">
        <f>IFERROR(__xludf.DUMMYFUNCTION("""COMPUTED_VALUE"""),45551.0)</f>
        <v>45551</v>
      </c>
      <c r="E24" s="24">
        <f>IFERROR(__xludf.DUMMYFUNCTION("""COMPUTED_VALUE"""),45600.0)</f>
        <v>45600</v>
      </c>
      <c r="F24" s="25"/>
      <c r="G24" s="31" t="str">
        <f>IFERROR(__xludf.DUMMYFUNCTION("""COMPUTED_VALUE"""),"Yes")</f>
        <v>Yes</v>
      </c>
      <c r="H24" s="31" t="str">
        <f>IFERROR(__xludf.DUMMYFUNCTION("""COMPUTED_VALUE"""),"No")</f>
        <v>No</v>
      </c>
      <c r="I24" s="31" t="str">
        <f>IFERROR(__xludf.DUMMYFUNCTION("""COMPUTED_VALUE"""),"No")</f>
        <v>No</v>
      </c>
      <c r="J24" s="26"/>
      <c r="K24" s="42" t="str">
        <f>IFERROR(__xludf.DUMMYFUNCTION("""COMPUTED_VALUE"""),"NO")</f>
        <v>NO</v>
      </c>
    </row>
    <row r="25" ht="12.75" customHeight="1">
      <c r="A25" s="22"/>
      <c r="B25" s="22" t="str">
        <f>IFERROR(__xludf.DUMMYFUNCTION("""COMPUTED_VALUE"""),"Deloitte")</f>
        <v>Deloitte</v>
      </c>
      <c r="C25" s="32" t="str">
        <f>IFERROR(__xludf.DUMMYFUNCTION("""COMPUTED_VALUE"""),"Full-Time Graduate Programme")</f>
        <v>Full-Time Graduate Programme</v>
      </c>
      <c r="D25" s="29">
        <f>IFERROR(__xludf.DUMMYFUNCTION("""COMPUTED_VALUE"""),45551.0)</f>
        <v>45551</v>
      </c>
      <c r="E25" s="24">
        <f>IFERROR(__xludf.DUMMYFUNCTION("""COMPUTED_VALUE"""),45565.0)</f>
        <v>45565</v>
      </c>
      <c r="F25" s="25"/>
      <c r="G25" s="31"/>
      <c r="H25" s="31"/>
      <c r="I25" s="31"/>
      <c r="J25" s="26"/>
      <c r="K25" s="42" t="str">
        <f>IFERROR(__xludf.DUMMYFUNCTION("""COMPUTED_VALUE"""),"NO")</f>
        <v>NO</v>
      </c>
    </row>
    <row r="26" ht="12.75" customHeight="1">
      <c r="A26" s="22"/>
      <c r="B26" s="22" t="str">
        <f>IFERROR(__xludf.DUMMYFUNCTION("""COMPUTED_VALUE"""),"Deutsche Bank")</f>
        <v>Deutsche Bank</v>
      </c>
      <c r="C26" s="32" t="str">
        <f>IFERROR(__xludf.DUMMYFUNCTION("""COMPUTED_VALUE"""),"Graduate Programme - Technology")</f>
        <v>Graduate Programme - Technology</v>
      </c>
      <c r="D26" s="23">
        <f>IFERROR(__xludf.DUMMYFUNCTION("""COMPUTED_VALUE"""),45551.0)</f>
        <v>45551</v>
      </c>
      <c r="E26" s="24">
        <f>IFERROR(__xludf.DUMMYFUNCTION("""COMPUTED_VALUE"""),45620.0)</f>
        <v>45620</v>
      </c>
      <c r="F26" s="25"/>
      <c r="G26" s="31" t="str">
        <f>IFERROR(__xludf.DUMMYFUNCTION("""COMPUTED_VALUE"""),"Yes")</f>
        <v>Yes</v>
      </c>
      <c r="H26" s="31" t="str">
        <f>IFERROR(__xludf.DUMMYFUNCTION("""COMPUTED_VALUE"""),"Yes")</f>
        <v>Yes</v>
      </c>
      <c r="I26" s="31" t="str">
        <f>IFERROR(__xludf.DUMMYFUNCTION("""COMPUTED_VALUE"""),"No")</f>
        <v>No</v>
      </c>
      <c r="J26" s="26"/>
      <c r="K26" s="42" t="str">
        <f>IFERROR(__xludf.DUMMYFUNCTION("""COMPUTED_VALUE"""),"NO")</f>
        <v>NO</v>
      </c>
    </row>
    <row r="27" ht="12.75" customHeight="1">
      <c r="A27" s="22"/>
      <c r="B27" s="22" t="str">
        <f>IFERROR(__xludf.DUMMYFUNCTION("""COMPUTED_VALUE"""),"Sky")</f>
        <v>Sky</v>
      </c>
      <c r="C27" s="37" t="str">
        <f>IFERROR(__xludf.DUMMYFUNCTION("""COMPUTED_VALUE"""),"Technology Graduate")</f>
        <v>Technology Graduate</v>
      </c>
      <c r="D27" s="25"/>
      <c r="E27" s="24"/>
      <c r="F27" s="25"/>
      <c r="G27" s="25"/>
      <c r="H27" s="25"/>
      <c r="I27" s="25"/>
      <c r="J27" s="26"/>
      <c r="K27" s="42" t="str">
        <f>IFERROR(__xludf.DUMMYFUNCTION("""COMPUTED_VALUE"""),"NO")</f>
        <v>NO</v>
      </c>
    </row>
    <row r="28" ht="12.75" customHeight="1">
      <c r="A28" s="22"/>
      <c r="B28" s="22" t="str">
        <f>IFERROR(__xludf.DUMMYFUNCTION("""COMPUTED_VALUE"""),"Bank of America")</f>
        <v>Bank of America</v>
      </c>
      <c r="C28" s="36"/>
      <c r="D28" s="25"/>
      <c r="E28" s="28"/>
      <c r="F28" s="25"/>
      <c r="G28" s="31"/>
      <c r="H28" s="31"/>
      <c r="I28" s="31"/>
      <c r="J28" s="26"/>
      <c r="K28" s="42" t="str">
        <f>IFERROR(__xludf.DUMMYFUNCTION("""COMPUTED_VALUE"""),"NO")</f>
        <v>NO</v>
      </c>
    </row>
    <row r="29" ht="12.75" customHeight="1">
      <c r="A29" s="22"/>
      <c r="B29" s="22" t="str">
        <f>IFERROR(__xludf.DUMMYFUNCTION("""COMPUTED_VALUE"""),"Capstone")</f>
        <v>Capstone</v>
      </c>
      <c r="C29" s="36"/>
      <c r="D29" s="25"/>
      <c r="E29" s="28"/>
      <c r="F29" s="25"/>
      <c r="G29" s="31"/>
      <c r="H29" s="31"/>
      <c r="I29" s="31"/>
      <c r="J29" s="26"/>
      <c r="K29" s="42" t="str">
        <f>IFERROR(__xludf.DUMMYFUNCTION("""COMPUTED_VALUE"""),"NO")</f>
        <v>NO</v>
      </c>
    </row>
    <row r="30" ht="12.75" customHeight="1">
      <c r="A30" s="22"/>
      <c r="B30" s="22" t="str">
        <f>IFERROR(__xludf.DUMMYFUNCTION("""COMPUTED_VALUE"""),"Point72")</f>
        <v>Point72</v>
      </c>
      <c r="C30" s="36"/>
      <c r="D30" s="25"/>
      <c r="E30" s="28"/>
      <c r="F30" s="25"/>
      <c r="G30" s="31"/>
      <c r="H30" s="31"/>
      <c r="I30" s="31"/>
      <c r="J30" s="26"/>
      <c r="K30" s="42" t="str">
        <f>IFERROR(__xludf.DUMMYFUNCTION("""COMPUTED_VALUE"""),"NO")</f>
        <v>NO</v>
      </c>
    </row>
    <row r="31" ht="12.75" customHeight="1">
      <c r="A31" s="22"/>
      <c r="B31" s="22" t="str">
        <f>IFERROR(__xludf.DUMMYFUNCTION("""COMPUTED_VALUE"""),"Accelercom")</f>
        <v>Accelercom</v>
      </c>
      <c r="C31" s="37"/>
      <c r="D31" s="29"/>
      <c r="E31" s="28"/>
      <c r="F31" s="29"/>
      <c r="G31" s="31" t="str">
        <f>IFERROR(__xludf.DUMMYFUNCTION("""COMPUTED_VALUE"""),"Yes")</f>
        <v>Yes</v>
      </c>
      <c r="H31" s="31" t="str">
        <f>IFERROR(__xludf.DUMMYFUNCTION("""COMPUTED_VALUE"""),"Yes")</f>
        <v>Yes</v>
      </c>
      <c r="I31" s="31" t="str">
        <f>IFERROR(__xludf.DUMMYFUNCTION("""COMPUTED_VALUE"""),"No")</f>
        <v>No</v>
      </c>
      <c r="J31" s="26"/>
      <c r="K31" s="42" t="str">
        <f>IFERROR(__xludf.DUMMYFUNCTION("""COMPUTED_VALUE"""),"NO")</f>
        <v>NO</v>
      </c>
    </row>
    <row r="32" ht="12.75" customHeight="1">
      <c r="A32" s="22"/>
      <c r="B32" s="22" t="str">
        <f>IFERROR(__xludf.DUMMYFUNCTION("""COMPUTED_VALUE"""),"Addepar")</f>
        <v>Addepar</v>
      </c>
      <c r="C32" s="36"/>
      <c r="D32" s="29"/>
      <c r="E32" s="24"/>
      <c r="F32" s="29"/>
      <c r="G32" s="31" t="str">
        <f>IFERROR(__xludf.DUMMYFUNCTION("""COMPUTED_VALUE"""),"Yes")</f>
        <v>Yes</v>
      </c>
      <c r="H32" s="31" t="str">
        <f>IFERROR(__xludf.DUMMYFUNCTION("""COMPUTED_VALUE"""),"Optional")</f>
        <v>Optional</v>
      </c>
      <c r="I32" s="31" t="str">
        <f>IFERROR(__xludf.DUMMYFUNCTION("""COMPUTED_VALUE"""),"No")</f>
        <v>No</v>
      </c>
      <c r="J32" s="26"/>
      <c r="K32" s="42" t="str">
        <f>IFERROR(__xludf.DUMMYFUNCTION("""COMPUTED_VALUE"""),"NO")</f>
        <v>NO</v>
      </c>
    </row>
    <row r="33" ht="12.75" customHeight="1">
      <c r="A33" s="22"/>
      <c r="B33" s="22" t="str">
        <f>IFERROR(__xludf.DUMMYFUNCTION("""COMPUTED_VALUE"""),"BP")</f>
        <v>BP</v>
      </c>
      <c r="C33" s="37"/>
      <c r="D33" s="29"/>
      <c r="E33" s="24"/>
      <c r="F33" s="29"/>
      <c r="G33" s="31"/>
      <c r="H33" s="31"/>
      <c r="I33" s="31"/>
      <c r="J33" s="26"/>
      <c r="K33" s="42" t="str">
        <f>IFERROR(__xludf.DUMMYFUNCTION("""COMPUTED_VALUE"""),"NO")</f>
        <v>NO</v>
      </c>
    </row>
    <row r="34" ht="12.75" customHeight="1">
      <c r="A34" s="22"/>
      <c r="B34" s="22" t="str">
        <f>IFERROR(__xludf.DUMMYFUNCTION("""COMPUTED_VALUE"""),"Financial Conduct Authority")</f>
        <v>Financial Conduct Authority</v>
      </c>
      <c r="C34" s="37"/>
      <c r="D34" s="29"/>
      <c r="E34" s="28"/>
      <c r="F34" s="29"/>
      <c r="G34" s="31"/>
      <c r="H34" s="31"/>
      <c r="I34" s="31"/>
      <c r="J34" s="26"/>
      <c r="K34" s="42" t="str">
        <f>IFERROR(__xludf.DUMMYFUNCTION("""COMPUTED_VALUE"""),"NO")</f>
        <v>NO</v>
      </c>
    </row>
    <row r="35" ht="12.75" customHeight="1">
      <c r="A35" s="22"/>
      <c r="B35" s="22" t="str">
        <f>IFERROR(__xludf.DUMMYFUNCTION("""COMPUTED_VALUE"""),"IMC Trading")</f>
        <v>IMC Trading</v>
      </c>
      <c r="C35" s="37"/>
      <c r="D35" s="29"/>
      <c r="E35" s="24"/>
      <c r="F35" s="29"/>
      <c r="G35" s="31"/>
      <c r="H35" s="31"/>
      <c r="I35" s="31"/>
      <c r="J35" s="26"/>
      <c r="K35" s="42" t="str">
        <f>IFERROR(__xludf.DUMMYFUNCTION("""COMPUTED_VALUE"""),"NO")</f>
        <v>NO</v>
      </c>
    </row>
    <row r="36" ht="12.75" customHeight="1">
      <c r="A36" s="22"/>
      <c r="B36" s="22" t="str">
        <f>IFERROR(__xludf.DUMMYFUNCTION("""COMPUTED_VALUE"""),"Marsh McLennan")</f>
        <v>Marsh McLennan</v>
      </c>
      <c r="C36" s="36"/>
      <c r="D36" s="29"/>
      <c r="E36" s="28"/>
      <c r="F36" s="29"/>
      <c r="G36" s="33"/>
      <c r="H36" s="34"/>
      <c r="I36" s="33"/>
      <c r="J36" s="26"/>
      <c r="K36" s="42" t="str">
        <f>IFERROR(__xludf.DUMMYFUNCTION("""COMPUTED_VALUE"""),"NO")</f>
        <v>NO</v>
      </c>
    </row>
    <row r="37" ht="12.75" customHeight="1">
      <c r="A37" s="22"/>
      <c r="B37" s="22" t="str">
        <f>IFERROR(__xludf.DUMMYFUNCTION("""COMPUTED_VALUE"""),"National Highways")</f>
        <v>National Highways</v>
      </c>
      <c r="C37" s="37"/>
      <c r="D37" s="29"/>
      <c r="E37" s="28"/>
      <c r="F37" s="29"/>
      <c r="G37" s="31"/>
      <c r="H37" s="31"/>
      <c r="I37" s="31"/>
      <c r="J37" s="26"/>
      <c r="K37" s="42" t="str">
        <f>IFERROR(__xludf.DUMMYFUNCTION("""COMPUTED_VALUE"""),"NO")</f>
        <v>NO</v>
      </c>
    </row>
    <row r="38" ht="12.75" customHeight="1">
      <c r="A38" s="22"/>
      <c r="B38" s="22" t="str">
        <f>IFERROR(__xludf.DUMMYFUNCTION("""COMPUTED_VALUE"""),"Netcraft")</f>
        <v>Netcraft</v>
      </c>
      <c r="C38" s="37"/>
      <c r="D38" s="29"/>
      <c r="E38" s="28"/>
      <c r="F38" s="29"/>
      <c r="G38" s="25"/>
      <c r="H38" s="25"/>
      <c r="I38" s="25"/>
      <c r="J38" s="26"/>
      <c r="K38" s="42" t="str">
        <f>IFERROR(__xludf.DUMMYFUNCTION("""COMPUTED_VALUE"""),"NO")</f>
        <v>NO</v>
      </c>
    </row>
    <row r="39" ht="12.75" customHeight="1">
      <c r="A39" s="22"/>
      <c r="B39" s="22" t="str">
        <f>IFERROR(__xludf.DUMMYFUNCTION("""COMPUTED_VALUE"""),"Nutanix")</f>
        <v>Nutanix</v>
      </c>
      <c r="C39" s="25"/>
      <c r="D39" s="29"/>
      <c r="E39" s="25"/>
      <c r="F39" s="29"/>
      <c r="G39" s="31"/>
      <c r="H39" s="31"/>
      <c r="I39" s="31"/>
      <c r="J39" s="26"/>
      <c r="K39" s="42" t="str">
        <f>IFERROR(__xludf.DUMMYFUNCTION("""COMPUTED_VALUE"""),"NO")</f>
        <v>NO</v>
      </c>
    </row>
    <row r="40" ht="12.75" customHeight="1">
      <c r="A40" s="22"/>
      <c r="B40" s="22" t="str">
        <f>IFERROR(__xludf.DUMMYFUNCTION("""COMPUTED_VALUE"""),"Softwire")</f>
        <v>Softwire</v>
      </c>
      <c r="C40" s="37"/>
      <c r="D40" s="29"/>
      <c r="E40" s="28"/>
      <c r="F40" s="29"/>
      <c r="G40" s="33" t="str">
        <f>IFERROR(__xludf.DUMMYFUNCTION("""COMPUTED_VALUE"""),"No")</f>
        <v>No</v>
      </c>
      <c r="H40" s="33" t="str">
        <f>IFERROR(__xludf.DUMMYFUNCTION("""COMPUTED_VALUE"""),"No")</f>
        <v>No</v>
      </c>
      <c r="I40" s="33" t="str">
        <f>IFERROR(__xludf.DUMMYFUNCTION("""COMPUTED_VALUE"""),"Yes")</f>
        <v>Yes</v>
      </c>
      <c r="J40" s="26"/>
      <c r="K40" s="42" t="str">
        <f>IFERROR(__xludf.DUMMYFUNCTION("""COMPUTED_VALUE"""),"NO")</f>
        <v>NO</v>
      </c>
    </row>
    <row r="41" ht="12.75" customHeight="1">
      <c r="A41" s="22"/>
      <c r="B41" s="22" t="str">
        <f>IFERROR(__xludf.DUMMYFUNCTION("""COMPUTED_VALUE"""),"Terra")</f>
        <v>Terra</v>
      </c>
      <c r="C41" s="37"/>
      <c r="D41" s="29"/>
      <c r="E41" s="24"/>
      <c r="F41" s="29"/>
      <c r="G41" s="25"/>
      <c r="H41" s="25"/>
      <c r="I41" s="25"/>
      <c r="J41" s="26"/>
      <c r="K41" s="42" t="str">
        <f>IFERROR(__xludf.DUMMYFUNCTION("""COMPUTED_VALUE"""),"NO")</f>
        <v>NO</v>
      </c>
    </row>
    <row r="42" ht="12.75" customHeight="1">
      <c r="A42" s="22"/>
      <c r="B42" s="22" t="str">
        <f>IFERROR(__xludf.DUMMYFUNCTION("""COMPUTED_VALUE"""),"Two Sigma")</f>
        <v>Two Sigma</v>
      </c>
      <c r="C42" s="37"/>
      <c r="D42" s="29"/>
      <c r="E42" s="28"/>
      <c r="F42" s="29"/>
      <c r="G42" s="25"/>
      <c r="H42" s="25"/>
      <c r="I42" s="25"/>
      <c r="J42" s="26"/>
      <c r="K42" s="42" t="str">
        <f>IFERROR(__xludf.DUMMYFUNCTION("""COMPUTED_VALUE"""),"NO")</f>
        <v>NO</v>
      </c>
    </row>
    <row r="43" ht="12.75" customHeight="1">
      <c r="A43" s="22"/>
      <c r="B43" s="22" t="str">
        <f>IFERROR(__xludf.DUMMYFUNCTION("""COMPUTED_VALUE"""),"Universal Music Group")</f>
        <v>Universal Music Group</v>
      </c>
      <c r="C43" s="37"/>
      <c r="D43" s="29"/>
      <c r="E43" s="28"/>
      <c r="F43" s="29"/>
      <c r="G43" s="25"/>
      <c r="H43" s="25"/>
      <c r="I43" s="25"/>
      <c r="J43" s="26"/>
      <c r="K43" s="42" t="str">
        <f>IFERROR(__xludf.DUMMYFUNCTION("""COMPUTED_VALUE"""),"NO")</f>
        <v>NO</v>
      </c>
    </row>
    <row r="44" ht="12.75" customHeight="1">
      <c r="A44" s="22"/>
      <c r="B44" s="22" t="str">
        <f>IFERROR(__xludf.DUMMYFUNCTION("""COMPUTED_VALUE"""),"D.E. Shaw")</f>
        <v>D.E. Shaw</v>
      </c>
      <c r="C44" s="36"/>
      <c r="D44" s="29"/>
      <c r="E44" s="24"/>
      <c r="F44" s="29"/>
      <c r="G44" s="31"/>
      <c r="H44" s="31"/>
      <c r="I44" s="31"/>
      <c r="J44" s="26"/>
      <c r="K44" s="42" t="str">
        <f>IFERROR(__xludf.DUMMYFUNCTION("""COMPUTED_VALUE"""),"NO")</f>
        <v>NO</v>
      </c>
    </row>
    <row r="45" ht="12.75" customHeight="1">
      <c r="A45" s="22"/>
      <c r="B45" s="22" t="str">
        <f>IFERROR(__xludf.DUMMYFUNCTION("""COMPUTED_VALUE"""),"G-Research")</f>
        <v>G-Research</v>
      </c>
      <c r="C45" s="36"/>
      <c r="D45" s="29"/>
      <c r="E45" s="24"/>
      <c r="F45" s="29"/>
      <c r="G45" s="31"/>
      <c r="H45" s="31"/>
      <c r="I45" s="31"/>
      <c r="J45" s="26"/>
      <c r="K45" s="42" t="str">
        <f>IFERROR(__xludf.DUMMYFUNCTION("""COMPUTED_VALUE"""),"NO")</f>
        <v>NO</v>
      </c>
    </row>
    <row r="46" ht="12.75" customHeight="1">
      <c r="A46" s="22"/>
      <c r="B46" s="22" t="str">
        <f>IFERROR(__xludf.DUMMYFUNCTION("""COMPUTED_VALUE"""),"Goldman Sachs")</f>
        <v>Goldman Sachs</v>
      </c>
      <c r="C46" s="37"/>
      <c r="D46" s="29"/>
      <c r="E46" s="28"/>
      <c r="F46" s="29"/>
      <c r="G46" s="25"/>
      <c r="H46" s="25"/>
      <c r="I46" s="25"/>
      <c r="J46" s="26"/>
      <c r="K46" s="42" t="str">
        <f>IFERROR(__xludf.DUMMYFUNCTION("""COMPUTED_VALUE"""),"NO")</f>
        <v>NO</v>
      </c>
    </row>
    <row r="47" ht="12.75" customHeight="1">
      <c r="A47" s="22"/>
      <c r="B47" s="22" t="str">
        <f>IFERROR(__xludf.DUMMYFUNCTION("""COMPUTED_VALUE"""),"RBC Capital Markets")</f>
        <v>RBC Capital Markets</v>
      </c>
      <c r="C47" s="37"/>
      <c r="D47" s="23"/>
      <c r="E47" s="28"/>
      <c r="F47" s="23"/>
      <c r="G47" s="38"/>
      <c r="H47" s="38"/>
      <c r="I47" s="38"/>
      <c r="J47" s="26"/>
      <c r="K47" s="42" t="str">
        <f>IFERROR(__xludf.DUMMYFUNCTION("""COMPUTED_VALUE"""),"NO")</f>
        <v>NO</v>
      </c>
    </row>
    <row r="48" ht="12.75" customHeight="1">
      <c r="A48" s="22"/>
      <c r="B48" s="22" t="str">
        <f>IFERROR(__xludf.DUMMYFUNCTION("""COMPUTED_VALUE"""),"HSBC")</f>
        <v>HSBC</v>
      </c>
      <c r="C48" s="37"/>
      <c r="D48" s="29"/>
      <c r="E48" s="28"/>
      <c r="F48" s="29"/>
      <c r="G48" s="31"/>
      <c r="H48" s="31"/>
      <c r="I48" s="31"/>
      <c r="J48" s="26"/>
      <c r="K48" s="42" t="str">
        <f>IFERROR(__xludf.DUMMYFUNCTION("""COMPUTED_VALUE"""),"NO")</f>
        <v>NO</v>
      </c>
    </row>
    <row r="49" ht="12.75" customHeight="1">
      <c r="A49" s="22"/>
      <c r="B49" s="22" t="str">
        <f>IFERROR(__xludf.DUMMYFUNCTION("""COMPUTED_VALUE"""),"Jump Trading")</f>
        <v>Jump Trading</v>
      </c>
      <c r="C49" s="36"/>
      <c r="D49" s="29"/>
      <c r="E49" s="28"/>
      <c r="F49" s="29"/>
      <c r="G49" s="25" t="str">
        <f>IFERROR(__xludf.DUMMYFUNCTION("""COMPUTED_VALUE"""),"Yes")</f>
        <v>Yes</v>
      </c>
      <c r="H49" s="25" t="str">
        <f>IFERROR(__xludf.DUMMYFUNCTION("""COMPUTED_VALUE"""),"Optional")</f>
        <v>Optional</v>
      </c>
      <c r="I49" s="25" t="str">
        <f>IFERROR(__xludf.DUMMYFUNCTION("""COMPUTED_VALUE"""),"No")</f>
        <v>No</v>
      </c>
      <c r="J49" s="26"/>
      <c r="K49" s="42" t="str">
        <f>IFERROR(__xludf.DUMMYFUNCTION("""COMPUTED_VALUE"""),"NO")</f>
        <v>NO</v>
      </c>
    </row>
    <row r="50" ht="12.75" customHeight="1">
      <c r="A50" s="22"/>
      <c r="B50" s="22" t="str">
        <f>IFERROR(__xludf.DUMMYFUNCTION("""COMPUTED_VALUE"""),"BNY Mellon")</f>
        <v>BNY Mellon</v>
      </c>
      <c r="C50" s="36"/>
      <c r="D50" s="29"/>
      <c r="E50" s="28"/>
      <c r="F50" s="29"/>
      <c r="G50" s="31"/>
      <c r="H50" s="31"/>
      <c r="I50" s="31"/>
      <c r="J50" s="26"/>
      <c r="K50" s="42" t="str">
        <f>IFERROR(__xludf.DUMMYFUNCTION("""COMPUTED_VALUE"""),"NO")</f>
        <v>NO</v>
      </c>
    </row>
    <row r="51" ht="12.75" customHeight="1">
      <c r="A51" s="22"/>
      <c r="B51" s="22" t="str">
        <f>IFERROR(__xludf.DUMMYFUNCTION("""COMPUTED_VALUE"""),"Galaxy")</f>
        <v>Galaxy</v>
      </c>
      <c r="C51" s="36"/>
      <c r="D51" s="29"/>
      <c r="E51" s="28"/>
      <c r="F51" s="29"/>
      <c r="G51" s="31" t="str">
        <f>IFERROR(__xludf.DUMMYFUNCTION("""COMPUTED_VALUE"""),"Yes")</f>
        <v>Yes</v>
      </c>
      <c r="H51" s="31" t="str">
        <f>IFERROR(__xludf.DUMMYFUNCTION("""COMPUTED_VALUE"""),"Optional")</f>
        <v>Optional</v>
      </c>
      <c r="I51" s="31" t="str">
        <f>IFERROR(__xludf.DUMMYFUNCTION("""COMPUTED_VALUE"""),"Yes")</f>
        <v>Yes</v>
      </c>
      <c r="J51" s="26"/>
      <c r="K51" s="42" t="str">
        <f>IFERROR(__xludf.DUMMYFUNCTION("""COMPUTED_VALUE"""),"NO")</f>
        <v>NO</v>
      </c>
    </row>
    <row r="52" ht="12.75" customHeight="1">
      <c r="A52" s="22"/>
      <c r="B52" s="22" t="str">
        <f>IFERROR(__xludf.DUMMYFUNCTION("""COMPUTED_VALUE"""),"Hudson River Trading")</f>
        <v>Hudson River Trading</v>
      </c>
      <c r="C52" s="37"/>
      <c r="D52" s="29"/>
      <c r="E52" s="28"/>
      <c r="F52" s="29"/>
      <c r="G52" s="31"/>
      <c r="H52" s="31"/>
      <c r="I52" s="31"/>
      <c r="J52" s="26"/>
      <c r="K52" s="42" t="str">
        <f>IFERROR(__xludf.DUMMYFUNCTION("""COMPUTED_VALUE"""),"NO")</f>
        <v>NO</v>
      </c>
    </row>
    <row r="53" ht="12.75" customHeight="1">
      <c r="A53" s="22"/>
      <c r="B53" s="22" t="str">
        <f>IFERROR(__xludf.DUMMYFUNCTION("""COMPUTED_VALUE"""),"Optiver")</f>
        <v>Optiver</v>
      </c>
      <c r="C53" s="36"/>
      <c r="D53" s="29"/>
      <c r="E53" s="28"/>
      <c r="F53" s="29"/>
      <c r="G53" s="31" t="str">
        <f>IFERROR(__xludf.DUMMYFUNCTION("""COMPUTED_VALUE"""),"Yes")</f>
        <v>Yes</v>
      </c>
      <c r="H53" s="31" t="str">
        <f>IFERROR(__xludf.DUMMYFUNCTION("""COMPUTED_VALUE"""),"Yes")</f>
        <v>Yes</v>
      </c>
      <c r="I53" s="31" t="str">
        <f>IFERROR(__xludf.DUMMYFUNCTION("""COMPUTED_VALUE"""),"No")</f>
        <v>No</v>
      </c>
      <c r="J53" s="26"/>
      <c r="K53" s="42" t="str">
        <f>IFERROR(__xludf.DUMMYFUNCTION("""COMPUTED_VALUE"""),"NO")</f>
        <v>NO</v>
      </c>
    </row>
    <row r="54" ht="12.75" customHeight="1">
      <c r="A54" s="22"/>
      <c r="B54" s="22" t="str">
        <f>IFERROR(__xludf.DUMMYFUNCTION("""COMPUTED_VALUE"""),"Morgan Stanley")</f>
        <v>Morgan Stanley</v>
      </c>
      <c r="C54" s="37"/>
      <c r="D54" s="29"/>
      <c r="E54" s="28"/>
      <c r="F54" s="29"/>
      <c r="G54" s="25" t="str">
        <f>IFERROR(__xludf.DUMMYFUNCTION("""COMPUTED_VALUE"""),"Yes")</f>
        <v>Yes</v>
      </c>
      <c r="H54" s="25" t="str">
        <f>IFERROR(__xludf.DUMMYFUNCTION("""COMPUTED_VALUE"""),"Yes")</f>
        <v>Yes</v>
      </c>
      <c r="I54" s="25" t="str">
        <f>IFERROR(__xludf.DUMMYFUNCTION("""COMPUTED_VALUE"""),"Yes")</f>
        <v>Yes</v>
      </c>
      <c r="J54" s="39"/>
      <c r="K54" s="42" t="str">
        <f>IFERROR(__xludf.DUMMYFUNCTION("""COMPUTED_VALUE"""),"NO")</f>
        <v>NO</v>
      </c>
    </row>
    <row r="55" ht="12.75" customHeight="1">
      <c r="A55" s="22"/>
      <c r="B55" s="22" t="str">
        <f>IFERROR(__xludf.DUMMYFUNCTION("""COMPUTED_VALUE"""),"UBS")</f>
        <v>UBS</v>
      </c>
      <c r="C55" s="37"/>
      <c r="D55" s="29"/>
      <c r="E55" s="28"/>
      <c r="F55" s="29"/>
      <c r="G55" s="25" t="str">
        <f>IFERROR(__xludf.DUMMYFUNCTION("""COMPUTED_VALUE"""),"Yes")</f>
        <v>Yes</v>
      </c>
      <c r="H55" s="25" t="str">
        <f>IFERROR(__xludf.DUMMYFUNCTION("""COMPUTED_VALUE"""),"No")</f>
        <v>No</v>
      </c>
      <c r="I55" s="25" t="str">
        <f>IFERROR(__xludf.DUMMYFUNCTION("""COMPUTED_VALUE"""),"Yes")</f>
        <v>Yes</v>
      </c>
      <c r="J55" s="26"/>
      <c r="K55" s="42" t="str">
        <f>IFERROR(__xludf.DUMMYFUNCTION("""COMPUTED_VALUE"""),"NO")</f>
        <v>NO</v>
      </c>
    </row>
    <row r="56" ht="12.75" customHeight="1">
      <c r="A56" s="22"/>
      <c r="B56" s="22" t="str">
        <f>IFERROR(__xludf.DUMMYFUNCTION("""COMPUTED_VALUE"""),"Nomura")</f>
        <v>Nomura</v>
      </c>
      <c r="C56" s="37"/>
      <c r="D56" s="29"/>
      <c r="E56" s="28"/>
      <c r="F56" s="29"/>
      <c r="G56" s="25"/>
      <c r="H56" s="25"/>
      <c r="I56" s="25"/>
      <c r="J56" s="26"/>
      <c r="K56" s="42" t="str">
        <f>IFERROR(__xludf.DUMMYFUNCTION("""COMPUTED_VALUE"""),"NO")</f>
        <v>NO</v>
      </c>
    </row>
    <row r="57" ht="12.75" customHeight="1">
      <c r="A57" s="22"/>
      <c r="B57" s="22" t="str">
        <f>IFERROR(__xludf.DUMMYFUNCTION("""COMPUTED_VALUE"""),"Man Group")</f>
        <v>Man Group</v>
      </c>
      <c r="C57" s="36"/>
      <c r="D57" s="29"/>
      <c r="E57" s="28"/>
      <c r="F57" s="29"/>
      <c r="G57" s="25"/>
      <c r="H57" s="25"/>
      <c r="I57" s="25"/>
      <c r="J57" s="26"/>
      <c r="K57" s="42" t="str">
        <f>IFERROR(__xludf.DUMMYFUNCTION("""COMPUTED_VALUE"""),"NO")</f>
        <v>NO</v>
      </c>
    </row>
    <row r="58" ht="12.75" customHeight="1">
      <c r="A58" s="22"/>
      <c r="B58" s="22" t="str">
        <f>IFERROR(__xludf.DUMMYFUNCTION("""COMPUTED_VALUE"""),"Barclays")</f>
        <v>Barclays</v>
      </c>
      <c r="C58" s="37"/>
      <c r="D58" s="29"/>
      <c r="E58" s="28"/>
      <c r="F58" s="29"/>
      <c r="G58" s="25" t="str">
        <f>IFERROR(__xludf.DUMMYFUNCTION("""COMPUTED_VALUE"""),"Yes")</f>
        <v>Yes</v>
      </c>
      <c r="H58" s="25" t="str">
        <f>IFERROR(__xludf.DUMMYFUNCTION("""COMPUTED_VALUE"""),"Yes")</f>
        <v>Yes</v>
      </c>
      <c r="I58" s="25" t="str">
        <f>IFERROR(__xludf.DUMMYFUNCTION("""COMPUTED_VALUE"""),"No")</f>
        <v>No</v>
      </c>
      <c r="J58" s="26"/>
      <c r="K58" s="42" t="str">
        <f>IFERROR(__xludf.DUMMYFUNCTION("""COMPUTED_VALUE"""),"NO")</f>
        <v>NO</v>
      </c>
    </row>
    <row r="59" ht="12.75" customHeight="1">
      <c r="A59" s="22"/>
      <c r="B59" s="22" t="str">
        <f>IFERROR(__xludf.DUMMYFUNCTION("""COMPUTED_VALUE"""),"Balyasny Asset Management")</f>
        <v>Balyasny Asset Management</v>
      </c>
      <c r="C59" s="22"/>
      <c r="D59" s="29"/>
      <c r="E59" s="28"/>
      <c r="F59" s="29"/>
      <c r="G59" s="25"/>
      <c r="H59" s="25"/>
      <c r="I59" s="25"/>
      <c r="J59" s="26"/>
      <c r="K59" s="42" t="str">
        <f>IFERROR(__xludf.DUMMYFUNCTION("""COMPUTED_VALUE"""),"NO")</f>
        <v>NO</v>
      </c>
    </row>
    <row r="60" ht="12.75" customHeight="1">
      <c r="A60" s="22"/>
      <c r="B60" s="22" t="str">
        <f>IFERROR(__xludf.DUMMYFUNCTION("""COMPUTED_VALUE"""),"Epic Games")</f>
        <v>Epic Games</v>
      </c>
      <c r="C60" s="37"/>
      <c r="D60" s="29"/>
      <c r="E60" s="28"/>
      <c r="F60" s="29"/>
      <c r="G60" s="43" t="str">
        <f>IFERROR(__xludf.DUMMYFUNCTION("""COMPUTED_VALUE"""),"Yes")</f>
        <v>Yes</v>
      </c>
      <c r="H60" s="25" t="str">
        <f>IFERROR(__xludf.DUMMYFUNCTION("""COMPUTED_VALUE"""),"Optional")</f>
        <v>Optional</v>
      </c>
      <c r="I60" s="25" t="str">
        <f>IFERROR(__xludf.DUMMYFUNCTION("""COMPUTED_VALUE"""),"No")</f>
        <v>No</v>
      </c>
      <c r="J60" s="26"/>
      <c r="K60" s="42" t="str">
        <f>IFERROR(__xludf.DUMMYFUNCTION("""COMPUTED_VALUE"""),"NO")</f>
        <v>NO</v>
      </c>
    </row>
    <row r="61" ht="12.75" customHeight="1">
      <c r="A61" s="22"/>
      <c r="B61" s="22" t="str">
        <f>IFERROR(__xludf.DUMMYFUNCTION("""COMPUTED_VALUE"""),"American Express")</f>
        <v>American Express</v>
      </c>
      <c r="C61" s="36"/>
      <c r="D61" s="29"/>
      <c r="E61" s="24"/>
      <c r="F61" s="29"/>
      <c r="G61" s="25"/>
      <c r="H61" s="25"/>
      <c r="I61" s="25"/>
      <c r="J61" s="26"/>
      <c r="K61" s="42" t="str">
        <f>IFERROR(__xludf.DUMMYFUNCTION("""COMPUTED_VALUE"""),"NO")</f>
        <v>NO</v>
      </c>
    </row>
    <row r="62" ht="12.75" customHeight="1">
      <c r="A62" s="22"/>
      <c r="B62" s="22" t="str">
        <f>IFERROR(__xludf.DUMMYFUNCTION("""COMPUTED_VALUE"""),"EY")</f>
        <v>EY</v>
      </c>
      <c r="C62" s="36"/>
      <c r="D62" s="29"/>
      <c r="E62" s="24"/>
      <c r="F62" s="29"/>
      <c r="G62" s="25"/>
      <c r="H62" s="25"/>
      <c r="I62" s="25"/>
      <c r="J62" s="26"/>
      <c r="K62" s="42" t="str">
        <f>IFERROR(__xludf.DUMMYFUNCTION("""COMPUTED_VALUE"""),"NO")</f>
        <v>NO</v>
      </c>
    </row>
    <row r="63" ht="12.75" customHeight="1">
      <c r="A63" s="22"/>
      <c r="B63" s="22" t="str">
        <f>IFERROR(__xludf.DUMMYFUNCTION("""COMPUTED_VALUE"""),"Natwest Markets")</f>
        <v>Natwest Markets</v>
      </c>
      <c r="C63" s="36"/>
      <c r="D63" s="29"/>
      <c r="E63" s="28"/>
      <c r="F63" s="29"/>
      <c r="G63" s="25"/>
      <c r="H63" s="25"/>
      <c r="I63" s="25"/>
      <c r="J63" s="26"/>
      <c r="K63" s="42" t="str">
        <f>IFERROR(__xludf.DUMMYFUNCTION("""COMPUTED_VALUE"""),"NO")</f>
        <v>NO</v>
      </c>
    </row>
    <row r="64" ht="12.75" customHeight="1">
      <c r="A64" s="22"/>
      <c r="B64" s="22" t="str">
        <f>IFERROR(__xludf.DUMMYFUNCTION("""COMPUTED_VALUE"""),"Schonfeld")</f>
        <v>Schonfeld</v>
      </c>
      <c r="C64" s="37"/>
      <c r="D64" s="29"/>
      <c r="E64" s="24"/>
      <c r="F64" s="29"/>
      <c r="G64" s="31" t="str">
        <f>IFERROR(__xludf.DUMMYFUNCTION("""COMPUTED_VALUE"""),"Yes")</f>
        <v>Yes</v>
      </c>
      <c r="H64" s="31" t="str">
        <f>IFERROR(__xludf.DUMMYFUNCTION("""COMPUTED_VALUE"""),"Optional")</f>
        <v>Optional</v>
      </c>
      <c r="I64" s="31" t="str">
        <f>IFERROR(__xludf.DUMMYFUNCTION("""COMPUTED_VALUE"""),"No")</f>
        <v>No</v>
      </c>
      <c r="J64" s="26" t="str">
        <f>IFERROR(__xludf.DUMMYFUNCTION("""COMPUTED_VALUE"""),"There is another opening for Platform Engineering")</f>
        <v>There is another opening for Platform Engineering</v>
      </c>
      <c r="K64" s="42" t="str">
        <f>IFERROR(__xludf.DUMMYFUNCTION("""COMPUTED_VALUE"""),"NO")</f>
        <v>NO</v>
      </c>
    </row>
    <row r="65" ht="12.75" customHeight="1">
      <c r="A65" s="22"/>
      <c r="B65" s="22" t="str">
        <f>IFERROR(__xludf.DUMMYFUNCTION("""COMPUTED_VALUE"""),"Willis Towers Watson")</f>
        <v>Willis Towers Watson</v>
      </c>
      <c r="C65" s="37"/>
      <c r="D65" s="29"/>
      <c r="E65" s="28"/>
      <c r="F65" s="29"/>
      <c r="G65" s="31" t="str">
        <f>IFERROR(__xludf.DUMMYFUNCTION("""COMPUTED_VALUE"""),"Yes")</f>
        <v>Yes</v>
      </c>
      <c r="H65" s="31" t="str">
        <f>IFERROR(__xludf.DUMMYFUNCTION("""COMPUTED_VALUE"""),"No")</f>
        <v>No</v>
      </c>
      <c r="I65" s="31" t="str">
        <f>IFERROR(__xludf.DUMMYFUNCTION("""COMPUTED_VALUE"""),"No")</f>
        <v>No</v>
      </c>
      <c r="J65" s="26"/>
      <c r="K65" s="42" t="str">
        <f>IFERROR(__xludf.DUMMYFUNCTION("""COMPUTED_VALUE"""),"NO")</f>
        <v>NO</v>
      </c>
    </row>
    <row r="66" ht="12.75" customHeight="1">
      <c r="A66" s="22"/>
      <c r="B66" s="22" t="str">
        <f>IFERROR(__xludf.DUMMYFUNCTION("""COMPUTED_VALUE"""),"Cisco")</f>
        <v>Cisco</v>
      </c>
      <c r="C66" s="36"/>
      <c r="D66" s="29"/>
      <c r="E66" s="24"/>
      <c r="F66" s="29"/>
      <c r="G66" s="31"/>
      <c r="H66" s="31"/>
      <c r="I66" s="31"/>
      <c r="J66" s="26"/>
      <c r="K66" s="42" t="str">
        <f>IFERROR(__xludf.DUMMYFUNCTION("""COMPUTED_VALUE"""),"NO")</f>
        <v>NO</v>
      </c>
    </row>
    <row r="67" ht="12.75" customHeight="1">
      <c r="A67" s="22"/>
      <c r="B67" s="22" t="str">
        <f>IFERROR(__xludf.DUMMYFUNCTION("""COMPUTED_VALUE"""),"M&amp;G")</f>
        <v>M&amp;G</v>
      </c>
      <c r="C67" s="37"/>
      <c r="D67" s="29"/>
      <c r="E67" s="28"/>
      <c r="F67" s="29"/>
      <c r="G67" s="25" t="str">
        <f>IFERROR(__xludf.DUMMYFUNCTION("""COMPUTED_VALUE"""),"Yes")</f>
        <v>Yes</v>
      </c>
      <c r="H67" s="25" t="str">
        <f>IFERROR(__xludf.DUMMYFUNCTION("""COMPUTED_VALUE"""),"No")</f>
        <v>No</v>
      </c>
      <c r="I67" s="25" t="str">
        <f>IFERROR(__xludf.DUMMYFUNCTION("""COMPUTED_VALUE"""),"Yes")</f>
        <v>Yes</v>
      </c>
      <c r="J67" s="26"/>
      <c r="K67" s="42" t="str">
        <f>IFERROR(__xludf.DUMMYFUNCTION("""COMPUTED_VALUE"""),"NO")</f>
        <v>NO</v>
      </c>
    </row>
    <row r="68" ht="12.75" customHeight="1">
      <c r="A68" s="22"/>
      <c r="B68" s="22" t="str">
        <f>IFERROR(__xludf.DUMMYFUNCTION("""COMPUTED_VALUE"""),"Textron")</f>
        <v>Textron</v>
      </c>
      <c r="C68" s="36"/>
      <c r="D68" s="29"/>
      <c r="E68" s="28"/>
      <c r="F68" s="29"/>
      <c r="G68" s="31"/>
      <c r="H68" s="31"/>
      <c r="I68" s="31"/>
      <c r="J68" s="26"/>
      <c r="K68" s="42" t="str">
        <f>IFERROR(__xludf.DUMMYFUNCTION("""COMPUTED_VALUE"""),"NO")</f>
        <v>NO</v>
      </c>
    </row>
    <row r="69" ht="12.75" customHeight="1">
      <c r="A69" s="22"/>
      <c r="B69" s="22" t="str">
        <f>IFERROR(__xludf.DUMMYFUNCTION("""COMPUTED_VALUE"""),"TD Securities")</f>
        <v>TD Securities</v>
      </c>
      <c r="C69" s="37"/>
      <c r="D69" s="29"/>
      <c r="E69" s="28"/>
      <c r="F69" s="29"/>
      <c r="G69" s="25" t="str">
        <f>IFERROR(__xludf.DUMMYFUNCTION("""COMPUTED_VALUE"""),"Yes")</f>
        <v>Yes</v>
      </c>
      <c r="H69" s="25" t="str">
        <f>IFERROR(__xludf.DUMMYFUNCTION("""COMPUTED_VALUE"""),"No")</f>
        <v>No</v>
      </c>
      <c r="I69" s="25" t="str">
        <f>IFERROR(__xludf.DUMMYFUNCTION("""COMPUTED_VALUE"""),"No")</f>
        <v>No</v>
      </c>
      <c r="J69" s="26"/>
      <c r="K69" s="42" t="str">
        <f>IFERROR(__xludf.DUMMYFUNCTION("""COMPUTED_VALUE"""),"NO")</f>
        <v>NO</v>
      </c>
    </row>
    <row r="70" ht="12.75" customHeight="1">
      <c r="A70" s="22"/>
      <c r="B70" s="22" t="str">
        <f>IFERROR(__xludf.DUMMYFUNCTION("""COMPUTED_VALUE"""),"Cloudflare")</f>
        <v>Cloudflare</v>
      </c>
      <c r="C70" s="36"/>
      <c r="D70" s="29"/>
      <c r="E70" s="28"/>
      <c r="F70" s="29"/>
      <c r="G70" s="25" t="str">
        <f>IFERROR(__xludf.DUMMYFUNCTION("""COMPUTED_VALUE"""),"Yes")</f>
        <v>Yes</v>
      </c>
      <c r="H70" s="25" t="str">
        <f>IFERROR(__xludf.DUMMYFUNCTION("""COMPUTED_VALUE"""),"Optional")</f>
        <v>Optional</v>
      </c>
      <c r="I70" s="25" t="str">
        <f>IFERROR(__xludf.DUMMYFUNCTION("""COMPUTED_VALUE"""),"Yes")</f>
        <v>Yes</v>
      </c>
      <c r="J70" s="26"/>
      <c r="K70" s="42" t="str">
        <f>IFERROR(__xludf.DUMMYFUNCTION("""COMPUTED_VALUE"""),"NO")</f>
        <v>NO</v>
      </c>
    </row>
    <row r="71" ht="12.75" customHeight="1">
      <c r="A71" s="22"/>
      <c r="B71" s="22" t="str">
        <f>IFERROR(__xludf.DUMMYFUNCTION("""COMPUTED_VALUE"""),"MathWorks")</f>
        <v>MathWorks</v>
      </c>
      <c r="C71" s="36"/>
      <c r="D71" s="29"/>
      <c r="E71" s="28"/>
      <c r="F71" s="29"/>
      <c r="G71" s="25"/>
      <c r="H71" s="25"/>
      <c r="I71" s="25"/>
      <c r="J71" s="26"/>
      <c r="K71" s="42" t="str">
        <f>IFERROR(__xludf.DUMMYFUNCTION("""COMPUTED_VALUE"""),"NO")</f>
        <v>NO</v>
      </c>
    </row>
    <row r="72" ht="12.75" customHeight="1">
      <c r="A72" s="22"/>
      <c r="B72" s="22" t="str">
        <f>IFERROR(__xludf.DUMMYFUNCTION("""COMPUTED_VALUE"""),"Tesco")</f>
        <v>Tesco</v>
      </c>
      <c r="C72" s="36"/>
      <c r="D72" s="29"/>
      <c r="E72" s="28"/>
      <c r="F72" s="29"/>
      <c r="G72" s="31"/>
      <c r="H72" s="31"/>
      <c r="I72" s="31"/>
      <c r="J72" s="39"/>
      <c r="K72" s="42" t="str">
        <f>IFERROR(__xludf.DUMMYFUNCTION("""COMPUTED_VALUE"""),"NO")</f>
        <v>NO</v>
      </c>
    </row>
    <row r="73" ht="12.75" customHeight="1">
      <c r="A73" s="22"/>
      <c r="B73" s="22" t="str">
        <f>IFERROR(__xludf.DUMMYFUNCTION("""COMPUTED_VALUE"""),"McLaren")</f>
        <v>McLaren</v>
      </c>
      <c r="C73" s="36"/>
      <c r="D73" s="29"/>
      <c r="E73" s="28"/>
      <c r="F73" s="29"/>
      <c r="G73" s="31" t="str">
        <f>IFERROR(__xludf.DUMMYFUNCTION("""COMPUTED_VALUE"""),"Yes")</f>
        <v>Yes</v>
      </c>
      <c r="H73" s="31" t="str">
        <f>IFERROR(__xludf.DUMMYFUNCTION("""COMPUTED_VALUE"""),"Yes")</f>
        <v>Yes</v>
      </c>
      <c r="I73" s="31" t="str">
        <f>IFERROR(__xludf.DUMMYFUNCTION("""COMPUTED_VALUE"""),"Yes")</f>
        <v>Yes</v>
      </c>
      <c r="J73" s="39"/>
      <c r="K73" s="42" t="str">
        <f>IFERROR(__xludf.DUMMYFUNCTION("""COMPUTED_VALUE"""),"NO")</f>
        <v>NO</v>
      </c>
    </row>
    <row r="74" ht="12.75" customHeight="1">
      <c r="A74" s="22"/>
      <c r="B74" s="22" t="str">
        <f>IFERROR(__xludf.DUMMYFUNCTION("""COMPUTED_VALUE"""),"Mizuho")</f>
        <v>Mizuho</v>
      </c>
      <c r="C74" s="37"/>
      <c r="D74" s="29"/>
      <c r="E74" s="24"/>
      <c r="F74" s="29"/>
      <c r="G74" s="31"/>
      <c r="H74" s="31"/>
      <c r="I74" s="31"/>
      <c r="J74" s="26"/>
      <c r="K74" s="42" t="str">
        <f>IFERROR(__xludf.DUMMYFUNCTION("""COMPUTED_VALUE"""),"NO")</f>
        <v>NO</v>
      </c>
    </row>
    <row r="75" ht="12.75" customHeight="1">
      <c r="A75" s="22"/>
      <c r="B75" s="22" t="str">
        <f>IFERROR(__xludf.DUMMYFUNCTION("""COMPUTED_VALUE"""),"TP ICAP")</f>
        <v>TP ICAP</v>
      </c>
      <c r="C75" s="37"/>
      <c r="D75" s="29"/>
      <c r="E75" s="28"/>
      <c r="F75" s="29"/>
      <c r="G75" s="25"/>
      <c r="H75" s="25"/>
      <c r="I75" s="25"/>
      <c r="J75" s="26"/>
      <c r="K75" s="42" t="str">
        <f>IFERROR(__xludf.DUMMYFUNCTION("""COMPUTED_VALUE"""),"NO")</f>
        <v>NO</v>
      </c>
    </row>
    <row r="76" ht="12.75" customHeight="1">
      <c r="A76" s="22"/>
      <c r="B76" s="22" t="str">
        <f>IFERROR(__xludf.DUMMYFUNCTION("""COMPUTED_VALUE"""),"Blackstone")</f>
        <v>Blackstone</v>
      </c>
      <c r="C76" s="37"/>
      <c r="D76" s="29"/>
      <c r="E76" s="28"/>
      <c r="F76" s="29"/>
      <c r="G76" s="25"/>
      <c r="H76" s="25"/>
      <c r="I76" s="25"/>
      <c r="J76" s="26"/>
      <c r="K76" s="42" t="str">
        <f>IFERROR(__xludf.DUMMYFUNCTION("""COMPUTED_VALUE"""),"NO")</f>
        <v>NO</v>
      </c>
    </row>
    <row r="77" ht="12.75" customHeight="1">
      <c r="A77" s="22"/>
      <c r="B77" s="22" t="str">
        <f>IFERROR(__xludf.DUMMYFUNCTION("""COMPUTED_VALUE"""),"MarketAxess")</f>
        <v>MarketAxess</v>
      </c>
      <c r="C77" s="36"/>
      <c r="D77" s="29"/>
      <c r="E77" s="28"/>
      <c r="F77" s="29"/>
      <c r="G77" s="31" t="str">
        <f>IFERROR(__xludf.DUMMYFUNCTION("""COMPUTED_VALUE"""),"Yes")</f>
        <v>Yes</v>
      </c>
      <c r="H77" s="31" t="str">
        <f>IFERROR(__xludf.DUMMYFUNCTION("""COMPUTED_VALUE"""),"Optional")</f>
        <v>Optional</v>
      </c>
      <c r="I77" s="31" t="str">
        <f>IFERROR(__xludf.DUMMYFUNCTION("""COMPUTED_VALUE"""),"No")</f>
        <v>No</v>
      </c>
      <c r="J77" s="26"/>
      <c r="K77" s="42" t="str">
        <f>IFERROR(__xludf.DUMMYFUNCTION("""COMPUTED_VALUE"""),"NO")</f>
        <v>NO</v>
      </c>
    </row>
    <row r="78" ht="12.75" customHeight="1">
      <c r="A78" s="22"/>
      <c r="B78" s="22" t="str">
        <f>IFERROR(__xludf.DUMMYFUNCTION("""COMPUTED_VALUE"""),"FactSet")</f>
        <v>FactSet</v>
      </c>
      <c r="C78" s="36"/>
      <c r="D78" s="29"/>
      <c r="E78" s="28"/>
      <c r="F78" s="29"/>
      <c r="G78" s="31"/>
      <c r="H78" s="31"/>
      <c r="I78" s="31"/>
      <c r="J78" s="26"/>
      <c r="K78" s="42" t="str">
        <f>IFERROR(__xludf.DUMMYFUNCTION("""COMPUTED_VALUE"""),"NO")</f>
        <v>NO</v>
      </c>
    </row>
    <row r="79" ht="12.75" customHeight="1">
      <c r="A79" s="22"/>
      <c r="B79" s="22" t="str">
        <f>IFERROR(__xludf.DUMMYFUNCTION("""COMPUTED_VALUE"""),"Qube RT")</f>
        <v>Qube RT</v>
      </c>
      <c r="C79" s="36"/>
      <c r="D79" s="29"/>
      <c r="E79" s="24"/>
      <c r="F79" s="29"/>
      <c r="G79" s="25" t="str">
        <f>IFERROR(__xludf.DUMMYFUNCTION("""COMPUTED_VALUE"""),"Yes")</f>
        <v>Yes</v>
      </c>
      <c r="H79" s="25" t="str">
        <f>IFERROR(__xludf.DUMMYFUNCTION("""COMPUTED_VALUE"""),"Optional")</f>
        <v>Optional</v>
      </c>
      <c r="I79" s="25" t="str">
        <f>IFERROR(__xludf.DUMMYFUNCTION("""COMPUTED_VALUE"""),"Yes")</f>
        <v>Yes</v>
      </c>
      <c r="J79" s="26"/>
      <c r="K79" s="42" t="str">
        <f>IFERROR(__xludf.DUMMYFUNCTION("""COMPUTED_VALUE"""),"NO")</f>
        <v>NO</v>
      </c>
    </row>
    <row r="80" ht="12.75" customHeight="1">
      <c r="A80" s="22"/>
      <c r="B80" s="22" t="str">
        <f>IFERROR(__xludf.DUMMYFUNCTION("""COMPUTED_VALUE"""),"Cisco")</f>
        <v>Cisco</v>
      </c>
      <c r="C80" s="37"/>
      <c r="D80" s="29"/>
      <c r="E80" s="24"/>
      <c r="F80" s="29"/>
      <c r="G80" s="25"/>
      <c r="H80" s="25"/>
      <c r="I80" s="25"/>
      <c r="J80" s="26"/>
      <c r="K80" s="42" t="str">
        <f>IFERROR(__xludf.DUMMYFUNCTION("""COMPUTED_VALUE"""),"NO")</f>
        <v>NO</v>
      </c>
    </row>
    <row r="81" ht="12.75" customHeight="1">
      <c r="A81" s="22"/>
      <c r="B81" s="22" t="str">
        <f>IFERROR(__xludf.DUMMYFUNCTION("""COMPUTED_VALUE"""),"PA Consulting")</f>
        <v>PA Consulting</v>
      </c>
      <c r="C81" s="36"/>
      <c r="D81" s="29"/>
      <c r="E81" s="28"/>
      <c r="F81" s="29"/>
      <c r="G81" s="31" t="str">
        <f>IFERROR(__xludf.DUMMYFUNCTION("""COMPUTED_VALUE"""),"Yes")</f>
        <v>Yes</v>
      </c>
      <c r="H81" s="31" t="str">
        <f>IFERROR(__xludf.DUMMYFUNCTION("""COMPUTED_VALUE"""),"Optional")</f>
        <v>Optional</v>
      </c>
      <c r="I81" s="31" t="str">
        <f>IFERROR(__xludf.DUMMYFUNCTION("""COMPUTED_VALUE"""),"No")</f>
        <v>No</v>
      </c>
      <c r="J81" s="26"/>
      <c r="K81" s="42" t="str">
        <f>IFERROR(__xludf.DUMMYFUNCTION("""COMPUTED_VALUE"""),"NO")</f>
        <v>NO</v>
      </c>
    </row>
    <row r="82" ht="12.75" customHeight="1">
      <c r="A82" s="22"/>
      <c r="B82" s="22" t="str">
        <f>IFERROR(__xludf.DUMMYFUNCTION("""COMPUTED_VALUE"""),"HME")</f>
        <v>HME</v>
      </c>
      <c r="C82" s="36"/>
      <c r="D82" s="29"/>
      <c r="E82" s="28"/>
      <c r="F82" s="29"/>
      <c r="G82" s="31"/>
      <c r="H82" s="31"/>
      <c r="I82" s="31"/>
      <c r="J82" s="26"/>
      <c r="K82" s="42" t="str">
        <f>IFERROR(__xludf.DUMMYFUNCTION("""COMPUTED_VALUE"""),"NO")</f>
        <v>NO</v>
      </c>
    </row>
    <row r="83" ht="12.75" customHeight="1">
      <c r="A83" s="22"/>
      <c r="B83" s="22" t="str">
        <f>IFERROR(__xludf.DUMMYFUNCTION("""COMPUTED_VALUE"""),"BGC Partners")</f>
        <v>BGC Partners</v>
      </c>
      <c r="C83" s="37"/>
      <c r="D83" s="29"/>
      <c r="E83" s="24"/>
      <c r="F83" s="29"/>
      <c r="G83" s="25"/>
      <c r="H83" s="25"/>
      <c r="I83" s="25"/>
      <c r="J83" s="26" t="str">
        <f>IFERROR(__xludf.DUMMYFUNCTION("""COMPUTED_VALUE"""),"There is another opening for Technology - Infrastructure")</f>
        <v>There is another opening for Technology - Infrastructure</v>
      </c>
      <c r="K83" s="42" t="str">
        <f>IFERROR(__xludf.DUMMYFUNCTION("""COMPUTED_VALUE"""),"NO")</f>
        <v>NO</v>
      </c>
    </row>
    <row r="84" ht="12.75" customHeight="1">
      <c r="A84" s="22"/>
      <c r="B84" s="22" t="str">
        <f>IFERROR(__xludf.DUMMYFUNCTION("""COMPUTED_VALUE"""),"The Trade Desk")</f>
        <v>The Trade Desk</v>
      </c>
      <c r="C84" s="36"/>
      <c r="D84" s="29"/>
      <c r="E84" s="28"/>
      <c r="F84" s="29"/>
      <c r="G84" s="25" t="str">
        <f>IFERROR(__xludf.DUMMYFUNCTION("""COMPUTED_VALUE"""),"Yes")</f>
        <v>Yes</v>
      </c>
      <c r="H84" s="25" t="str">
        <f>IFERROR(__xludf.DUMMYFUNCTION("""COMPUTED_VALUE"""),"No")</f>
        <v>No</v>
      </c>
      <c r="I84" s="25" t="str">
        <f>IFERROR(__xludf.DUMMYFUNCTION("""COMPUTED_VALUE"""),"No")</f>
        <v>No</v>
      </c>
      <c r="J84" s="26"/>
      <c r="K84" s="42" t="str">
        <f>IFERROR(__xludf.DUMMYFUNCTION("""COMPUTED_VALUE"""),"NO")</f>
        <v>NO</v>
      </c>
    </row>
    <row r="85" ht="12.75" customHeight="1">
      <c r="A85" s="22"/>
      <c r="B85" s="22" t="str">
        <f>IFERROR(__xludf.DUMMYFUNCTION("""COMPUTED_VALUE"""),"Frazer-Nash Consultancy")</f>
        <v>Frazer-Nash Consultancy</v>
      </c>
      <c r="C85" s="22"/>
      <c r="D85" s="29"/>
      <c r="E85" s="28"/>
      <c r="F85" s="29"/>
      <c r="G85" s="25" t="str">
        <f>IFERROR(__xludf.DUMMYFUNCTION("""COMPUTED_VALUE"""),"Yes")</f>
        <v>Yes</v>
      </c>
      <c r="H85" s="25" t="str">
        <f>IFERROR(__xludf.DUMMYFUNCTION("""COMPUTED_VALUE"""),"No")</f>
        <v>No</v>
      </c>
      <c r="I85" s="25" t="str">
        <f>IFERROR(__xludf.DUMMYFUNCTION("""COMPUTED_VALUE"""),"Yes")</f>
        <v>Yes</v>
      </c>
      <c r="J85" s="26"/>
      <c r="K85" s="42" t="str">
        <f>IFERROR(__xludf.DUMMYFUNCTION("""COMPUTED_VALUE"""),"NO")</f>
        <v>NO</v>
      </c>
    </row>
    <row r="86" ht="12.75" customHeight="1">
      <c r="A86" s="22"/>
      <c r="B86" s="22" t="str">
        <f>IFERROR(__xludf.DUMMYFUNCTION("""COMPUTED_VALUE"""),"Vanguard")</f>
        <v>Vanguard</v>
      </c>
      <c r="C86" s="37"/>
      <c r="D86" s="29"/>
      <c r="E86" s="24"/>
      <c r="F86" s="29"/>
      <c r="G86" s="25"/>
      <c r="H86" s="25"/>
      <c r="I86" s="25"/>
      <c r="J86" s="26"/>
      <c r="K86" s="42" t="str">
        <f>IFERROR(__xludf.DUMMYFUNCTION("""COMPUTED_VALUE"""),"NO")</f>
        <v>NO</v>
      </c>
    </row>
    <row r="87" ht="12.75" customHeight="1">
      <c r="A87" s="22"/>
      <c r="B87" s="22" t="str">
        <f>IFERROR(__xludf.DUMMYFUNCTION("""COMPUTED_VALUE"""),"QinetiQ")</f>
        <v>QinetiQ</v>
      </c>
      <c r="C87" s="36"/>
      <c r="D87" s="29"/>
      <c r="E87" s="24"/>
      <c r="F87" s="29"/>
      <c r="G87" s="31"/>
      <c r="H87" s="31"/>
      <c r="I87" s="31"/>
      <c r="J87" s="26"/>
      <c r="K87" s="42" t="str">
        <f>IFERROR(__xludf.DUMMYFUNCTION("""COMPUTED_VALUE"""),"NO")</f>
        <v>NO</v>
      </c>
    </row>
    <row r="88" ht="12.75" customHeight="1">
      <c r="A88" s="22"/>
      <c r="B88" s="22" t="str">
        <f>IFERROR(__xludf.DUMMYFUNCTION("""COMPUTED_VALUE"""),"Rolls-Royce")</f>
        <v>Rolls-Royce</v>
      </c>
      <c r="C88" s="37"/>
      <c r="D88" s="29"/>
      <c r="E88" s="24"/>
      <c r="F88" s="29"/>
      <c r="G88" s="31"/>
      <c r="H88" s="31"/>
      <c r="I88" s="31"/>
      <c r="J88" s="26"/>
      <c r="K88" s="42" t="str">
        <f>IFERROR(__xludf.DUMMYFUNCTION("""COMPUTED_VALUE"""),"NO")</f>
        <v>NO</v>
      </c>
    </row>
    <row r="89" ht="12.75" customHeight="1">
      <c r="A89" s="22"/>
      <c r="B89" s="22" t="str">
        <f>IFERROR(__xludf.DUMMYFUNCTION("""COMPUTED_VALUE"""),"Tradeweb")</f>
        <v>Tradeweb</v>
      </c>
      <c r="C89" s="36"/>
      <c r="D89" s="29"/>
      <c r="E89" s="24"/>
      <c r="F89" s="29"/>
      <c r="G89" s="31" t="str">
        <f>IFERROR(__xludf.DUMMYFUNCTION("""COMPUTED_VALUE"""),"Yes")</f>
        <v>Yes</v>
      </c>
      <c r="H89" s="31" t="str">
        <f>IFERROR(__xludf.DUMMYFUNCTION("""COMPUTED_VALUE"""),"Yes")</f>
        <v>Yes</v>
      </c>
      <c r="I89" s="31" t="str">
        <f>IFERROR(__xludf.DUMMYFUNCTION("""COMPUTED_VALUE"""),"No")</f>
        <v>No</v>
      </c>
      <c r="J89" s="26"/>
      <c r="K89" s="42" t="str">
        <f>IFERROR(__xludf.DUMMYFUNCTION("""COMPUTED_VALUE"""),"NO")</f>
        <v>NO</v>
      </c>
    </row>
    <row r="90" ht="12.75" customHeight="1">
      <c r="A90" s="22"/>
      <c r="B90" s="22" t="str">
        <f>IFERROR(__xludf.DUMMYFUNCTION("""COMPUTED_VALUE"""),"TikTok")</f>
        <v>TikTok</v>
      </c>
      <c r="C90" s="37"/>
      <c r="D90" s="29"/>
      <c r="E90" s="24"/>
      <c r="F90" s="29"/>
      <c r="G90" s="31"/>
      <c r="H90" s="31"/>
      <c r="I90" s="31"/>
      <c r="J90" s="26"/>
      <c r="K90" s="42" t="str">
        <f>IFERROR(__xludf.DUMMYFUNCTION("""COMPUTED_VALUE"""),"NO")</f>
        <v>NO</v>
      </c>
    </row>
    <row r="91" ht="12.75" customHeight="1">
      <c r="A91" s="22"/>
      <c r="B91" s="22" t="str">
        <f>IFERROR(__xludf.DUMMYFUNCTION("""COMPUTED_VALUE"""),"Siemens")</f>
        <v>Siemens</v>
      </c>
      <c r="C91" s="37"/>
      <c r="D91" s="29"/>
      <c r="E91" s="24"/>
      <c r="F91" s="29"/>
      <c r="G91" s="25"/>
      <c r="H91" s="25"/>
      <c r="I91" s="25"/>
      <c r="J91" s="26"/>
      <c r="K91" s="42" t="str">
        <f>IFERROR(__xludf.DUMMYFUNCTION("""COMPUTED_VALUE"""),"NO")</f>
        <v>NO</v>
      </c>
    </row>
    <row r="92" ht="12.75" customHeight="1">
      <c r="A92" s="22"/>
      <c r="B92" s="22" t="str">
        <f>IFERROR(__xludf.DUMMYFUNCTION("""COMPUTED_VALUE"""),"UK Atomic Energy Authority")</f>
        <v>UK Atomic Energy Authority</v>
      </c>
      <c r="C92" s="37"/>
      <c r="D92" s="29"/>
      <c r="E92" s="24"/>
      <c r="F92" s="29"/>
      <c r="G92" s="25" t="str">
        <f>IFERROR(__xludf.DUMMYFUNCTION("""COMPUTED_VALUE"""),"Yes")</f>
        <v>Yes</v>
      </c>
      <c r="H92" s="31" t="str">
        <f>IFERROR(__xludf.DUMMYFUNCTION("""COMPUTED_VALUE"""),"No")</f>
        <v>No</v>
      </c>
      <c r="I92" s="31" t="str">
        <f>IFERROR(__xludf.DUMMYFUNCTION("""COMPUTED_VALUE"""),"Yes")</f>
        <v>Yes</v>
      </c>
      <c r="J92" s="26"/>
      <c r="K92" s="42" t="str">
        <f>IFERROR(__xludf.DUMMYFUNCTION("""COMPUTED_VALUE"""),"NO")</f>
        <v>NO</v>
      </c>
    </row>
    <row r="93" ht="12.75" customHeight="1">
      <c r="A93" s="22"/>
      <c r="B93" s="22" t="str">
        <f>IFERROR(__xludf.DUMMYFUNCTION("""COMPUTED_VALUE"""),"BT")</f>
        <v>BT</v>
      </c>
      <c r="C93" s="36"/>
      <c r="D93" s="29"/>
      <c r="E93" s="24"/>
      <c r="F93" s="29"/>
      <c r="G93" s="31"/>
      <c r="H93" s="31"/>
      <c r="I93" s="31"/>
      <c r="J93" s="26"/>
      <c r="K93" s="42" t="str">
        <f>IFERROR(__xludf.DUMMYFUNCTION("""COMPUTED_VALUE"""),"NO")</f>
        <v>NO</v>
      </c>
    </row>
    <row r="94" ht="12.75" customHeight="1">
      <c r="A94" s="22"/>
      <c r="B94" s="22" t="str">
        <f>IFERROR(__xludf.DUMMYFUNCTION("""COMPUTED_VALUE"""),"Jefferies")</f>
        <v>Jefferies</v>
      </c>
      <c r="C94" s="36"/>
      <c r="D94" s="29"/>
      <c r="E94" s="24"/>
      <c r="F94" s="29"/>
      <c r="G94" s="25" t="str">
        <f>IFERROR(__xludf.DUMMYFUNCTION("""COMPUTED_VALUE"""),"Yes")</f>
        <v>Yes</v>
      </c>
      <c r="H94" s="25" t="str">
        <f>IFERROR(__xludf.DUMMYFUNCTION("""COMPUTED_VALUE"""),"No")</f>
        <v>No</v>
      </c>
      <c r="I94" s="25" t="str">
        <f>IFERROR(__xludf.DUMMYFUNCTION("""COMPUTED_VALUE"""),"Yes")</f>
        <v>Yes</v>
      </c>
      <c r="J94" s="26"/>
      <c r="K94" s="42" t="str">
        <f>IFERROR(__xludf.DUMMYFUNCTION("""COMPUTED_VALUE"""),"NO")</f>
        <v>NO</v>
      </c>
    </row>
    <row r="95" ht="12.75" customHeight="1">
      <c r="A95" s="22"/>
      <c r="B95" s="22" t="str">
        <f>IFERROR(__xludf.DUMMYFUNCTION("""COMPUTED_VALUE"""),"Graphcore")</f>
        <v>Graphcore</v>
      </c>
      <c r="C95" s="37"/>
      <c r="D95" s="29"/>
      <c r="E95" s="24"/>
      <c r="F95" s="29"/>
      <c r="G95" s="25" t="str">
        <f>IFERROR(__xludf.DUMMYFUNCTION("""COMPUTED_VALUE"""),"Yes")</f>
        <v>Yes</v>
      </c>
      <c r="H95" s="25" t="str">
        <f>IFERROR(__xludf.DUMMYFUNCTION("""COMPUTED_VALUE"""),"Yes")</f>
        <v>Yes</v>
      </c>
      <c r="I95" s="25" t="str">
        <f>IFERROR(__xludf.DUMMYFUNCTION("""COMPUTED_VALUE"""),"No")</f>
        <v>No</v>
      </c>
      <c r="J95" s="26"/>
      <c r="K95" s="42" t="str">
        <f>IFERROR(__xludf.DUMMYFUNCTION("""COMPUTED_VALUE"""),"NO")</f>
        <v>NO</v>
      </c>
    </row>
    <row r="96" ht="12.75" customHeight="1">
      <c r="A96" s="22"/>
      <c r="B96" s="22" t="str">
        <f>IFERROR(__xludf.DUMMYFUNCTION("""COMPUTED_VALUE"""),"Renishaw")</f>
        <v>Renishaw</v>
      </c>
      <c r="C96" s="37"/>
      <c r="D96" s="29"/>
      <c r="E96" s="24"/>
      <c r="F96" s="29"/>
      <c r="G96" s="25"/>
      <c r="H96" s="25"/>
      <c r="I96" s="25"/>
      <c r="J96" s="26"/>
      <c r="K96" s="42" t="str">
        <f>IFERROR(__xludf.DUMMYFUNCTION("""COMPUTED_VALUE"""),"NO")</f>
        <v>NO</v>
      </c>
    </row>
    <row r="97" ht="12.75" customHeight="1">
      <c r="A97" s="22"/>
      <c r="B97" s="22" t="str">
        <f>IFERROR(__xludf.DUMMYFUNCTION("""COMPUTED_VALUE"""),"Crédit Agricole")</f>
        <v>Crédit Agricole</v>
      </c>
      <c r="C97" s="36"/>
      <c r="D97" s="29"/>
      <c r="E97" s="24"/>
      <c r="F97" s="29"/>
      <c r="G97" s="25"/>
      <c r="H97" s="25"/>
      <c r="I97" s="25"/>
      <c r="J97" s="26"/>
      <c r="K97" s="42" t="str">
        <f>IFERROR(__xludf.DUMMYFUNCTION("""COMPUTED_VALUE"""),"NO")</f>
        <v>NO</v>
      </c>
    </row>
    <row r="98" ht="12.75" customHeight="1">
      <c r="A98" s="22"/>
      <c r="B98" s="22" t="str">
        <f>IFERROR(__xludf.DUMMYFUNCTION("""COMPUTED_VALUE"""),"Jacobs")</f>
        <v>Jacobs</v>
      </c>
      <c r="C98" s="37"/>
      <c r="D98" s="29"/>
      <c r="E98" s="24"/>
      <c r="F98" s="29"/>
      <c r="G98" s="25"/>
      <c r="H98" s="25"/>
      <c r="I98" s="25"/>
      <c r="J98" s="26"/>
      <c r="K98" s="42" t="str">
        <f>IFERROR(__xludf.DUMMYFUNCTION("""COMPUTED_VALUE"""),"NO")</f>
        <v>NO</v>
      </c>
    </row>
    <row r="99" ht="12.75" customHeight="1">
      <c r="A99" s="22"/>
      <c r="B99" s="22" t="str">
        <f>IFERROR(__xludf.DUMMYFUNCTION("""COMPUTED_VALUE"""),"King")</f>
        <v>King</v>
      </c>
      <c r="C99" s="37"/>
      <c r="D99" s="29"/>
      <c r="E99" s="24"/>
      <c r="F99" s="29"/>
      <c r="G99" s="31"/>
      <c r="H99" s="31"/>
      <c r="I99" s="31"/>
      <c r="J99" s="26"/>
      <c r="K99" s="42" t="str">
        <f>IFERROR(__xludf.DUMMYFUNCTION("""COMPUTED_VALUE"""),"NO")</f>
        <v>NO</v>
      </c>
    </row>
    <row r="100" ht="12.75" customHeight="1">
      <c r="A100" s="22"/>
      <c r="B100" s="22" t="str">
        <f>IFERROR(__xludf.DUMMYFUNCTION("""COMPUTED_VALUE"""),"Five AI")</f>
        <v>Five AI</v>
      </c>
      <c r="C100" s="36"/>
      <c r="D100" s="29"/>
      <c r="E100" s="24"/>
      <c r="F100" s="29"/>
      <c r="G100" s="25" t="str">
        <f>IFERROR(__xludf.DUMMYFUNCTION("""COMPUTED_VALUE"""),"Yes")</f>
        <v>Yes</v>
      </c>
      <c r="H100" s="25" t="str">
        <f>IFERROR(__xludf.DUMMYFUNCTION("""COMPUTED_VALUE"""),"Optional")</f>
        <v>Optional</v>
      </c>
      <c r="I100" s="25" t="str">
        <f>IFERROR(__xludf.DUMMYFUNCTION("""COMPUTED_VALUE"""),"No")</f>
        <v>No</v>
      </c>
      <c r="J100" s="26"/>
      <c r="K100" s="42" t="str">
        <f>IFERROR(__xludf.DUMMYFUNCTION("""COMPUTED_VALUE"""),"NO")</f>
        <v>NO</v>
      </c>
    </row>
    <row r="101" ht="12.75" customHeight="1">
      <c r="A101" s="22"/>
      <c r="B101" s="22" t="str">
        <f>IFERROR(__xludf.DUMMYFUNCTION("""COMPUTED_VALUE"""),"Verisk")</f>
        <v>Verisk</v>
      </c>
      <c r="C101" s="36"/>
      <c r="D101" s="29"/>
      <c r="E101" s="24"/>
      <c r="F101" s="29"/>
      <c r="G101" s="25" t="str">
        <f>IFERROR(__xludf.DUMMYFUNCTION("""COMPUTED_VALUE"""),"Yes")</f>
        <v>Yes</v>
      </c>
      <c r="H101" s="25"/>
      <c r="I101" s="25"/>
      <c r="J101" s="26"/>
      <c r="K101" s="42" t="str">
        <f>IFERROR(__xludf.DUMMYFUNCTION("""COMPUTED_VALUE"""),"NO")</f>
        <v>NO</v>
      </c>
    </row>
    <row r="102" ht="12.75" customHeight="1">
      <c r="A102" s="22"/>
      <c r="B102" s="22" t="str">
        <f>IFERROR(__xludf.DUMMYFUNCTION("""COMPUTED_VALUE"""),"Ripple")</f>
        <v>Ripple</v>
      </c>
      <c r="C102" s="36"/>
      <c r="D102" s="29"/>
      <c r="E102" s="24"/>
      <c r="F102" s="29"/>
      <c r="G102" s="31"/>
      <c r="H102" s="31"/>
      <c r="I102" s="31"/>
      <c r="J102" s="26"/>
      <c r="K102" s="42" t="str">
        <f>IFERROR(__xludf.DUMMYFUNCTION("""COMPUTED_VALUE"""),"NO")</f>
        <v>NO</v>
      </c>
    </row>
    <row r="103" ht="12.75" customHeight="1">
      <c r="A103" s="22"/>
      <c r="B103" s="22" t="str">
        <f>IFERROR(__xludf.DUMMYFUNCTION("""COMPUTED_VALUE"""),"Speechmatics")</f>
        <v>Speechmatics</v>
      </c>
      <c r="C103" s="36"/>
      <c r="D103" s="29"/>
      <c r="E103" s="24"/>
      <c r="F103" s="29"/>
      <c r="G103" s="31" t="str">
        <f>IFERROR(__xludf.DUMMYFUNCTION("""COMPUTED_VALUE"""),"Yes")</f>
        <v>Yes</v>
      </c>
      <c r="H103" s="31" t="str">
        <f>IFERROR(__xludf.DUMMYFUNCTION("""COMPUTED_VALUE"""),"Optional")</f>
        <v>Optional</v>
      </c>
      <c r="I103" s="31" t="str">
        <f>IFERROR(__xludf.DUMMYFUNCTION("""COMPUTED_VALUE"""),"No")</f>
        <v>No</v>
      </c>
      <c r="J103" s="26"/>
      <c r="K103" s="42" t="str">
        <f>IFERROR(__xludf.DUMMYFUNCTION("""COMPUTED_VALUE"""),"NO")</f>
        <v>NO</v>
      </c>
    </row>
    <row r="104" ht="12.75" customHeight="1">
      <c r="A104" s="22"/>
      <c r="B104" s="22" t="str">
        <f>IFERROR(__xludf.DUMMYFUNCTION("""COMPUTED_VALUE"""),"NXP Semiconductors")</f>
        <v>NXP Semiconductors</v>
      </c>
      <c r="C104" s="36"/>
      <c r="D104" s="29"/>
      <c r="E104" s="24"/>
      <c r="F104" s="29"/>
      <c r="G104" s="25"/>
      <c r="H104" s="31"/>
      <c r="I104" s="31"/>
      <c r="J104" s="26"/>
      <c r="K104" s="42" t="str">
        <f>IFERROR(__xludf.DUMMYFUNCTION("""COMPUTED_VALUE"""),"NO")</f>
        <v>NO</v>
      </c>
    </row>
    <row r="105" ht="12.75" customHeight="1">
      <c r="A105" s="22"/>
      <c r="B105" s="22" t="str">
        <f>IFERROR(__xludf.DUMMYFUNCTION("""COMPUTED_VALUE"""),"Mastercard")</f>
        <v>Mastercard</v>
      </c>
      <c r="C105" s="36"/>
      <c r="D105" s="29"/>
      <c r="E105" s="24"/>
      <c r="F105" s="29"/>
      <c r="G105" s="25" t="str">
        <f>IFERROR(__xludf.DUMMYFUNCTION("""COMPUTED_VALUE"""),"Yes")</f>
        <v>Yes</v>
      </c>
      <c r="H105" s="31"/>
      <c r="I105" s="31"/>
      <c r="J105" s="26"/>
      <c r="K105" s="42" t="str">
        <f>IFERROR(__xludf.DUMMYFUNCTION("""COMPUTED_VALUE"""),"NO")</f>
        <v>NO</v>
      </c>
    </row>
    <row r="106" ht="12.75" customHeight="1">
      <c r="A106" s="22"/>
      <c r="B106" s="22" t="str">
        <f>IFERROR(__xludf.DUMMYFUNCTION("""COMPUTED_VALUE"""),"HP")</f>
        <v>HP</v>
      </c>
      <c r="C106" s="36"/>
      <c r="D106" s="29"/>
      <c r="E106" s="24"/>
      <c r="F106" s="29"/>
      <c r="G106" s="31"/>
      <c r="H106" s="31"/>
      <c r="I106" s="31"/>
      <c r="J106" s="26"/>
      <c r="K106" s="42" t="str">
        <f>IFERROR(__xludf.DUMMYFUNCTION("""COMPUTED_VALUE"""),"NO")</f>
        <v>NO</v>
      </c>
    </row>
    <row r="107" ht="12.75" customHeight="1">
      <c r="A107" s="22"/>
      <c r="B107" s="22" t="str">
        <f>IFERROR(__xludf.DUMMYFUNCTION("""COMPUTED_VALUE"""),"Quantcast")</f>
        <v>Quantcast</v>
      </c>
      <c r="C107" s="36"/>
      <c r="D107" s="29"/>
      <c r="E107" s="24"/>
      <c r="F107" s="29"/>
      <c r="G107" s="31" t="str">
        <f>IFERROR(__xludf.DUMMYFUNCTION("""COMPUTED_VALUE"""),"Yes")</f>
        <v>Yes</v>
      </c>
      <c r="H107" s="31" t="str">
        <f>IFERROR(__xludf.DUMMYFUNCTION("""COMPUTED_VALUE"""),"Optional")</f>
        <v>Optional</v>
      </c>
      <c r="I107" s="31" t="str">
        <f>IFERROR(__xludf.DUMMYFUNCTION("""COMPUTED_VALUE"""),"No")</f>
        <v>No</v>
      </c>
      <c r="J107" s="26"/>
      <c r="K107" s="42" t="str">
        <f>IFERROR(__xludf.DUMMYFUNCTION("""COMPUTED_VALUE"""),"NO")</f>
        <v>NO</v>
      </c>
    </row>
    <row r="108" ht="12.75" customHeight="1">
      <c r="A108" s="22"/>
      <c r="B108" s="22" t="str">
        <f>IFERROR(__xludf.DUMMYFUNCTION("""COMPUTED_VALUE"""),"PIMCO")</f>
        <v>PIMCO</v>
      </c>
      <c r="C108" s="37"/>
      <c r="D108" s="29"/>
      <c r="E108" s="24"/>
      <c r="F108" s="29"/>
      <c r="G108" s="31"/>
      <c r="H108" s="31"/>
      <c r="I108" s="31"/>
      <c r="J108" s="39"/>
      <c r="K108" s="42" t="str">
        <f>IFERROR(__xludf.DUMMYFUNCTION("""COMPUTED_VALUE"""),"NO")</f>
        <v>NO</v>
      </c>
    </row>
    <row r="109" ht="12.75" customHeight="1">
      <c r="A109" s="22"/>
      <c r="B109" s="22" t="str">
        <f>IFERROR(__xludf.DUMMYFUNCTION("""COMPUTED_VALUE"""),"TE Connectivity")</f>
        <v>TE Connectivity</v>
      </c>
      <c r="C109" s="36"/>
      <c r="D109" s="29"/>
      <c r="E109" s="24"/>
      <c r="F109" s="29"/>
      <c r="G109" s="31"/>
      <c r="H109" s="31"/>
      <c r="I109" s="31"/>
      <c r="J109" s="39"/>
      <c r="K109" s="42" t="str">
        <f>IFERROR(__xludf.DUMMYFUNCTION("""COMPUTED_VALUE"""),"NO")</f>
        <v>NO</v>
      </c>
    </row>
    <row r="110" ht="12.75" customHeight="1">
      <c r="A110" s="22"/>
      <c r="B110" s="22" t="str">
        <f>IFERROR(__xludf.DUMMYFUNCTION("""COMPUTED_VALUE"""),"FSP")</f>
        <v>FSP</v>
      </c>
      <c r="C110" s="37"/>
      <c r="D110" s="29"/>
      <c r="E110" s="24"/>
      <c r="F110" s="29"/>
      <c r="G110" s="31" t="str">
        <f>IFERROR(__xludf.DUMMYFUNCTION("""COMPUTED_VALUE"""),"Yes")</f>
        <v>Yes</v>
      </c>
      <c r="H110" s="31" t="str">
        <f>IFERROR(__xludf.DUMMYFUNCTION("""COMPUTED_VALUE"""),"Yes")</f>
        <v>Yes</v>
      </c>
      <c r="I110" s="31" t="str">
        <f>IFERROR(__xludf.DUMMYFUNCTION("""COMPUTED_VALUE"""),"No")</f>
        <v>No</v>
      </c>
      <c r="J110" s="26"/>
      <c r="K110" s="42" t="str">
        <f>IFERROR(__xludf.DUMMYFUNCTION("""COMPUTED_VALUE"""),"NO")</f>
        <v>NO</v>
      </c>
    </row>
    <row r="111" ht="12.75" customHeight="1">
      <c r="A111" s="22"/>
      <c r="B111" s="22" t="str">
        <f>IFERROR(__xludf.DUMMYFUNCTION("""COMPUTED_VALUE"""),"Centrica")</f>
        <v>Centrica</v>
      </c>
      <c r="C111" s="36"/>
      <c r="D111" s="29"/>
      <c r="E111" s="24"/>
      <c r="F111" s="29"/>
      <c r="G111" s="31"/>
      <c r="H111" s="31"/>
      <c r="I111" s="31"/>
      <c r="J111" s="26"/>
      <c r="K111" s="42" t="str">
        <f>IFERROR(__xludf.DUMMYFUNCTION("""COMPUTED_VALUE"""),"NO")</f>
        <v>NO</v>
      </c>
    </row>
    <row r="112" ht="12.75" customHeight="1">
      <c r="A112" s="22"/>
      <c r="B112" s="22" t="str">
        <f>IFERROR(__xludf.DUMMYFUNCTION("""COMPUTED_VALUE"""),"Caxton Associates")</f>
        <v>Caxton Associates</v>
      </c>
      <c r="C112" s="37"/>
      <c r="D112" s="29"/>
      <c r="E112" s="24"/>
      <c r="F112" s="29"/>
      <c r="G112" s="31"/>
      <c r="H112" s="31"/>
      <c r="I112" s="31"/>
      <c r="J112" s="26"/>
      <c r="K112" s="42" t="str">
        <f>IFERROR(__xludf.DUMMYFUNCTION("""COMPUTED_VALUE"""),"NO")</f>
        <v>NO</v>
      </c>
    </row>
    <row r="113" ht="12.75" customHeight="1">
      <c r="A113" s="22"/>
      <c r="B113" s="22" t="str">
        <f>IFERROR(__xludf.DUMMYFUNCTION("""COMPUTED_VALUE"""),"S&amp;P Global")</f>
        <v>S&amp;P Global</v>
      </c>
      <c r="C113" s="25"/>
      <c r="D113" s="35"/>
      <c r="E113" s="28"/>
      <c r="F113" s="35"/>
      <c r="G113" s="31"/>
      <c r="H113" s="31"/>
      <c r="I113" s="31"/>
      <c r="J113" s="26"/>
      <c r="K113" s="42" t="str">
        <f>IFERROR(__xludf.DUMMYFUNCTION("""COMPUTED_VALUE"""),"NO")</f>
        <v>NO</v>
      </c>
    </row>
    <row r="114" ht="12.75" customHeight="1">
      <c r="A114" s="22"/>
      <c r="B114" s="22" t="str">
        <f>IFERROR(__xludf.DUMMYFUNCTION("""COMPUTED_VALUE"""),"ICBC Standard Bank")</f>
        <v>ICBC Standard Bank</v>
      </c>
      <c r="C114" s="31"/>
      <c r="D114" s="35"/>
      <c r="E114" s="28"/>
      <c r="F114" s="35"/>
      <c r="G114" s="31" t="str">
        <f>IFERROR(__xludf.DUMMYFUNCTION("""COMPUTED_VALUE"""),"Yes")</f>
        <v>Yes</v>
      </c>
      <c r="H114" s="31"/>
      <c r="I114" s="31"/>
      <c r="J114" s="26"/>
      <c r="K114" s="42" t="str">
        <f>IFERROR(__xludf.DUMMYFUNCTION("""COMPUTED_VALUE"""),"NO")</f>
        <v>NO</v>
      </c>
    </row>
    <row r="115" ht="12.75" customHeight="1">
      <c r="A115" s="22"/>
      <c r="B115" s="22" t="str">
        <f>IFERROR(__xludf.DUMMYFUNCTION("""COMPUTED_VALUE"""),"Thales")</f>
        <v>Thales</v>
      </c>
      <c r="C115" s="25"/>
      <c r="D115" s="35"/>
      <c r="E115" s="28"/>
      <c r="F115" s="35"/>
      <c r="G115" s="31"/>
      <c r="H115" s="31"/>
      <c r="I115" s="31"/>
      <c r="J115" s="26"/>
      <c r="K115" s="42" t="str">
        <f>IFERROR(__xludf.DUMMYFUNCTION("""COMPUTED_VALUE"""),"NO")</f>
        <v>NO</v>
      </c>
    </row>
    <row r="116" ht="12.75" customHeight="1">
      <c r="A116" s="22"/>
      <c r="B116" s="22" t="str">
        <f>IFERROR(__xludf.DUMMYFUNCTION("""COMPUTED_VALUE"""),"Hiscox")</f>
        <v>Hiscox</v>
      </c>
      <c r="C116" s="31"/>
      <c r="D116" s="35"/>
      <c r="E116" s="28"/>
      <c r="F116" s="35"/>
      <c r="G116" s="31"/>
      <c r="H116" s="31"/>
      <c r="I116" s="31"/>
      <c r="J116" s="26"/>
      <c r="K116" s="42" t="str">
        <f>IFERROR(__xludf.DUMMYFUNCTION("""COMPUTED_VALUE"""),"NO")</f>
        <v>NO</v>
      </c>
    </row>
    <row r="117" ht="12.75" customHeight="1">
      <c r="A117" s="22"/>
      <c r="B117" s="22" t="str">
        <f>IFERROR(__xludf.DUMMYFUNCTION("""COMPUTED_VALUE"""),"PredictX")</f>
        <v>PredictX</v>
      </c>
      <c r="C117" s="25"/>
      <c r="D117" s="35"/>
      <c r="E117" s="28"/>
      <c r="F117" s="35"/>
      <c r="G117" s="31"/>
      <c r="H117" s="31"/>
      <c r="I117" s="31"/>
      <c r="J117" s="26"/>
      <c r="K117" s="42" t="str">
        <f>IFERROR(__xludf.DUMMYFUNCTION("""COMPUTED_VALUE"""),"NO")</f>
        <v>NO</v>
      </c>
    </row>
    <row r="118" ht="12.75" customHeight="1">
      <c r="A118" s="22"/>
      <c r="B118" s="22" t="str">
        <f>IFERROR(__xludf.DUMMYFUNCTION("""COMPUTED_VALUE"""),"Cboe Global Markets")</f>
        <v>Cboe Global Markets</v>
      </c>
      <c r="C118" s="31"/>
      <c r="D118" s="35"/>
      <c r="E118" s="28"/>
      <c r="F118" s="35"/>
      <c r="G118" s="31"/>
      <c r="H118" s="31"/>
      <c r="I118" s="31"/>
      <c r="J118" s="26" t="str">
        <f>IFERROR(__xludf.DUMMYFUNCTION("""COMPUTED_VALUE"""),"Web Software / C++ / Data Pipeline")</f>
        <v>Web Software / C++ / Data Pipeline</v>
      </c>
      <c r="K118" s="42" t="str">
        <f>IFERROR(__xludf.DUMMYFUNCTION("""COMPUTED_VALUE"""),"NO")</f>
        <v>NO</v>
      </c>
    </row>
    <row r="119" ht="12.75" customHeight="1">
      <c r="A119" s="22"/>
      <c r="B119" s="22" t="str">
        <f>IFERROR(__xludf.DUMMYFUNCTION("""COMPUTED_VALUE"""),"Spotify")</f>
        <v>Spotify</v>
      </c>
      <c r="C119" s="31"/>
      <c r="D119" s="35"/>
      <c r="E119" s="28"/>
      <c r="F119" s="35"/>
      <c r="G119" s="31"/>
      <c r="H119" s="31"/>
      <c r="I119" s="31"/>
      <c r="J119" s="26"/>
      <c r="K119" s="42" t="str">
        <f>IFERROR(__xludf.DUMMYFUNCTION("""COMPUTED_VALUE"""),"NO")</f>
        <v>NO</v>
      </c>
    </row>
    <row r="120" ht="12.75" customHeight="1">
      <c r="A120" s="22"/>
      <c r="B120" s="22" t="str">
        <f>IFERROR(__xludf.DUMMYFUNCTION("""COMPUTED_VALUE"""),"KPMG")</f>
        <v>KPMG</v>
      </c>
      <c r="C120" s="31"/>
      <c r="D120" s="35"/>
      <c r="E120" s="28"/>
      <c r="F120" s="35"/>
      <c r="G120" s="31"/>
      <c r="H120" s="31"/>
      <c r="I120" s="31"/>
      <c r="J120" s="26"/>
      <c r="K120" s="42" t="str">
        <f>IFERROR(__xludf.DUMMYFUNCTION("""COMPUTED_VALUE"""),"NO")</f>
        <v>NO</v>
      </c>
    </row>
    <row r="121" ht="12.75" customHeight="1">
      <c r="A121" s="22"/>
      <c r="B121" s="22" t="str">
        <f>IFERROR(__xludf.DUMMYFUNCTION("""COMPUTED_VALUE"""),"Scotiabank")</f>
        <v>Scotiabank</v>
      </c>
      <c r="C121" s="31"/>
      <c r="D121" s="35"/>
      <c r="E121" s="28"/>
      <c r="F121" s="35"/>
      <c r="G121" s="31"/>
      <c r="H121" s="31"/>
      <c r="I121" s="31"/>
      <c r="J121" s="26"/>
      <c r="K121" s="42" t="str">
        <f>IFERROR(__xludf.DUMMYFUNCTION("""COMPUTED_VALUE"""),"NO")</f>
        <v>NO</v>
      </c>
    </row>
    <row r="122" ht="12.75" customHeight="1">
      <c r="A122" s="22"/>
      <c r="B122" s="22" t="str">
        <f>IFERROR(__xludf.DUMMYFUNCTION("""COMPUTED_VALUE"""),"The Walt Disney Company")</f>
        <v>The Walt Disney Company</v>
      </c>
      <c r="C122" s="31"/>
      <c r="D122" s="35"/>
      <c r="E122" s="28"/>
      <c r="F122" s="35"/>
      <c r="G122" s="31"/>
      <c r="H122" s="31"/>
      <c r="I122" s="31"/>
      <c r="J122" s="26"/>
      <c r="K122" s="42" t="str">
        <f>IFERROR(__xludf.DUMMYFUNCTION("""COMPUTED_VALUE"""),"NO")</f>
        <v>NO</v>
      </c>
    </row>
    <row r="123" ht="12.75" customHeight="1">
      <c r="A123" s="22"/>
      <c r="B123" s="22" t="str">
        <f>IFERROR(__xludf.DUMMYFUNCTION("""COMPUTED_VALUE"""),"SLB")</f>
        <v>SLB</v>
      </c>
      <c r="C123" s="31"/>
      <c r="D123" s="35"/>
      <c r="E123" s="28"/>
      <c r="F123" s="35"/>
      <c r="G123" s="31"/>
      <c r="H123" s="31"/>
      <c r="I123" s="31"/>
      <c r="J123" s="26"/>
      <c r="K123" s="42" t="str">
        <f>IFERROR(__xludf.DUMMYFUNCTION("""COMPUTED_VALUE"""),"NO")</f>
        <v>NO</v>
      </c>
    </row>
    <row r="124" ht="12.75" customHeight="1">
      <c r="A124" s="22"/>
      <c r="B124" s="22" t="str">
        <f>IFERROR(__xludf.DUMMYFUNCTION("""COMPUTED_VALUE"""),"Google")</f>
        <v>Google</v>
      </c>
      <c r="C124" s="31"/>
      <c r="D124" s="35"/>
      <c r="E124" s="28"/>
      <c r="F124" s="35"/>
      <c r="G124" s="31"/>
      <c r="H124" s="31"/>
      <c r="I124" s="31"/>
      <c r="J124" s="26"/>
      <c r="K124" s="42" t="str">
        <f>IFERROR(__xludf.DUMMYFUNCTION("""COMPUTED_VALUE"""),"NO")</f>
        <v>NO</v>
      </c>
    </row>
    <row r="125" ht="12.75" customHeight="1">
      <c r="A125" s="22"/>
      <c r="B125" s="22" t="str">
        <f>IFERROR(__xludf.DUMMYFUNCTION("""COMPUTED_VALUE"""),"Microsoft")</f>
        <v>Microsoft</v>
      </c>
      <c r="C125" s="31"/>
      <c r="D125" s="35"/>
      <c r="E125" s="28"/>
      <c r="F125" s="35"/>
      <c r="G125" s="31"/>
      <c r="H125" s="31"/>
      <c r="I125" s="31"/>
      <c r="J125" s="26"/>
      <c r="K125" s="42" t="str">
        <f>IFERROR(__xludf.DUMMYFUNCTION("""COMPUTED_VALUE"""),"NO")</f>
        <v>NO</v>
      </c>
    </row>
    <row r="126" ht="12.75" customHeight="1">
      <c r="A126" s="22"/>
      <c r="B126" s="22" t="str">
        <f>IFERROR(__xludf.DUMMYFUNCTION("""COMPUTED_VALUE"""),"Netflix")</f>
        <v>Netflix</v>
      </c>
      <c r="C126" s="31"/>
      <c r="D126" s="35"/>
      <c r="E126" s="28"/>
      <c r="F126" s="35"/>
      <c r="G126" s="31"/>
      <c r="H126" s="31"/>
      <c r="I126" s="31"/>
      <c r="J126" s="26"/>
      <c r="K126" s="42" t="str">
        <f>IFERROR(__xludf.DUMMYFUNCTION("""COMPUTED_VALUE"""),"NO")</f>
        <v>NO</v>
      </c>
    </row>
    <row r="127" ht="12.75" customHeight="1">
      <c r="A127" s="22"/>
      <c r="B127" s="22" t="str">
        <f>IFERROR(__xludf.DUMMYFUNCTION("""COMPUTED_VALUE"""),"Facebook")</f>
        <v>Facebook</v>
      </c>
      <c r="C127" s="31"/>
      <c r="D127" s="35"/>
      <c r="E127" s="28"/>
      <c r="F127" s="35"/>
      <c r="G127" s="31"/>
      <c r="H127" s="31"/>
      <c r="I127" s="31"/>
      <c r="J127" s="26"/>
      <c r="K127" s="42" t="str">
        <f>IFERROR(__xludf.DUMMYFUNCTION("""COMPUTED_VALUE"""),"NO")</f>
        <v>NO</v>
      </c>
    </row>
    <row r="128" ht="12.75" customHeight="1">
      <c r="A128" s="22"/>
      <c r="B128" s="22" t="str">
        <f>IFERROR(__xludf.DUMMYFUNCTION("""COMPUTED_VALUE"""),"Ocado")</f>
        <v>Ocado</v>
      </c>
      <c r="C128" s="42"/>
      <c r="D128" s="42"/>
      <c r="E128" s="42"/>
      <c r="F128" s="42"/>
      <c r="G128" s="42"/>
      <c r="H128" s="42"/>
      <c r="I128" s="42"/>
      <c r="J128" s="42"/>
      <c r="K128" s="42" t="str">
        <f>IFERROR(__xludf.DUMMYFUNCTION("""COMPUTED_VALUE"""),"NO")</f>
        <v>NO</v>
      </c>
    </row>
    <row r="129" ht="12.75" customHeight="1">
      <c r="A129" s="22"/>
      <c r="B129" s="22" t="str">
        <f>IFERROR(__xludf.DUMMYFUNCTION("""COMPUTED_VALUE"""),"Angstrom Sports")</f>
        <v>Angstrom Sports</v>
      </c>
      <c r="C129" s="42"/>
      <c r="D129" s="42"/>
      <c r="E129" s="42"/>
      <c r="F129" s="42"/>
      <c r="G129" s="42"/>
      <c r="H129" s="42"/>
      <c r="I129" s="42"/>
      <c r="J129" s="42"/>
      <c r="K129" s="42" t="str">
        <f>IFERROR(__xludf.DUMMYFUNCTION("""COMPUTED_VALUE"""),"NO")</f>
        <v>NO</v>
      </c>
    </row>
    <row r="130" ht="12.75" customHeight="1">
      <c r="A130" s="42"/>
      <c r="B130" s="44" t="str">
        <f>IFERROR(__xludf.DUMMYFUNCTION("""COMPUTED_VALUE"""),"Bloomberg")</f>
        <v>Bloomberg</v>
      </c>
      <c r="C130" s="42"/>
      <c r="D130" s="42"/>
      <c r="E130" s="42"/>
      <c r="F130" s="42"/>
      <c r="G130" s="42"/>
      <c r="H130" s="42"/>
      <c r="I130" s="42"/>
      <c r="J130" s="42"/>
      <c r="K130" s="42" t="str">
        <f>IFERROR(__xludf.DUMMYFUNCTION("""COMPUTED_VALUE"""),"NO")</f>
        <v>NO</v>
      </c>
    </row>
    <row r="131" ht="12.75" customHeight="1">
      <c r="A131" s="42"/>
      <c r="B131" s="44" t="str">
        <f>IFERROR(__xludf.DUMMYFUNCTION("""COMPUTED_VALUE"""),"Apple")</f>
        <v>Apple</v>
      </c>
      <c r="C131" s="42"/>
      <c r="D131" s="42"/>
      <c r="E131" s="42"/>
      <c r="F131" s="42"/>
      <c r="G131" s="42"/>
      <c r="H131" s="42"/>
      <c r="I131" s="42"/>
      <c r="J131" s="42"/>
      <c r="K131" s="42" t="str">
        <f>IFERROR(__xludf.DUMMYFUNCTION("""COMPUTED_VALUE"""),"NO")</f>
        <v>NO</v>
      </c>
    </row>
    <row r="132" ht="12.75" customHeight="1">
      <c r="A132" s="42"/>
      <c r="B132" s="44" t="str">
        <f>IFERROR(__xludf.DUMMYFUNCTION("""COMPUTED_VALUE"""),"IBM")</f>
        <v>IBM</v>
      </c>
      <c r="C132" s="42"/>
      <c r="D132" s="42"/>
      <c r="E132" s="42"/>
      <c r="F132" s="42"/>
      <c r="G132" s="42"/>
      <c r="H132" s="42"/>
      <c r="I132" s="42"/>
      <c r="J132" s="42"/>
      <c r="K132" s="42" t="str">
        <f>IFERROR(__xludf.DUMMYFUNCTION("""COMPUTED_VALUE"""),"NO")</f>
        <v>NO</v>
      </c>
    </row>
    <row r="133" ht="12.75" customHeight="1">
      <c r="A133" s="42"/>
      <c r="B133" s="44" t="str">
        <f>IFERROR(__xludf.DUMMYFUNCTION("""COMPUTED_VALUE"""),"Oracle")</f>
        <v>Oracle</v>
      </c>
      <c r="C133" s="42"/>
      <c r="D133" s="42"/>
      <c r="E133" s="42"/>
      <c r="F133" s="42"/>
      <c r="G133" s="42"/>
      <c r="H133" s="42"/>
      <c r="I133" s="42"/>
      <c r="J133" s="42"/>
      <c r="K133" s="42" t="str">
        <f>IFERROR(__xludf.DUMMYFUNCTION("""COMPUTED_VALUE"""),"NO")</f>
        <v>NO</v>
      </c>
    </row>
    <row r="134" ht="12.75" customHeight="1">
      <c r="A134" s="42"/>
      <c r="B134" s="42" t="str">
        <f>IFERROR(__xludf.DUMMYFUNCTION("""COMPUTED_VALUE"""),"")</f>
        <v/>
      </c>
      <c r="C134" s="42"/>
      <c r="D134" s="42"/>
      <c r="E134" s="42"/>
      <c r="F134" s="42"/>
      <c r="G134" s="42"/>
      <c r="H134" s="42"/>
      <c r="I134" s="42"/>
      <c r="J134" s="42"/>
      <c r="K134" s="42"/>
    </row>
    <row r="135" ht="12.75" customHeight="1">
      <c r="A135" s="42"/>
      <c r="B135" s="42" t="str">
        <f>IFERROR(__xludf.DUMMYFUNCTION("""COMPUTED_VALUE"""),"")</f>
        <v/>
      </c>
      <c r="C135" s="42"/>
      <c r="D135" s="42"/>
      <c r="E135" s="42"/>
      <c r="F135" s="42"/>
      <c r="G135" s="42"/>
      <c r="H135" s="42"/>
      <c r="I135" s="42"/>
      <c r="J135" s="42"/>
      <c r="K135" s="42"/>
    </row>
    <row r="136" ht="12.75" customHeight="1">
      <c r="A136" s="42"/>
      <c r="B136" s="42" t="str">
        <f>IFERROR(__xludf.DUMMYFUNCTION("""COMPUTED_VALUE"""),"")</f>
        <v/>
      </c>
      <c r="C136" s="42"/>
      <c r="D136" s="42"/>
      <c r="E136" s="42"/>
      <c r="F136" s="42"/>
      <c r="G136" s="42"/>
      <c r="H136" s="42"/>
      <c r="I136" s="42"/>
      <c r="J136" s="42"/>
      <c r="K136" s="42"/>
    </row>
    <row r="137" ht="12.75" customHeight="1">
      <c r="A137" s="42"/>
      <c r="B137" s="42" t="str">
        <f>IFERROR(__xludf.DUMMYFUNCTION("""COMPUTED_VALUE"""),"")</f>
        <v/>
      </c>
      <c r="C137" s="42"/>
      <c r="D137" s="42"/>
      <c r="E137" s="42"/>
      <c r="F137" s="42"/>
      <c r="G137" s="42"/>
      <c r="H137" s="42"/>
      <c r="I137" s="42"/>
      <c r="J137" s="42"/>
      <c r="K137" s="42"/>
    </row>
    <row r="138" ht="12.75" customHeight="1">
      <c r="A138" s="42"/>
      <c r="B138" s="42" t="str">
        <f>IFERROR(__xludf.DUMMYFUNCTION("""COMPUTED_VALUE"""),"")</f>
        <v/>
      </c>
      <c r="C138" s="42"/>
      <c r="D138" s="42"/>
      <c r="E138" s="42"/>
      <c r="F138" s="42"/>
      <c r="G138" s="42"/>
      <c r="H138" s="42"/>
      <c r="I138" s="42"/>
      <c r="J138" s="42"/>
      <c r="K138" s="42"/>
    </row>
    <row r="139" ht="12.75" customHeight="1">
      <c r="A139" s="42"/>
      <c r="B139" s="42" t="str">
        <f>IFERROR(__xludf.DUMMYFUNCTION("""COMPUTED_VALUE"""),"")</f>
        <v/>
      </c>
      <c r="C139" s="42"/>
      <c r="D139" s="42"/>
      <c r="E139" s="42"/>
      <c r="F139" s="42"/>
      <c r="G139" s="42"/>
      <c r="H139" s="42"/>
      <c r="I139" s="42"/>
      <c r="J139" s="42"/>
      <c r="K139" s="42"/>
    </row>
    <row r="140" ht="12.75" customHeight="1">
      <c r="A140" s="42"/>
      <c r="B140" s="42" t="str">
        <f>IFERROR(__xludf.DUMMYFUNCTION("""COMPUTED_VALUE"""),"")</f>
        <v/>
      </c>
      <c r="C140" s="42"/>
      <c r="D140" s="42"/>
      <c r="E140" s="42"/>
      <c r="F140" s="42"/>
      <c r="G140" s="42"/>
      <c r="H140" s="42"/>
      <c r="I140" s="42"/>
      <c r="J140" s="42"/>
      <c r="K140" s="42"/>
    </row>
    <row r="141" ht="12.75" customHeight="1">
      <c r="A141" s="42"/>
      <c r="B141" s="42" t="str">
        <f>IFERROR(__xludf.DUMMYFUNCTION("""COMPUTED_VALUE"""),"")</f>
        <v/>
      </c>
      <c r="C141" s="42"/>
      <c r="D141" s="42"/>
      <c r="E141" s="42"/>
      <c r="F141" s="42"/>
      <c r="G141" s="42"/>
      <c r="H141" s="42"/>
      <c r="I141" s="42"/>
      <c r="J141" s="42"/>
      <c r="K141" s="42"/>
    </row>
    <row r="142" ht="12.75" customHeight="1">
      <c r="A142" s="42"/>
      <c r="B142" s="42" t="str">
        <f>IFERROR(__xludf.DUMMYFUNCTION("""COMPUTED_VALUE"""),"")</f>
        <v/>
      </c>
      <c r="C142" s="42"/>
      <c r="D142" s="42"/>
      <c r="E142" s="42"/>
      <c r="F142" s="42"/>
      <c r="G142" s="42"/>
      <c r="H142" s="42"/>
      <c r="I142" s="42"/>
      <c r="J142" s="42"/>
      <c r="K142" s="42"/>
    </row>
    <row r="143" ht="12.75" customHeight="1">
      <c r="A143" s="42"/>
      <c r="B143" s="42" t="str">
        <f>IFERROR(__xludf.DUMMYFUNCTION("""COMPUTED_VALUE"""),"")</f>
        <v/>
      </c>
      <c r="C143" s="42"/>
      <c r="D143" s="42"/>
      <c r="E143" s="42"/>
      <c r="F143" s="42"/>
      <c r="G143" s="42"/>
      <c r="H143" s="42"/>
      <c r="I143" s="42"/>
      <c r="J143" s="42"/>
      <c r="K143" s="42"/>
    </row>
    <row r="144" ht="12.75" customHeight="1">
      <c r="A144" s="42"/>
      <c r="B144" s="42" t="str">
        <f>IFERROR(__xludf.DUMMYFUNCTION("""COMPUTED_VALUE"""),"")</f>
        <v/>
      </c>
      <c r="C144" s="42"/>
      <c r="D144" s="42"/>
      <c r="E144" s="42"/>
      <c r="F144" s="42"/>
      <c r="G144" s="42"/>
      <c r="H144" s="42"/>
      <c r="I144" s="42"/>
      <c r="J144" s="42"/>
      <c r="K144" s="42"/>
    </row>
    <row r="145" ht="12.75" customHeight="1">
      <c r="A145" s="42"/>
      <c r="B145" s="42" t="str">
        <f>IFERROR(__xludf.DUMMYFUNCTION("""COMPUTED_VALUE"""),"")</f>
        <v/>
      </c>
      <c r="C145" s="42"/>
      <c r="D145" s="42"/>
      <c r="E145" s="42"/>
      <c r="F145" s="42"/>
      <c r="G145" s="42"/>
      <c r="H145" s="42"/>
      <c r="I145" s="42"/>
      <c r="J145" s="42"/>
      <c r="K145" s="42"/>
    </row>
    <row r="146" ht="12.75" customHeight="1">
      <c r="A146" s="42"/>
      <c r="B146" s="42" t="str">
        <f>IFERROR(__xludf.DUMMYFUNCTION("""COMPUTED_VALUE"""),"")</f>
        <v/>
      </c>
      <c r="C146" s="42"/>
      <c r="D146" s="42"/>
      <c r="E146" s="42"/>
      <c r="F146" s="42"/>
      <c r="G146" s="42"/>
      <c r="H146" s="42"/>
      <c r="I146" s="42"/>
      <c r="J146" s="42"/>
      <c r="K146" s="42"/>
    </row>
    <row r="147" ht="12.75" customHeight="1">
      <c r="A147" s="42"/>
      <c r="B147" s="42" t="str">
        <f>IFERROR(__xludf.DUMMYFUNCTION("""COMPUTED_VALUE"""),"")</f>
        <v/>
      </c>
      <c r="C147" s="42"/>
      <c r="D147" s="42"/>
      <c r="E147" s="42"/>
      <c r="F147" s="42"/>
      <c r="G147" s="42"/>
      <c r="H147" s="42"/>
      <c r="I147" s="42"/>
      <c r="J147" s="42"/>
      <c r="K147" s="42"/>
    </row>
    <row r="148" ht="12.75" customHeight="1">
      <c r="A148" s="42"/>
      <c r="B148" s="42" t="str">
        <f>IFERROR(__xludf.DUMMYFUNCTION("""COMPUTED_VALUE"""),"")</f>
        <v/>
      </c>
      <c r="C148" s="42"/>
      <c r="D148" s="42"/>
      <c r="E148" s="42"/>
      <c r="F148" s="42"/>
      <c r="G148" s="42"/>
      <c r="H148" s="42"/>
      <c r="I148" s="42"/>
      <c r="J148" s="42"/>
      <c r="K148" s="42"/>
    </row>
    <row r="149" ht="12.75" customHeight="1">
      <c r="A149" s="42"/>
      <c r="B149" s="42" t="str">
        <f>IFERROR(__xludf.DUMMYFUNCTION("""COMPUTED_VALUE"""),"")</f>
        <v/>
      </c>
      <c r="C149" s="42"/>
      <c r="D149" s="42"/>
      <c r="E149" s="42"/>
      <c r="F149" s="42"/>
      <c r="G149" s="42"/>
      <c r="H149" s="42"/>
      <c r="I149" s="42"/>
      <c r="J149" s="42"/>
      <c r="K149" s="42"/>
    </row>
    <row r="150" ht="12.75" customHeight="1">
      <c r="A150" s="42"/>
      <c r="B150" s="42" t="str">
        <f>IFERROR(__xludf.DUMMYFUNCTION("""COMPUTED_VALUE"""),"")</f>
        <v/>
      </c>
      <c r="C150" s="42"/>
      <c r="D150" s="42"/>
      <c r="E150" s="42"/>
      <c r="F150" s="42"/>
      <c r="G150" s="42"/>
      <c r="H150" s="42"/>
      <c r="I150" s="42"/>
      <c r="J150" s="42"/>
      <c r="K150" s="42"/>
    </row>
    <row r="151" ht="12.75" customHeight="1">
      <c r="A151" s="42"/>
      <c r="B151" s="42" t="str">
        <f>IFERROR(__xludf.DUMMYFUNCTION("""COMPUTED_VALUE"""),"")</f>
        <v/>
      </c>
      <c r="C151" s="42"/>
      <c r="D151" s="42"/>
      <c r="E151" s="42"/>
      <c r="F151" s="42"/>
      <c r="G151" s="42"/>
      <c r="H151" s="42"/>
      <c r="I151" s="42"/>
      <c r="J151" s="42"/>
      <c r="K151" s="42"/>
    </row>
    <row r="152" ht="12.75" customHeight="1">
      <c r="A152" s="42"/>
      <c r="B152" s="42" t="str">
        <f>IFERROR(__xludf.DUMMYFUNCTION("""COMPUTED_VALUE"""),"")</f>
        <v/>
      </c>
      <c r="C152" s="42"/>
      <c r="D152" s="42"/>
      <c r="E152" s="42"/>
      <c r="F152" s="42"/>
      <c r="G152" s="42"/>
      <c r="H152" s="42"/>
      <c r="I152" s="42"/>
      <c r="J152" s="42"/>
      <c r="K152" s="42"/>
    </row>
    <row r="153" ht="12.75" customHeight="1">
      <c r="A153" s="42"/>
      <c r="B153" s="42" t="str">
        <f>IFERROR(__xludf.DUMMYFUNCTION("""COMPUTED_VALUE"""),"")</f>
        <v/>
      </c>
      <c r="C153" s="42"/>
      <c r="D153" s="42"/>
      <c r="E153" s="42"/>
      <c r="F153" s="42"/>
      <c r="G153" s="42"/>
      <c r="H153" s="42"/>
      <c r="I153" s="42"/>
      <c r="J153" s="42"/>
      <c r="K153" s="42"/>
    </row>
    <row r="154" ht="12.75" customHeight="1">
      <c r="A154" s="42"/>
      <c r="B154" s="42" t="str">
        <f>IFERROR(__xludf.DUMMYFUNCTION("""COMPUTED_VALUE"""),"")</f>
        <v/>
      </c>
      <c r="C154" s="42"/>
      <c r="D154" s="42"/>
      <c r="E154" s="42"/>
      <c r="F154" s="42"/>
      <c r="G154" s="42"/>
      <c r="H154" s="42"/>
      <c r="I154" s="42"/>
      <c r="J154" s="42"/>
      <c r="K154" s="42"/>
    </row>
    <row r="155" ht="12.75" customHeight="1">
      <c r="A155" s="42"/>
      <c r="B155" s="42" t="str">
        <f>IFERROR(__xludf.DUMMYFUNCTION("""COMPUTED_VALUE"""),"")</f>
        <v/>
      </c>
      <c r="C155" s="42"/>
      <c r="D155" s="42"/>
      <c r="E155" s="42"/>
      <c r="F155" s="42"/>
      <c r="G155" s="42"/>
      <c r="H155" s="42"/>
      <c r="I155" s="42"/>
      <c r="J155" s="42"/>
      <c r="K155" s="42"/>
    </row>
    <row r="156" ht="12.75" customHeight="1">
      <c r="A156" s="42"/>
      <c r="B156" s="42" t="str">
        <f>IFERROR(__xludf.DUMMYFUNCTION("""COMPUTED_VALUE"""),"")</f>
        <v/>
      </c>
      <c r="C156" s="42"/>
      <c r="D156" s="42"/>
      <c r="E156" s="42"/>
      <c r="F156" s="42"/>
      <c r="G156" s="42"/>
      <c r="H156" s="42"/>
      <c r="I156" s="42"/>
      <c r="J156" s="42"/>
      <c r="K156" s="42"/>
    </row>
    <row r="157" ht="12.75" customHeight="1">
      <c r="A157" s="42"/>
      <c r="B157" s="42" t="str">
        <f>IFERROR(__xludf.DUMMYFUNCTION("""COMPUTED_VALUE"""),"")</f>
        <v/>
      </c>
      <c r="C157" s="42"/>
      <c r="D157" s="42"/>
      <c r="E157" s="42"/>
      <c r="F157" s="42"/>
      <c r="G157" s="42"/>
      <c r="H157" s="42"/>
      <c r="I157" s="42"/>
      <c r="J157" s="42"/>
      <c r="K157" s="42"/>
    </row>
    <row r="158" ht="12.75" customHeight="1">
      <c r="A158" s="42"/>
      <c r="B158" s="42" t="str">
        <f>IFERROR(__xludf.DUMMYFUNCTION("""COMPUTED_VALUE"""),"")</f>
        <v/>
      </c>
      <c r="C158" s="42"/>
      <c r="D158" s="42"/>
      <c r="E158" s="42"/>
      <c r="F158" s="42"/>
      <c r="G158" s="42"/>
      <c r="H158" s="42"/>
      <c r="I158" s="42"/>
      <c r="J158" s="42"/>
      <c r="K158" s="42"/>
    </row>
    <row r="159" ht="12.75" customHeight="1">
      <c r="A159" s="42"/>
      <c r="B159" s="42" t="str">
        <f>IFERROR(__xludf.DUMMYFUNCTION("""COMPUTED_VALUE"""),"")</f>
        <v/>
      </c>
      <c r="C159" s="42"/>
      <c r="D159" s="42"/>
      <c r="E159" s="42"/>
      <c r="F159" s="42"/>
      <c r="G159" s="42"/>
      <c r="H159" s="42"/>
      <c r="I159" s="42"/>
      <c r="J159" s="42"/>
      <c r="K159" s="42"/>
    </row>
    <row r="160" ht="12.75" customHeight="1">
      <c r="A160" s="42"/>
      <c r="B160" s="42" t="str">
        <f>IFERROR(__xludf.DUMMYFUNCTION("""COMPUTED_VALUE"""),"")</f>
        <v/>
      </c>
      <c r="C160" s="42"/>
      <c r="D160" s="42"/>
      <c r="E160" s="42"/>
      <c r="F160" s="42"/>
      <c r="G160" s="42"/>
      <c r="H160" s="42"/>
      <c r="I160" s="42"/>
      <c r="J160" s="42"/>
      <c r="K160" s="42"/>
    </row>
    <row r="161" ht="12.75" customHeight="1">
      <c r="A161" s="42"/>
      <c r="B161" s="42" t="str">
        <f>IFERROR(__xludf.DUMMYFUNCTION("""COMPUTED_VALUE"""),"")</f>
        <v/>
      </c>
      <c r="C161" s="42"/>
      <c r="D161" s="42"/>
      <c r="E161" s="42"/>
      <c r="F161" s="42"/>
      <c r="G161" s="42"/>
      <c r="H161" s="42"/>
      <c r="I161" s="42"/>
      <c r="J161" s="42"/>
      <c r="K161" s="42"/>
    </row>
    <row r="162" ht="12.75" customHeight="1">
      <c r="A162" s="42"/>
      <c r="B162" s="42" t="str">
        <f>IFERROR(__xludf.DUMMYFUNCTION("""COMPUTED_VALUE"""),"")</f>
        <v/>
      </c>
      <c r="C162" s="42"/>
      <c r="D162" s="42"/>
      <c r="E162" s="42"/>
      <c r="F162" s="42"/>
      <c r="G162" s="42"/>
      <c r="H162" s="42"/>
      <c r="I162" s="42"/>
      <c r="J162" s="42"/>
      <c r="K162" s="42"/>
    </row>
    <row r="163" ht="12.75" customHeight="1">
      <c r="A163" s="42"/>
      <c r="B163" s="42" t="str">
        <f>IFERROR(__xludf.DUMMYFUNCTION("""COMPUTED_VALUE"""),"")</f>
        <v/>
      </c>
      <c r="C163" s="42"/>
      <c r="D163" s="42"/>
      <c r="E163" s="42"/>
      <c r="F163" s="42"/>
      <c r="G163" s="42"/>
      <c r="H163" s="42"/>
      <c r="I163" s="42"/>
      <c r="J163" s="42"/>
      <c r="K163" s="42"/>
    </row>
    <row r="164" ht="12.75" customHeight="1">
      <c r="A164" s="42"/>
      <c r="B164" s="42" t="str">
        <f>IFERROR(__xludf.DUMMYFUNCTION("""COMPUTED_VALUE"""),"")</f>
        <v/>
      </c>
      <c r="C164" s="42"/>
      <c r="D164" s="42"/>
      <c r="E164" s="42"/>
      <c r="F164" s="42"/>
      <c r="G164" s="42"/>
      <c r="H164" s="42"/>
      <c r="I164" s="42"/>
      <c r="J164" s="42"/>
      <c r="K164" s="42"/>
    </row>
    <row r="165" ht="12.75" customHeight="1">
      <c r="A165" s="42"/>
      <c r="B165" s="42" t="str">
        <f>IFERROR(__xludf.DUMMYFUNCTION("""COMPUTED_VALUE"""),"")</f>
        <v/>
      </c>
      <c r="C165" s="42"/>
      <c r="D165" s="42"/>
      <c r="E165" s="42"/>
      <c r="F165" s="42"/>
      <c r="G165" s="42"/>
      <c r="H165" s="42"/>
      <c r="I165" s="42"/>
      <c r="J165" s="42"/>
      <c r="K165" s="42"/>
    </row>
    <row r="166" ht="12.75" customHeight="1">
      <c r="A166" s="42"/>
      <c r="B166" s="42" t="str">
        <f>IFERROR(__xludf.DUMMYFUNCTION("""COMPUTED_VALUE"""),"")</f>
        <v/>
      </c>
      <c r="C166" s="42"/>
      <c r="D166" s="42"/>
      <c r="E166" s="42"/>
      <c r="F166" s="42"/>
      <c r="G166" s="42"/>
      <c r="H166" s="42"/>
      <c r="I166" s="42"/>
      <c r="J166" s="42"/>
      <c r="K166" s="42"/>
    </row>
    <row r="167" ht="12.75" customHeight="1">
      <c r="A167" s="42"/>
      <c r="B167" s="42" t="str">
        <f>IFERROR(__xludf.DUMMYFUNCTION("""COMPUTED_VALUE"""),"")</f>
        <v/>
      </c>
      <c r="C167" s="42"/>
      <c r="D167" s="42"/>
      <c r="E167" s="42"/>
      <c r="F167" s="42"/>
      <c r="G167" s="42"/>
      <c r="H167" s="42"/>
      <c r="I167" s="42"/>
      <c r="J167" s="42"/>
      <c r="K167" s="42"/>
    </row>
    <row r="168" ht="12.75" customHeight="1">
      <c r="A168" s="42"/>
      <c r="B168" s="42" t="str">
        <f>IFERROR(__xludf.DUMMYFUNCTION("""COMPUTED_VALUE"""),"")</f>
        <v/>
      </c>
      <c r="C168" s="42"/>
      <c r="D168" s="42"/>
      <c r="E168" s="42"/>
      <c r="F168" s="42"/>
      <c r="G168" s="42"/>
      <c r="H168" s="42"/>
      <c r="I168" s="42"/>
      <c r="J168" s="42"/>
      <c r="K168" s="42"/>
    </row>
    <row r="169" ht="12.75" customHeight="1">
      <c r="A169" s="42"/>
      <c r="B169" s="42" t="str">
        <f>IFERROR(__xludf.DUMMYFUNCTION("""COMPUTED_VALUE"""),"")</f>
        <v/>
      </c>
      <c r="C169" s="42"/>
      <c r="D169" s="42"/>
      <c r="E169" s="42"/>
      <c r="F169" s="42"/>
      <c r="G169" s="42"/>
      <c r="H169" s="42"/>
      <c r="I169" s="42"/>
      <c r="J169" s="42"/>
      <c r="K169" s="42"/>
    </row>
    <row r="170" ht="12.75" customHeight="1">
      <c r="A170" s="42"/>
      <c r="B170" s="42" t="str">
        <f>IFERROR(__xludf.DUMMYFUNCTION("""COMPUTED_VALUE"""),"")</f>
        <v/>
      </c>
      <c r="C170" s="42"/>
      <c r="D170" s="42"/>
      <c r="E170" s="42"/>
      <c r="F170" s="42"/>
      <c r="G170" s="42"/>
      <c r="H170" s="42"/>
      <c r="I170" s="42"/>
      <c r="J170" s="42"/>
      <c r="K170" s="42"/>
    </row>
    <row r="171" ht="12.75" customHeight="1">
      <c r="A171" s="42"/>
      <c r="B171" s="42" t="str">
        <f>IFERROR(__xludf.DUMMYFUNCTION("""COMPUTED_VALUE"""),"")</f>
        <v/>
      </c>
      <c r="C171" s="42"/>
      <c r="D171" s="42"/>
      <c r="E171" s="42"/>
      <c r="F171" s="42"/>
      <c r="G171" s="42"/>
      <c r="H171" s="42"/>
      <c r="I171" s="42"/>
      <c r="J171" s="42"/>
      <c r="K171" s="42"/>
    </row>
    <row r="172" ht="12.75" customHeight="1">
      <c r="A172" s="42"/>
      <c r="B172" s="42" t="str">
        <f>IFERROR(__xludf.DUMMYFUNCTION("""COMPUTED_VALUE"""),"")</f>
        <v/>
      </c>
      <c r="C172" s="42"/>
      <c r="D172" s="42"/>
      <c r="E172" s="42"/>
      <c r="F172" s="42"/>
      <c r="G172" s="42"/>
      <c r="H172" s="42"/>
      <c r="I172" s="42"/>
      <c r="J172" s="42"/>
      <c r="K172" s="42"/>
    </row>
    <row r="173" ht="12.75" customHeight="1">
      <c r="A173" s="42"/>
      <c r="B173" s="42" t="str">
        <f>IFERROR(__xludf.DUMMYFUNCTION("""COMPUTED_VALUE"""),"")</f>
        <v/>
      </c>
      <c r="C173" s="42"/>
      <c r="D173" s="42"/>
      <c r="E173" s="42"/>
      <c r="F173" s="42"/>
      <c r="G173" s="42"/>
      <c r="H173" s="42"/>
      <c r="I173" s="42"/>
      <c r="J173" s="42"/>
      <c r="K173" s="42"/>
    </row>
    <row r="174" ht="12.75" customHeight="1">
      <c r="A174" s="42"/>
      <c r="B174" s="42" t="str">
        <f>IFERROR(__xludf.DUMMYFUNCTION("""COMPUTED_VALUE"""),"")</f>
        <v/>
      </c>
      <c r="C174" s="42"/>
      <c r="D174" s="42"/>
      <c r="E174" s="42"/>
      <c r="F174" s="42"/>
      <c r="G174" s="42"/>
      <c r="H174" s="42"/>
      <c r="I174" s="42"/>
      <c r="J174" s="42"/>
      <c r="K174" s="42"/>
    </row>
    <row r="175" ht="12.75" customHeight="1">
      <c r="A175" s="42"/>
      <c r="B175" s="42" t="str">
        <f>IFERROR(__xludf.DUMMYFUNCTION("""COMPUTED_VALUE"""),"")</f>
        <v/>
      </c>
      <c r="C175" s="42"/>
      <c r="D175" s="42"/>
      <c r="E175" s="42"/>
      <c r="F175" s="42"/>
      <c r="G175" s="42"/>
      <c r="H175" s="42"/>
      <c r="I175" s="42"/>
      <c r="J175" s="42"/>
      <c r="K175" s="42"/>
    </row>
    <row r="176" ht="12.75" customHeight="1">
      <c r="A176" s="42"/>
      <c r="B176" s="42" t="str">
        <f>IFERROR(__xludf.DUMMYFUNCTION("""COMPUTED_VALUE"""),"")</f>
        <v/>
      </c>
      <c r="C176" s="42"/>
      <c r="D176" s="42"/>
      <c r="E176" s="42"/>
      <c r="F176" s="42"/>
      <c r="G176" s="42"/>
      <c r="H176" s="42"/>
      <c r="I176" s="42"/>
      <c r="J176" s="42"/>
      <c r="K176" s="42"/>
    </row>
    <row r="177" ht="12.75" customHeight="1">
      <c r="A177" s="42"/>
      <c r="B177" s="42" t="str">
        <f>IFERROR(__xludf.DUMMYFUNCTION("""COMPUTED_VALUE"""),"")</f>
        <v/>
      </c>
      <c r="C177" s="42"/>
      <c r="D177" s="42"/>
      <c r="E177" s="42"/>
      <c r="F177" s="42"/>
      <c r="G177" s="42"/>
      <c r="H177" s="42"/>
      <c r="I177" s="42"/>
      <c r="J177" s="42"/>
      <c r="K177" s="42"/>
    </row>
    <row r="178" ht="12.75" customHeight="1">
      <c r="A178" s="42"/>
      <c r="B178" s="42" t="str">
        <f>IFERROR(__xludf.DUMMYFUNCTION("""COMPUTED_VALUE"""),"")</f>
        <v/>
      </c>
      <c r="C178" s="42"/>
      <c r="D178" s="42"/>
      <c r="E178" s="42"/>
      <c r="F178" s="42"/>
      <c r="G178" s="42"/>
      <c r="H178" s="42"/>
      <c r="I178" s="42"/>
      <c r="J178" s="42"/>
      <c r="K178" s="42"/>
    </row>
    <row r="179" ht="12.75" customHeight="1">
      <c r="A179" s="42"/>
      <c r="B179" s="42" t="str">
        <f>IFERROR(__xludf.DUMMYFUNCTION("""COMPUTED_VALUE"""),"")</f>
        <v/>
      </c>
      <c r="C179" s="42"/>
      <c r="D179" s="42"/>
      <c r="E179" s="42"/>
      <c r="F179" s="42"/>
      <c r="G179" s="42"/>
      <c r="H179" s="42"/>
      <c r="I179" s="42"/>
      <c r="J179" s="42"/>
      <c r="K179" s="42"/>
    </row>
    <row r="180" ht="12.75" customHeight="1">
      <c r="A180" s="42"/>
      <c r="B180" s="42" t="str">
        <f>IFERROR(__xludf.DUMMYFUNCTION("""COMPUTED_VALUE"""),"")</f>
        <v/>
      </c>
      <c r="C180" s="42"/>
      <c r="D180" s="42"/>
      <c r="E180" s="42"/>
      <c r="F180" s="42"/>
      <c r="G180" s="42"/>
      <c r="H180" s="42"/>
      <c r="I180" s="42"/>
      <c r="J180" s="42"/>
      <c r="K180" s="42"/>
    </row>
    <row r="181" ht="12.75" customHeight="1">
      <c r="A181" s="42"/>
      <c r="B181" s="42" t="str">
        <f>IFERROR(__xludf.DUMMYFUNCTION("""COMPUTED_VALUE"""),"")</f>
        <v/>
      </c>
      <c r="C181" s="42"/>
      <c r="D181" s="42"/>
      <c r="E181" s="42"/>
      <c r="F181" s="42"/>
      <c r="G181" s="42"/>
      <c r="H181" s="42"/>
      <c r="I181" s="42"/>
      <c r="J181" s="42"/>
      <c r="K181" s="42"/>
    </row>
    <row r="182" ht="12.75" customHeight="1">
      <c r="A182" s="42"/>
      <c r="B182" s="42" t="str">
        <f>IFERROR(__xludf.DUMMYFUNCTION("""COMPUTED_VALUE"""),"")</f>
        <v/>
      </c>
      <c r="C182" s="42"/>
      <c r="D182" s="42"/>
      <c r="E182" s="42"/>
      <c r="F182" s="42"/>
      <c r="G182" s="42"/>
      <c r="H182" s="42"/>
      <c r="I182" s="42"/>
      <c r="J182" s="42"/>
      <c r="K182" s="42"/>
    </row>
    <row r="183" ht="12.75" customHeight="1">
      <c r="A183" s="42"/>
      <c r="B183" s="42" t="str">
        <f>IFERROR(__xludf.DUMMYFUNCTION("""COMPUTED_VALUE"""),"")</f>
        <v/>
      </c>
      <c r="C183" s="42"/>
      <c r="D183" s="42"/>
      <c r="E183" s="42"/>
      <c r="F183" s="42"/>
      <c r="G183" s="42"/>
      <c r="H183" s="42"/>
      <c r="I183" s="42"/>
      <c r="J183" s="42"/>
      <c r="K183" s="42"/>
    </row>
    <row r="184" ht="12.75" customHeight="1">
      <c r="A184" s="42"/>
      <c r="B184" s="42" t="str">
        <f>IFERROR(__xludf.DUMMYFUNCTION("""COMPUTED_VALUE"""),"")</f>
        <v/>
      </c>
      <c r="C184" s="42"/>
      <c r="D184" s="42"/>
      <c r="E184" s="42"/>
      <c r="F184" s="42"/>
      <c r="G184" s="42"/>
      <c r="H184" s="42"/>
      <c r="I184" s="42"/>
      <c r="J184" s="42"/>
      <c r="K184" s="42"/>
    </row>
    <row r="185" ht="12.75" customHeight="1">
      <c r="A185" s="42"/>
      <c r="B185" s="42" t="str">
        <f>IFERROR(__xludf.DUMMYFUNCTION("""COMPUTED_VALUE"""),"")</f>
        <v/>
      </c>
      <c r="C185" s="42"/>
      <c r="D185" s="42"/>
      <c r="E185" s="42"/>
      <c r="F185" s="42"/>
      <c r="G185" s="42"/>
      <c r="H185" s="42"/>
      <c r="I185" s="42"/>
      <c r="J185" s="42"/>
      <c r="K185" s="42"/>
    </row>
    <row r="186" ht="12.75" customHeight="1">
      <c r="A186" s="42"/>
      <c r="B186" s="42" t="str">
        <f>IFERROR(__xludf.DUMMYFUNCTION("""COMPUTED_VALUE"""),"")</f>
        <v/>
      </c>
      <c r="C186" s="42"/>
      <c r="D186" s="42"/>
      <c r="E186" s="42"/>
      <c r="F186" s="42"/>
      <c r="G186" s="42"/>
      <c r="H186" s="42"/>
      <c r="I186" s="42"/>
      <c r="J186" s="42"/>
      <c r="K186" s="42"/>
    </row>
    <row r="187" ht="12.75" customHeight="1">
      <c r="A187" s="42"/>
      <c r="B187" s="42" t="str">
        <f>IFERROR(__xludf.DUMMYFUNCTION("""COMPUTED_VALUE"""),"")</f>
        <v/>
      </c>
      <c r="C187" s="42"/>
      <c r="D187" s="42"/>
      <c r="E187" s="42"/>
      <c r="F187" s="42"/>
      <c r="G187" s="42"/>
      <c r="H187" s="42"/>
      <c r="I187" s="42"/>
      <c r="J187" s="42"/>
      <c r="K187" s="42"/>
    </row>
    <row r="188" ht="12.75" customHeight="1">
      <c r="A188" s="42"/>
      <c r="B188" s="42" t="str">
        <f>IFERROR(__xludf.DUMMYFUNCTION("""COMPUTED_VALUE"""),"")</f>
        <v/>
      </c>
      <c r="C188" s="42"/>
      <c r="D188" s="42"/>
      <c r="E188" s="42"/>
      <c r="F188" s="42"/>
      <c r="G188" s="42"/>
      <c r="H188" s="42"/>
      <c r="I188" s="42"/>
      <c r="J188" s="42"/>
      <c r="K188" s="42"/>
    </row>
    <row r="189" ht="12.75" customHeight="1">
      <c r="A189" s="42"/>
      <c r="B189" s="42" t="str">
        <f>IFERROR(__xludf.DUMMYFUNCTION("""COMPUTED_VALUE"""),"")</f>
        <v/>
      </c>
      <c r="C189" s="42"/>
      <c r="D189" s="42"/>
      <c r="E189" s="42"/>
      <c r="F189" s="42"/>
      <c r="G189" s="42"/>
      <c r="H189" s="42"/>
      <c r="I189" s="42"/>
      <c r="J189" s="42"/>
      <c r="K189" s="42"/>
    </row>
    <row r="190" ht="12.75" customHeight="1">
      <c r="A190" s="42"/>
      <c r="B190" s="42" t="str">
        <f>IFERROR(__xludf.DUMMYFUNCTION("""COMPUTED_VALUE"""),"")</f>
        <v/>
      </c>
      <c r="C190" s="42"/>
      <c r="D190" s="42"/>
      <c r="E190" s="42"/>
      <c r="F190" s="42"/>
      <c r="G190" s="42"/>
      <c r="H190" s="42"/>
      <c r="I190" s="42"/>
      <c r="J190" s="42"/>
      <c r="K190" s="42"/>
    </row>
    <row r="191" ht="12.75" customHeight="1">
      <c r="A191" s="42"/>
      <c r="B191" s="42" t="str">
        <f>IFERROR(__xludf.DUMMYFUNCTION("""COMPUTED_VALUE"""),"")</f>
        <v/>
      </c>
      <c r="C191" s="42"/>
      <c r="D191" s="42"/>
      <c r="E191" s="42"/>
      <c r="F191" s="42"/>
      <c r="G191" s="42"/>
      <c r="H191" s="42"/>
      <c r="I191" s="42"/>
      <c r="J191" s="42"/>
      <c r="K191" s="42"/>
    </row>
    <row r="192" ht="12.75" customHeight="1">
      <c r="A192" s="42"/>
      <c r="B192" s="42" t="str">
        <f>IFERROR(__xludf.DUMMYFUNCTION("""COMPUTED_VALUE"""),"")</f>
        <v/>
      </c>
      <c r="C192" s="42"/>
      <c r="D192" s="42"/>
      <c r="E192" s="42"/>
      <c r="F192" s="42"/>
      <c r="G192" s="42"/>
      <c r="H192" s="42"/>
      <c r="I192" s="42"/>
      <c r="J192" s="42"/>
      <c r="K192" s="42"/>
    </row>
    <row r="193" ht="12.75" customHeight="1">
      <c r="A193" s="42"/>
      <c r="B193" s="42" t="str">
        <f>IFERROR(__xludf.DUMMYFUNCTION("""COMPUTED_VALUE"""),"")</f>
        <v/>
      </c>
      <c r="C193" s="42"/>
      <c r="D193" s="42"/>
      <c r="E193" s="42"/>
      <c r="F193" s="42"/>
      <c r="G193" s="42"/>
      <c r="H193" s="42"/>
      <c r="I193" s="42"/>
      <c r="J193" s="42"/>
      <c r="K193" s="42"/>
    </row>
    <row r="194" ht="12.75" customHeight="1">
      <c r="A194" s="42"/>
      <c r="B194" s="42" t="str">
        <f>IFERROR(__xludf.DUMMYFUNCTION("""COMPUTED_VALUE"""),"")</f>
        <v/>
      </c>
      <c r="C194" s="42"/>
      <c r="D194" s="42"/>
      <c r="E194" s="42"/>
      <c r="F194" s="42"/>
      <c r="G194" s="42"/>
      <c r="H194" s="42"/>
      <c r="I194" s="42"/>
      <c r="J194" s="42"/>
      <c r="K194" s="42"/>
    </row>
    <row r="195" ht="12.75" customHeight="1">
      <c r="A195" s="42"/>
      <c r="B195" s="42" t="str">
        <f>IFERROR(__xludf.DUMMYFUNCTION("""COMPUTED_VALUE"""),"")</f>
        <v/>
      </c>
      <c r="C195" s="42"/>
      <c r="D195" s="42"/>
      <c r="E195" s="42"/>
      <c r="F195" s="42"/>
      <c r="G195" s="42"/>
      <c r="H195" s="42"/>
      <c r="I195" s="42"/>
      <c r="J195" s="42"/>
      <c r="K195" s="42"/>
    </row>
    <row r="196" ht="12.75" customHeight="1">
      <c r="A196" s="42"/>
      <c r="B196" s="42" t="str">
        <f>IFERROR(__xludf.DUMMYFUNCTION("""COMPUTED_VALUE"""),"")</f>
        <v/>
      </c>
      <c r="C196" s="42"/>
      <c r="D196" s="42"/>
      <c r="E196" s="42"/>
      <c r="F196" s="42"/>
      <c r="G196" s="42"/>
      <c r="H196" s="42"/>
      <c r="I196" s="42"/>
      <c r="J196" s="42"/>
      <c r="K196" s="42"/>
    </row>
    <row r="197" ht="12.75" customHeight="1">
      <c r="A197" s="42"/>
      <c r="B197" s="42" t="str">
        <f>IFERROR(__xludf.DUMMYFUNCTION("""COMPUTED_VALUE"""),"")</f>
        <v/>
      </c>
      <c r="C197" s="42"/>
      <c r="D197" s="42"/>
      <c r="E197" s="42"/>
      <c r="F197" s="42"/>
      <c r="G197" s="42"/>
      <c r="H197" s="42"/>
      <c r="I197" s="42"/>
      <c r="J197" s="42"/>
      <c r="K197" s="42"/>
    </row>
    <row r="198" ht="12.75" customHeight="1">
      <c r="A198" s="42"/>
      <c r="B198" s="42" t="str">
        <f>IFERROR(__xludf.DUMMYFUNCTION("""COMPUTED_VALUE"""),"")</f>
        <v/>
      </c>
      <c r="C198" s="42"/>
      <c r="D198" s="42"/>
      <c r="E198" s="42"/>
      <c r="F198" s="42"/>
      <c r="G198" s="42"/>
      <c r="H198" s="42"/>
      <c r="I198" s="42"/>
      <c r="J198" s="42"/>
      <c r="K198" s="42"/>
    </row>
    <row r="199" ht="12.75" customHeight="1">
      <c r="A199" s="42"/>
      <c r="B199" s="42" t="str">
        <f>IFERROR(__xludf.DUMMYFUNCTION("""COMPUTED_VALUE"""),"")</f>
        <v/>
      </c>
      <c r="C199" s="42"/>
      <c r="D199" s="42"/>
      <c r="E199" s="42"/>
      <c r="F199" s="42"/>
      <c r="G199" s="42"/>
      <c r="H199" s="42"/>
      <c r="I199" s="42"/>
      <c r="J199" s="42"/>
      <c r="K199" s="42"/>
    </row>
    <row r="200" ht="12.75" customHeight="1">
      <c r="A200" s="42"/>
      <c r="B200" s="42" t="str">
        <f>IFERROR(__xludf.DUMMYFUNCTION("""COMPUTED_VALUE"""),"")</f>
        <v/>
      </c>
      <c r="C200" s="42"/>
      <c r="D200" s="42"/>
      <c r="E200" s="42"/>
      <c r="F200" s="42"/>
      <c r="G200" s="42"/>
      <c r="H200" s="42"/>
      <c r="I200" s="42"/>
      <c r="J200" s="42"/>
      <c r="K200" s="42"/>
    </row>
    <row r="201" ht="12.75" customHeight="1">
      <c r="A201" s="42"/>
      <c r="B201" s="42" t="str">
        <f>IFERROR(__xludf.DUMMYFUNCTION("""COMPUTED_VALUE"""),"")</f>
        <v/>
      </c>
      <c r="C201" s="42"/>
      <c r="D201" s="42"/>
      <c r="E201" s="42"/>
      <c r="F201" s="42"/>
      <c r="G201" s="42"/>
      <c r="H201" s="42"/>
      <c r="I201" s="42"/>
      <c r="J201" s="42"/>
      <c r="K201" s="42"/>
    </row>
  </sheetData>
  <mergeCells count="3">
    <mergeCell ref="G2:H2"/>
    <mergeCell ref="C3:J3"/>
    <mergeCell ref="C1:K1"/>
  </mergeCells>
  <conditionalFormatting sqref="E5:E127">
    <cfRule type="expression" dxfId="0" priority="1">
      <formula>AND(ISNUMBER(E5),TRUNC(E5)&lt;TODAY())</formula>
    </cfRule>
  </conditionalFormatting>
  <conditionalFormatting sqref="E5:E127">
    <cfRule type="expression" dxfId="1" priority="2">
      <formula>AND(ISNUMBER(E5),TRUNC(E5)&gt;TODAY())</formula>
    </cfRule>
  </conditionalFormatting>
  <conditionalFormatting sqref="D5:D127">
    <cfRule type="expression" dxfId="2" priority="3">
      <formula>AND(ISNUMBER(D5),TRUNC(D5)&gt;TODAY())</formula>
    </cfRule>
  </conditionalFormatting>
  <conditionalFormatting sqref="D5:D127">
    <cfRule type="expression" dxfId="3" priority="4">
      <formula>AND(ISNUMBER(D5),TRUNC(D5)&lt;TODAY()-6)</formula>
    </cfRule>
  </conditionalFormatting>
  <conditionalFormatting sqref="E5:E127">
    <cfRule type="timePeriod" dxfId="4" priority="5" timePeriod="today"/>
  </conditionalFormatting>
  <conditionalFormatting sqref="D5:D127">
    <cfRule type="expression" dxfId="5" priority="6">
      <formula>AND(ISNUMBER(D5),TRUNC(D5)&lt;TODAY()+1)</formula>
    </cfRule>
  </conditionalFormatting>
  <conditionalFormatting sqref="E5:E127">
    <cfRule type="cellIs" dxfId="0" priority="7" operator="equal">
      <formula>"CLOSED"</formula>
    </cfRule>
  </conditionalFormatting>
  <conditionalFormatting sqref="D5:D127">
    <cfRule type="cellIs" dxfId="1" priority="8" operator="equal">
      <formula>"OPEN"</formula>
    </cfRule>
  </conditionalFormatting>
  <conditionalFormatting sqref="D5:D127">
    <cfRule type="cellIs" dxfId="6" priority="9" operator="equal">
      <formula>"N/A"</formula>
    </cfRule>
  </conditionalFormatting>
  <conditionalFormatting sqref="E5:E127">
    <cfRule type="cellIs" dxfId="6" priority="10" operator="equal">
      <formula>"N/A"</formula>
    </cfRule>
  </conditionalFormatting>
  <conditionalFormatting sqref="A5:B201">
    <cfRule type="expression" dxfId="7" priority="11">
      <formula>$K5="YES"</formula>
    </cfRule>
  </conditionalFormatting>
  <conditionalFormatting sqref="A5:B129 C5:J201">
    <cfRule type="expression" dxfId="8" priority="12">
      <formula>$K5="YES"</formula>
    </cfRule>
  </conditionalFormatting>
  <hyperlinks>
    <hyperlink r:id="rId1" ref="C1"/>
    <hyperlink r:id="rId2" ref="E2"/>
    <hyperlink r:id="rId3" ref="F2"/>
    <hyperlink r:id="rId4" ref="G2"/>
    <hyperlink r:id="rId5" ref="I2"/>
    <hyperlink r:id="rId6" ref="B3"/>
    <hyperlink r:id="rId7" ref="C3"/>
    <hyperlink r:id="rId8" ref="B5"/>
    <hyperlink r:id="rId9" ref="C5"/>
    <hyperlink r:id="rId10" ref="B6"/>
    <hyperlink r:id="rId11" ref="C6"/>
    <hyperlink r:id="rId12" ref="B7"/>
    <hyperlink r:id="rId13" ref="C7"/>
    <hyperlink r:id="rId14" ref="B8"/>
    <hyperlink r:id="rId15" ref="C8"/>
    <hyperlink r:id="rId16" ref="B9"/>
    <hyperlink r:id="rId17" ref="C9"/>
    <hyperlink r:id="rId18" ref="B10"/>
    <hyperlink r:id="rId19" ref="C10"/>
    <hyperlink r:id="rId20" ref="B11"/>
    <hyperlink r:id="rId21" ref="C11"/>
    <hyperlink r:id="rId22" ref="B12"/>
    <hyperlink r:id="rId23" ref="C12"/>
    <hyperlink r:id="rId24" ref="B13"/>
    <hyperlink r:id="rId25" ref="C13"/>
    <hyperlink r:id="rId26" ref="B14"/>
    <hyperlink r:id="rId27" ref="C14"/>
    <hyperlink r:id="rId28" ref="B15"/>
    <hyperlink r:id="rId29" ref="C15"/>
    <hyperlink r:id="rId30" ref="B16"/>
    <hyperlink r:id="rId31" ref="C16"/>
    <hyperlink r:id="rId32" ref="B17"/>
    <hyperlink r:id="rId33" ref="C17"/>
    <hyperlink r:id="rId34" ref="B18"/>
    <hyperlink r:id="rId35" ref="C18"/>
    <hyperlink r:id="rId36" ref="B19"/>
    <hyperlink r:id="rId37" ref="C19"/>
    <hyperlink r:id="rId38" ref="B20"/>
    <hyperlink r:id="rId39" ref="C20"/>
    <hyperlink r:id="rId40" ref="B21"/>
    <hyperlink r:id="rId41" ref="C21"/>
    <hyperlink r:id="rId42" ref="B22"/>
    <hyperlink r:id="rId43" ref="C22"/>
    <hyperlink r:id="rId44" ref="B23"/>
    <hyperlink r:id="rId45" ref="C23"/>
    <hyperlink r:id="rId46" ref="B24"/>
    <hyperlink r:id="rId47" ref="C24"/>
    <hyperlink r:id="rId48" ref="B25"/>
    <hyperlink r:id="rId49" ref="C25"/>
    <hyperlink r:id="rId50" ref="B26"/>
    <hyperlink r:id="rId51" ref="C26"/>
    <hyperlink r:id="rId52" ref="B27"/>
    <hyperlink r:id="rId53" ref="B28"/>
    <hyperlink r:id="rId54" ref="B29"/>
    <hyperlink r:id="rId55" ref="B30"/>
    <hyperlink r:id="rId56" ref="B32"/>
    <hyperlink r:id="rId57" ref="B34"/>
    <hyperlink r:id="rId58" ref="B35"/>
    <hyperlink r:id="rId59" ref="B36"/>
    <hyperlink r:id="rId60" ref="B37"/>
    <hyperlink r:id="rId61" ref="B38"/>
    <hyperlink r:id="rId62" ref="B39"/>
    <hyperlink r:id="rId63" ref="B40"/>
    <hyperlink r:id="rId64" ref="B42"/>
    <hyperlink r:id="rId65" ref="B43"/>
    <hyperlink r:id="rId66" ref="B44"/>
    <hyperlink r:id="rId67" ref="B45"/>
    <hyperlink r:id="rId68" ref="B46"/>
    <hyperlink r:id="rId69" ref="B47"/>
    <hyperlink r:id="rId70" ref="B48"/>
    <hyperlink r:id="rId71" ref="B49"/>
    <hyperlink r:id="rId72" ref="B50"/>
    <hyperlink r:id="rId73" ref="B51"/>
    <hyperlink r:id="rId74" ref="B52"/>
    <hyperlink r:id="rId75" ref="B53"/>
    <hyperlink r:id="rId76" ref="B54"/>
    <hyperlink r:id="rId77" ref="B55"/>
    <hyperlink r:id="rId78" ref="B56"/>
    <hyperlink r:id="rId79" ref="B57"/>
    <hyperlink r:id="rId80" ref="B58"/>
    <hyperlink r:id="rId81" ref="B59"/>
    <hyperlink r:id="rId82" ref="B60"/>
    <hyperlink r:id="rId83" ref="B61"/>
    <hyperlink r:id="rId84" ref="B62"/>
    <hyperlink r:id="rId85" ref="B63"/>
    <hyperlink r:id="rId86" ref="B64"/>
    <hyperlink r:id="rId87" ref="B65"/>
    <hyperlink r:id="rId88" ref="B66"/>
    <hyperlink r:id="rId89" ref="B67"/>
    <hyperlink r:id="rId90" ref="B68"/>
    <hyperlink r:id="rId91" ref="B69"/>
    <hyperlink r:id="rId92" ref="B70"/>
    <hyperlink r:id="rId93" ref="B71"/>
    <hyperlink r:id="rId94" ref="B72"/>
    <hyperlink r:id="rId95" ref="B73"/>
    <hyperlink r:id="rId96" ref="B74"/>
    <hyperlink r:id="rId97" ref="B75"/>
    <hyperlink r:id="rId98" ref="B76"/>
    <hyperlink r:id="rId99" ref="B77"/>
    <hyperlink r:id="rId100" ref="B78"/>
    <hyperlink r:id="rId101" ref="B79"/>
    <hyperlink r:id="rId102" ref="B80"/>
    <hyperlink r:id="rId103" ref="B81"/>
    <hyperlink r:id="rId104" ref="B82"/>
    <hyperlink r:id="rId105" ref="B83"/>
    <hyperlink r:id="rId106" ref="B84"/>
    <hyperlink r:id="rId107" ref="B85"/>
    <hyperlink r:id="rId108" ref="B86"/>
    <hyperlink r:id="rId109" ref="B87"/>
    <hyperlink r:id="rId110" ref="B88"/>
    <hyperlink r:id="rId111" ref="B89"/>
    <hyperlink r:id="rId112" ref="B90"/>
    <hyperlink r:id="rId113" ref="B91"/>
    <hyperlink r:id="rId114" ref="B92"/>
    <hyperlink r:id="rId115" ref="B93"/>
    <hyperlink r:id="rId116" ref="B94"/>
    <hyperlink r:id="rId117" ref="B95"/>
    <hyperlink r:id="rId118" ref="B96"/>
    <hyperlink r:id="rId119" ref="B97"/>
    <hyperlink r:id="rId120" ref="B98"/>
    <hyperlink r:id="rId121" ref="B99"/>
    <hyperlink r:id="rId122" ref="B100"/>
    <hyperlink r:id="rId123" ref="B101"/>
    <hyperlink r:id="rId124" ref="B102"/>
    <hyperlink r:id="rId125" ref="B103"/>
    <hyperlink r:id="rId126" ref="B104"/>
    <hyperlink r:id="rId127" ref="B105"/>
    <hyperlink r:id="rId128" ref="B106"/>
    <hyperlink r:id="rId129" ref="B107"/>
    <hyperlink r:id="rId130" ref="B108"/>
    <hyperlink r:id="rId131" ref="B109"/>
    <hyperlink r:id="rId132" ref="B110"/>
    <hyperlink r:id="rId133" ref="B111"/>
    <hyperlink r:id="rId134" ref="B112"/>
    <hyperlink r:id="rId135" ref="B113"/>
    <hyperlink r:id="rId136" ref="B114"/>
    <hyperlink r:id="rId137" ref="B115"/>
    <hyperlink r:id="rId138" ref="B116"/>
    <hyperlink r:id="rId139" ref="B117"/>
    <hyperlink r:id="rId140" ref="B118"/>
    <hyperlink r:id="rId141" ref="B119"/>
    <hyperlink r:id="rId142" ref="B120"/>
    <hyperlink r:id="rId143" ref="B121"/>
    <hyperlink r:id="rId144" ref="B122"/>
    <hyperlink r:id="rId145" ref="B123"/>
    <hyperlink r:id="rId146" ref="B124"/>
    <hyperlink r:id="rId147" ref="B125"/>
    <hyperlink r:id="rId148" ref="B126"/>
    <hyperlink r:id="rId149" ref="B128"/>
    <hyperlink r:id="rId150" ref="B129"/>
    <hyperlink r:id="rId151" ref="B130"/>
    <hyperlink r:id="rId152" ref="B131"/>
    <hyperlink r:id="rId153" ref="B132"/>
    <hyperlink r:id="rId154" ref="B133"/>
  </hyperlinks>
  <drawing r:id="rId15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5.0"/>
  <cols>
    <col customWidth="1" hidden="1" min="1" max="1" width="29.43"/>
    <col customWidth="1" min="2" max="2" width="29.43"/>
    <col customWidth="1" min="3" max="3" width="51.29"/>
    <col customWidth="1" min="4" max="4" width="11.86"/>
    <col customWidth="1" min="5" max="5" width="12.86"/>
    <col customWidth="1" min="6" max="6" width="15.57"/>
    <col customWidth="1" min="7" max="7" width="5.43"/>
    <col customWidth="1" min="8" max="8" width="11.29"/>
    <col customWidth="1" min="10" max="10" width="84.86"/>
    <col hidden="1" min="11" max="11" width="14.43"/>
  </cols>
  <sheetData>
    <row r="1">
      <c r="A1" s="1"/>
      <c r="B1" s="2"/>
      <c r="C1" s="3" t="s">
        <v>0</v>
      </c>
    </row>
    <row r="2" ht="45.0" customHeight="1">
      <c r="A2" s="4"/>
      <c r="B2" s="4"/>
      <c r="C2" s="41" t="s">
        <v>10</v>
      </c>
      <c r="D2" s="6"/>
      <c r="E2" s="7" t="s">
        <v>2</v>
      </c>
      <c r="F2" s="7" t="s">
        <v>3</v>
      </c>
      <c r="G2" s="8" t="s">
        <v>4</v>
      </c>
      <c r="I2" s="7" t="s">
        <v>5</v>
      </c>
      <c r="J2" s="9"/>
    </row>
    <row r="3" ht="12.75" customHeight="1">
      <c r="A3" s="10"/>
      <c r="B3" s="11" t="s">
        <v>11</v>
      </c>
      <c r="C3" s="12" t="s">
        <v>7</v>
      </c>
    </row>
    <row r="4" ht="12.75" customHeight="1">
      <c r="A4" s="45" t="str">
        <f>IFERROR(__xludf.DUMMYFUNCTION("IMPORTRANGE(""https://docs.google.com/spreadsheets/d/1KFQM4NWY7BOu-GiF7fHPIBZvVxqnXi21KL0IYIfy5fg/edit?gid=306400843#gid=306400843"",""'UKTechnology_Industrial Placements'!R2:AB400"")"),"")</f>
        <v/>
      </c>
      <c r="B4" s="14" t="str">
        <f>IFERROR(__xludf.DUMMYFUNCTION("""COMPUTED_VALUE"""),"Company Name")</f>
        <v>Company Name</v>
      </c>
      <c r="C4" s="14" t="str">
        <f>IFERROR(__xludf.DUMMYFUNCTION("""COMPUTED_VALUE"""),"Programme Name")</f>
        <v>Programme Name</v>
      </c>
      <c r="D4" s="15" t="str">
        <f>IFERROR(__xludf.DUMMYFUNCTION("""COMPUTED_VALUE"""),"Opening Date")</f>
        <v>Opening Date</v>
      </c>
      <c r="E4" s="16" t="str">
        <f>IFERROR(__xludf.DUMMYFUNCTION("""COMPUTED_VALUE"""),"Closing Date")</f>
        <v>Closing Date</v>
      </c>
      <c r="F4" s="17" t="str">
        <f>IFERROR(__xludf.DUMMYFUNCTION("""COMPUTED_VALUE"""),"Last Year Opening")</f>
        <v>Last Year Opening</v>
      </c>
      <c r="G4" s="14" t="str">
        <f>IFERROR(__xludf.DUMMYFUNCTION("""COMPUTED_VALUE"""),"CV")</f>
        <v>CV</v>
      </c>
      <c r="H4" s="18" t="str">
        <f>IFERROR(__xludf.DUMMYFUNCTION("""COMPUTED_VALUE"""),"Cover Letter")</f>
        <v>Cover Letter</v>
      </c>
      <c r="I4" s="14" t="str">
        <f>IFERROR(__xludf.DUMMYFUNCTION("""COMPUTED_VALUE"""),"Written Answers")</f>
        <v>Written Answers</v>
      </c>
      <c r="J4" s="19" t="str">
        <f>IFERROR(__xludf.DUMMYFUNCTION("""COMPUTED_VALUE"""),"Notes")</f>
        <v>Notes</v>
      </c>
      <c r="K4" s="42" t="str">
        <f>IFERROR(__xludf.DUMMYFUNCTION("""COMPUTED_VALUE"""),"Section Header")</f>
        <v>Section Header</v>
      </c>
    </row>
    <row r="5" ht="12.75" customHeight="1">
      <c r="A5" s="22"/>
      <c r="B5" s="22" t="str">
        <f>IFERROR(__xludf.DUMMYFUNCTION("""COMPUTED_VALUE"""),"BlackRock")</f>
        <v>BlackRock</v>
      </c>
      <c r="C5" s="27" t="str">
        <f>IFERROR(__xludf.DUMMYFUNCTION("""COMPUTED_VALUE"""),"2025 Placement Program - EMEA")</f>
        <v>2025 Placement Program - EMEA</v>
      </c>
      <c r="D5" s="29">
        <f>IFERROR(__xludf.DUMMYFUNCTION("""COMPUTED_VALUE"""),45474.0)</f>
        <v>45474</v>
      </c>
      <c r="E5" s="30"/>
      <c r="F5" s="29"/>
      <c r="G5" s="25" t="str">
        <f>IFERROR(__xludf.DUMMYFUNCTION("""COMPUTED_VALUE"""),"Yes")</f>
        <v>Yes</v>
      </c>
      <c r="H5" s="25" t="str">
        <f>IFERROR(__xludf.DUMMYFUNCTION("""COMPUTED_VALUE"""),"No")</f>
        <v>No</v>
      </c>
      <c r="I5" s="25" t="str">
        <f>IFERROR(__xludf.DUMMYFUNCTION("""COMPUTED_VALUE"""),"No")</f>
        <v>No</v>
      </c>
      <c r="J5" s="26"/>
      <c r="K5" s="42" t="str">
        <f>IFERROR(__xludf.DUMMYFUNCTION("""COMPUTED_VALUE"""),"NO")</f>
        <v>NO</v>
      </c>
    </row>
    <row r="6" ht="12.75" customHeight="1">
      <c r="A6" s="22"/>
      <c r="B6" s="22" t="str">
        <f>IFERROR(__xludf.DUMMYFUNCTION("""COMPUTED_VALUE"""),"Bank of America")</f>
        <v>Bank of America</v>
      </c>
      <c r="C6" s="22" t="str">
        <f>IFERROR(__xludf.DUMMYFUNCTION("""COMPUTED_VALUE"""),"Technology 12-month Industrial Placement")</f>
        <v>Technology 12-month Industrial Placement</v>
      </c>
      <c r="D6" s="23">
        <f>IFERROR(__xludf.DUMMYFUNCTION("""COMPUTED_VALUE"""),45523.0)</f>
        <v>45523</v>
      </c>
      <c r="E6" s="28">
        <f>IFERROR(__xludf.DUMMYFUNCTION("""COMPUTED_VALUE"""),45590.0)</f>
        <v>45590</v>
      </c>
      <c r="F6" s="29">
        <f>IFERROR(__xludf.DUMMYFUNCTION("""COMPUTED_VALUE"""),45535.0)</f>
        <v>45535</v>
      </c>
      <c r="G6" s="25" t="str">
        <f>IFERROR(__xludf.DUMMYFUNCTION("""COMPUTED_VALUE"""),"Yes")</f>
        <v>Yes</v>
      </c>
      <c r="H6" s="25" t="str">
        <f>IFERROR(__xludf.DUMMYFUNCTION("""COMPUTED_VALUE"""),"No")</f>
        <v>No</v>
      </c>
      <c r="I6" s="25" t="str">
        <f>IFERROR(__xludf.DUMMYFUNCTION("""COMPUTED_VALUE"""),"Yes")</f>
        <v>Yes</v>
      </c>
      <c r="J6" s="26"/>
      <c r="K6" s="42" t="str">
        <f>IFERROR(__xludf.DUMMYFUNCTION("""COMPUTED_VALUE"""),"NO")</f>
        <v>NO</v>
      </c>
    </row>
    <row r="7" ht="12.75" customHeight="1">
      <c r="A7" s="22"/>
      <c r="B7" s="22" t="str">
        <f>IFERROR(__xludf.DUMMYFUNCTION("""COMPUTED_VALUE"""),"UBS")</f>
        <v>UBS</v>
      </c>
      <c r="C7" s="27" t="str">
        <f>IFERROR(__xludf.DUMMYFUNCTION("""COMPUTED_VALUE"""),"12 month Industrial Placement - GOTO Technology")</f>
        <v>12 month Industrial Placement - GOTO Technology</v>
      </c>
      <c r="D7" s="23">
        <f>IFERROR(__xludf.DUMMYFUNCTION("""COMPUTED_VALUE"""),45536.0)</f>
        <v>45536</v>
      </c>
      <c r="E7" s="28"/>
      <c r="F7" s="25"/>
      <c r="G7" s="25" t="str">
        <f>IFERROR(__xludf.DUMMYFUNCTION("""COMPUTED_VALUE"""),"Yes")</f>
        <v>Yes</v>
      </c>
      <c r="H7" s="25" t="str">
        <f>IFERROR(__xludf.DUMMYFUNCTION("""COMPUTED_VALUE"""),"No")</f>
        <v>No</v>
      </c>
      <c r="I7" s="25" t="str">
        <f>IFERROR(__xludf.DUMMYFUNCTION("""COMPUTED_VALUE"""),"Yes")</f>
        <v>Yes</v>
      </c>
      <c r="J7" s="26"/>
      <c r="K7" s="42" t="str">
        <f>IFERROR(__xludf.DUMMYFUNCTION("""COMPUTED_VALUE"""),"NO")</f>
        <v>NO</v>
      </c>
    </row>
    <row r="8" ht="12.75" customHeight="1">
      <c r="A8" s="22"/>
      <c r="B8" s="22" t="str">
        <f>IFERROR(__xludf.DUMMYFUNCTION("""COMPUTED_VALUE"""),"Nomura")</f>
        <v>Nomura</v>
      </c>
      <c r="C8" s="27" t="str">
        <f>IFERROR(__xludf.DUMMYFUNCTION("""COMPUTED_VALUE"""),"2025 - Information Technology - Industrial Placement")</f>
        <v>2025 - Information Technology - Industrial Placement</v>
      </c>
      <c r="D8" s="29">
        <f>IFERROR(__xludf.DUMMYFUNCTION("""COMPUTED_VALUE"""),45536.0)</f>
        <v>45536</v>
      </c>
      <c r="E8" s="28">
        <f>IFERROR(__xludf.DUMMYFUNCTION("""COMPUTED_VALUE"""),45627.0)</f>
        <v>45627</v>
      </c>
      <c r="F8" s="29">
        <f>IFERROR(__xludf.DUMMYFUNCTION("""COMPUTED_VALUE"""),45170.0)</f>
        <v>45170</v>
      </c>
      <c r="G8" s="25" t="str">
        <f>IFERROR(__xludf.DUMMYFUNCTION("""COMPUTED_VALUE"""),"Yes")</f>
        <v>Yes</v>
      </c>
      <c r="H8" s="25" t="str">
        <f>IFERROR(__xludf.DUMMYFUNCTION("""COMPUTED_VALUE"""),"No")</f>
        <v>No</v>
      </c>
      <c r="I8" s="25" t="str">
        <f>IFERROR(__xludf.DUMMYFUNCTION("""COMPUTED_VALUE"""),"Yes")</f>
        <v>Yes</v>
      </c>
      <c r="J8" s="26"/>
      <c r="K8" s="42" t="str">
        <f>IFERROR(__xludf.DUMMYFUNCTION("""COMPUTED_VALUE"""),"NO")</f>
        <v>NO</v>
      </c>
    </row>
    <row r="9" ht="12.75" customHeight="1">
      <c r="A9" s="22"/>
      <c r="B9" s="22" t="str">
        <f>IFERROR(__xludf.DUMMYFUNCTION("""COMPUTED_VALUE"""),"Morgan Stanley")</f>
        <v>Morgan Stanley</v>
      </c>
      <c r="C9" s="27" t="str">
        <f>IFERROR(__xludf.DUMMYFUNCTION("""COMPUTED_VALUE"""),"2025 Technology Industrial Placement Program")</f>
        <v>2025 Technology Industrial Placement Program</v>
      </c>
      <c r="D9" s="29">
        <f>IFERROR(__xludf.DUMMYFUNCTION("""COMPUTED_VALUE"""),45539.0)</f>
        <v>45539</v>
      </c>
      <c r="E9" s="28"/>
      <c r="F9" s="25"/>
      <c r="G9" s="25" t="str">
        <f>IFERROR(__xludf.DUMMYFUNCTION("""COMPUTED_VALUE"""),"Yes")</f>
        <v>Yes</v>
      </c>
      <c r="H9" s="25" t="str">
        <f>IFERROR(__xludf.DUMMYFUNCTION("""COMPUTED_VALUE"""),"Yes")</f>
        <v>Yes</v>
      </c>
      <c r="I9" s="25" t="str">
        <f>IFERROR(__xludf.DUMMYFUNCTION("""COMPUTED_VALUE"""),"Yes")</f>
        <v>Yes</v>
      </c>
      <c r="J9" s="26"/>
      <c r="K9" s="42" t="str">
        <f>IFERROR(__xludf.DUMMYFUNCTION("""COMPUTED_VALUE"""),"NO")</f>
        <v>NO</v>
      </c>
    </row>
    <row r="10" ht="12.75" customHeight="1">
      <c r="A10" s="22"/>
      <c r="B10" s="22" t="str">
        <f>IFERROR(__xludf.DUMMYFUNCTION("""COMPUTED_VALUE"""),"G-Research")</f>
        <v>G-Research</v>
      </c>
      <c r="C10" s="21" t="str">
        <f>IFERROR(__xludf.DUMMYFUNCTION("""COMPUTED_VALUE"""),"Technology Placement Year (Sandwich Degree)")</f>
        <v>Technology Placement Year (Sandwich Degree)</v>
      </c>
      <c r="D10" s="29">
        <f>IFERROR(__xludf.DUMMYFUNCTION("""COMPUTED_VALUE"""),45539.0)</f>
        <v>45539</v>
      </c>
      <c r="E10" s="28"/>
      <c r="F10" s="25"/>
      <c r="G10" s="25"/>
      <c r="H10" s="25"/>
      <c r="I10" s="25"/>
      <c r="J10" s="26"/>
      <c r="K10" s="42" t="str">
        <f>IFERROR(__xludf.DUMMYFUNCTION("""COMPUTED_VALUE"""),"NO")</f>
        <v>NO</v>
      </c>
    </row>
    <row r="11" ht="12.75" customHeight="1">
      <c r="A11" s="22"/>
      <c r="B11" s="22" t="str">
        <f>IFERROR(__xludf.DUMMYFUNCTION("""COMPUTED_VALUE"""),"TTP")</f>
        <v>TTP</v>
      </c>
      <c r="C11" s="32" t="str">
        <f>IFERROR(__xludf.DUMMYFUNCTION("""COMPUTED_VALUE"""),"Software - 12 Month Industrial Placement")</f>
        <v>Software - 12 Month Industrial Placement</v>
      </c>
      <c r="D11" s="29">
        <f>IFERROR(__xludf.DUMMYFUNCTION("""COMPUTED_VALUE"""),45540.0)</f>
        <v>45540</v>
      </c>
      <c r="E11" s="28"/>
      <c r="F11" s="25"/>
      <c r="G11" s="31" t="str">
        <f>IFERROR(__xludf.DUMMYFUNCTION("""COMPUTED_VALUE"""),"Yes")</f>
        <v>Yes</v>
      </c>
      <c r="H11" s="31" t="str">
        <f>IFERROR(__xludf.DUMMYFUNCTION("""COMPUTED_VALUE"""),"No")</f>
        <v>No</v>
      </c>
      <c r="I11" s="31" t="str">
        <f>IFERROR(__xludf.DUMMYFUNCTION("""COMPUTED_VALUE"""),"Yes")</f>
        <v>Yes</v>
      </c>
      <c r="J11" s="26"/>
      <c r="K11" s="42" t="str">
        <f>IFERROR(__xludf.DUMMYFUNCTION("""COMPUTED_VALUE"""),"NO")</f>
        <v>NO</v>
      </c>
    </row>
    <row r="12" ht="12.75" customHeight="1">
      <c r="A12" s="22"/>
      <c r="B12" s="22" t="str">
        <f>IFERROR(__xludf.DUMMYFUNCTION("""COMPUTED_VALUE"""),"General Electric")</f>
        <v>General Electric</v>
      </c>
      <c r="C12" s="32" t="str">
        <f>IFERROR(__xludf.DUMMYFUNCTION("""COMPUTED_VALUE"""),"GE Aerospace Software Engineering - 12 Month Placement")</f>
        <v>GE Aerospace Software Engineering - 12 Month Placement</v>
      </c>
      <c r="D12" s="29">
        <f>IFERROR(__xludf.DUMMYFUNCTION("""COMPUTED_VALUE"""),45543.0)</f>
        <v>45543</v>
      </c>
      <c r="E12" s="28">
        <f>IFERROR(__xludf.DUMMYFUNCTION("""COMPUTED_VALUE"""),45620.0)</f>
        <v>45620</v>
      </c>
      <c r="F12" s="25"/>
      <c r="G12" s="31"/>
      <c r="H12" s="31"/>
      <c r="I12" s="31"/>
      <c r="J12" s="26"/>
      <c r="K12" s="42" t="str">
        <f>IFERROR(__xludf.DUMMYFUNCTION("""COMPUTED_VALUE"""),"NO")</f>
        <v>NO</v>
      </c>
    </row>
    <row r="13" ht="12.75" customHeight="1">
      <c r="A13" s="22"/>
      <c r="B13" s="22" t="str">
        <f>IFERROR(__xludf.DUMMYFUNCTION("""COMPUTED_VALUE"""),"Red Bull")</f>
        <v>Red Bull</v>
      </c>
      <c r="C13" s="27" t="str">
        <f>IFERROR(__xludf.DUMMYFUNCTION("""COMPUTED_VALUE"""),"Software Development Student Placement")</f>
        <v>Software Development Student Placement</v>
      </c>
      <c r="D13" s="29">
        <f>IFERROR(__xludf.DUMMYFUNCTION("""COMPUTED_VALUE"""),45545.0)</f>
        <v>45545</v>
      </c>
      <c r="E13" s="24">
        <f>IFERROR(__xludf.DUMMYFUNCTION("""COMPUTED_VALUE"""),45555.0)</f>
        <v>45555</v>
      </c>
      <c r="F13" s="25"/>
      <c r="G13" s="31" t="str">
        <f>IFERROR(__xludf.DUMMYFUNCTION("""COMPUTED_VALUE"""),"Yes")</f>
        <v>Yes</v>
      </c>
      <c r="H13" s="31" t="str">
        <f>IFERROR(__xludf.DUMMYFUNCTION("""COMPUTED_VALUE"""),"Yes")</f>
        <v>Yes</v>
      </c>
      <c r="I13" s="31" t="str">
        <f>IFERROR(__xludf.DUMMYFUNCTION("""COMPUTED_VALUE"""),"Yes")</f>
        <v>Yes</v>
      </c>
      <c r="J13" s="26"/>
      <c r="K13" s="42" t="str">
        <f>IFERROR(__xludf.DUMMYFUNCTION("""COMPUTED_VALUE"""),"NO")</f>
        <v>NO</v>
      </c>
    </row>
    <row r="14" ht="12.75" customHeight="1">
      <c r="A14" s="22"/>
      <c r="B14" s="22" t="str">
        <f>IFERROR(__xludf.DUMMYFUNCTION("""COMPUTED_VALUE"""),"Cisco")</f>
        <v>Cisco</v>
      </c>
      <c r="C14" s="32" t="str">
        <f>IFERROR(__xludf.DUMMYFUNCTION("""COMPUTED_VALUE"""),"Software Engineer Intern (Placement Year)")</f>
        <v>Software Engineer Intern (Placement Year)</v>
      </c>
      <c r="D14" s="29">
        <f>IFERROR(__xludf.DUMMYFUNCTION("""COMPUTED_VALUE"""),45545.0)</f>
        <v>45545</v>
      </c>
      <c r="E14" s="28"/>
      <c r="F14" s="25"/>
      <c r="G14" s="31" t="str">
        <f>IFERROR(__xludf.DUMMYFUNCTION("""COMPUTED_VALUE"""),"Yes")</f>
        <v>Yes</v>
      </c>
      <c r="H14" s="31" t="str">
        <f>IFERROR(__xludf.DUMMYFUNCTION("""COMPUTED_VALUE"""),"No")</f>
        <v>No</v>
      </c>
      <c r="I14" s="31" t="str">
        <f>IFERROR(__xludf.DUMMYFUNCTION("""COMPUTED_VALUE"""),"No")</f>
        <v>No</v>
      </c>
      <c r="J14" s="26"/>
      <c r="K14" s="42" t="str">
        <f>IFERROR(__xludf.DUMMYFUNCTION("""COMPUTED_VALUE"""),"NO")</f>
        <v>NO</v>
      </c>
    </row>
    <row r="15" ht="12.75" customHeight="1">
      <c r="A15" s="22"/>
      <c r="B15" s="22" t="str">
        <f>IFERROR(__xludf.DUMMYFUNCTION("""COMPUTED_VALUE"""),"MBDA")</f>
        <v>MBDA</v>
      </c>
      <c r="C15" s="27" t="str">
        <f>IFERROR(__xludf.DUMMYFUNCTION("""COMPUTED_VALUE"""),"Software Engineer - Undergraduate Placement 2025")</f>
        <v>Software Engineer - Undergraduate Placement 2025</v>
      </c>
      <c r="D15" s="29">
        <f>IFERROR(__xludf.DUMMYFUNCTION("""COMPUTED_VALUE"""),45546.0)</f>
        <v>45546</v>
      </c>
      <c r="E15" s="28">
        <f>IFERROR(__xludf.DUMMYFUNCTION("""COMPUTED_VALUE"""),45600.0)</f>
        <v>45600</v>
      </c>
      <c r="F15" s="25"/>
      <c r="G15" s="31"/>
      <c r="H15" s="31"/>
      <c r="I15" s="31"/>
      <c r="J15" s="26"/>
      <c r="K15" s="42" t="str">
        <f>IFERROR(__xludf.DUMMYFUNCTION("""COMPUTED_VALUE"""),"NO")</f>
        <v>NO</v>
      </c>
    </row>
    <row r="16" ht="12.75" customHeight="1">
      <c r="A16" s="22"/>
      <c r="B16" s="22" t="str">
        <f>IFERROR(__xludf.DUMMYFUNCTION("""COMPUTED_VALUE"""),"Susquehanna International Group")</f>
        <v>Susquehanna International Group</v>
      </c>
      <c r="C16" s="32" t="str">
        <f>IFERROR(__xludf.DUMMYFUNCTION("""COMPUTED_VALUE"""),"Quantitative Internship: Summer 2025")</f>
        <v>Quantitative Internship: Summer 2025</v>
      </c>
      <c r="D16" s="29">
        <f>IFERROR(__xludf.DUMMYFUNCTION("""COMPUTED_VALUE"""),45547.0)</f>
        <v>45547</v>
      </c>
      <c r="E16" s="24"/>
      <c r="F16" s="25"/>
      <c r="G16" s="31" t="str">
        <f>IFERROR(__xludf.DUMMYFUNCTION("""COMPUTED_VALUE"""),"Yes")</f>
        <v>Yes</v>
      </c>
      <c r="H16" s="31" t="str">
        <f>IFERROR(__xludf.DUMMYFUNCTION("""COMPUTED_VALUE"""),"No")</f>
        <v>No</v>
      </c>
      <c r="I16" s="31" t="str">
        <f>IFERROR(__xludf.DUMMYFUNCTION("""COMPUTED_VALUE"""),"No")</f>
        <v>No</v>
      </c>
      <c r="J16" s="26" t="str">
        <f>IFERROR(__xludf.DUMMYFUNCTION("""COMPUTED_VALUE"""),"Summer application form also used for Industrial Placement years")</f>
        <v>Summer application form also used for Industrial Placement years</v>
      </c>
      <c r="K16" s="42" t="str">
        <f>IFERROR(__xludf.DUMMYFUNCTION("""COMPUTED_VALUE"""),"NO")</f>
        <v>NO</v>
      </c>
    </row>
    <row r="17" ht="12.75" customHeight="1">
      <c r="A17" s="22"/>
      <c r="B17" s="22" t="str">
        <f>IFERROR(__xludf.DUMMYFUNCTION("""COMPUTED_VALUE"""),"BAE Systems")</f>
        <v>BAE Systems</v>
      </c>
      <c r="C17" s="32" t="str">
        <f>IFERROR(__xludf.DUMMYFUNCTION("""COMPUTED_VALUE"""),"Undergraduate Software Engineer")</f>
        <v>Undergraduate Software Engineer</v>
      </c>
      <c r="D17" s="29">
        <f>IFERROR(__xludf.DUMMYFUNCTION("""COMPUTED_VALUE"""),45547.0)</f>
        <v>45547</v>
      </c>
      <c r="E17" s="25"/>
      <c r="F17" s="25"/>
      <c r="G17" s="31" t="str">
        <f>IFERROR(__xludf.DUMMYFUNCTION("""COMPUTED_VALUE"""),"No")</f>
        <v>No</v>
      </c>
      <c r="H17" s="31" t="str">
        <f>IFERROR(__xludf.DUMMYFUNCTION("""COMPUTED_VALUE"""),"No")</f>
        <v>No</v>
      </c>
      <c r="I17" s="31" t="str">
        <f>IFERROR(__xludf.DUMMYFUNCTION("""COMPUTED_VALUE"""),"No")</f>
        <v>No</v>
      </c>
      <c r="J17" s="26"/>
      <c r="K17" s="42" t="str">
        <f>IFERROR(__xludf.DUMMYFUNCTION("""COMPUTED_VALUE"""),"NO")</f>
        <v>NO</v>
      </c>
    </row>
    <row r="18" ht="12.75" customHeight="1">
      <c r="A18" s="22"/>
      <c r="B18" s="22" t="str">
        <f>IFERROR(__xludf.DUMMYFUNCTION("""COMPUTED_VALUE"""),"SMBC")</f>
        <v>SMBC</v>
      </c>
      <c r="C18" s="32" t="str">
        <f>IFERROR(__xludf.DUMMYFUNCTION("""COMPUTED_VALUE"""),"2025-2026 Industrial Placement Programme")</f>
        <v>2025-2026 Industrial Placement Programme</v>
      </c>
      <c r="D18" s="29">
        <f>IFERROR(__xludf.DUMMYFUNCTION("""COMPUTED_VALUE"""),45547.0)</f>
        <v>45547</v>
      </c>
      <c r="E18" s="24">
        <f>IFERROR(__xludf.DUMMYFUNCTION("""COMPUTED_VALUE"""),45576.0)</f>
        <v>45576</v>
      </c>
      <c r="F18" s="25"/>
      <c r="G18" s="31" t="str">
        <f>IFERROR(__xludf.DUMMYFUNCTION("""COMPUTED_VALUE"""),"Yes")</f>
        <v>Yes</v>
      </c>
      <c r="H18" s="31" t="str">
        <f>IFERROR(__xludf.DUMMYFUNCTION("""COMPUTED_VALUE"""),"Optional")</f>
        <v>Optional</v>
      </c>
      <c r="I18" s="31" t="str">
        <f>IFERROR(__xludf.DUMMYFUNCTION("""COMPUTED_VALUE"""),"Yes")</f>
        <v>Yes</v>
      </c>
      <c r="J18" s="26"/>
      <c r="K18" s="42" t="str">
        <f>IFERROR(__xludf.DUMMYFUNCTION("""COMPUTED_VALUE"""),"NO")</f>
        <v>NO</v>
      </c>
    </row>
    <row r="19" ht="12.75" customHeight="1">
      <c r="A19" s="22"/>
      <c r="B19" s="22" t="str">
        <f>IFERROR(__xludf.DUMMYFUNCTION("""COMPUTED_VALUE"""),"P&amp;G")</f>
        <v>P&amp;G</v>
      </c>
      <c r="C19" s="27" t="str">
        <f>IFERROR(__xludf.DUMMYFUNCTION("""COMPUTED_VALUE"""),"Information Technology Industrial Placement 2025")</f>
        <v>Information Technology Industrial Placement 2025</v>
      </c>
      <c r="D19" s="29">
        <f>IFERROR(__xludf.DUMMYFUNCTION("""COMPUTED_VALUE"""),45547.0)</f>
        <v>45547</v>
      </c>
      <c r="E19" s="24">
        <f>IFERROR(__xludf.DUMMYFUNCTION("""COMPUTED_VALUE"""),45687.0)</f>
        <v>45687</v>
      </c>
      <c r="F19" s="25"/>
      <c r="G19" s="25" t="str">
        <f>IFERROR(__xludf.DUMMYFUNCTION("""COMPUTED_VALUE"""),"Yes")</f>
        <v>Yes</v>
      </c>
      <c r="H19" s="25" t="str">
        <f>IFERROR(__xludf.DUMMYFUNCTION("""COMPUTED_VALUE"""),"No")</f>
        <v>No</v>
      </c>
      <c r="I19" s="25" t="str">
        <f>IFERROR(__xludf.DUMMYFUNCTION("""COMPUTED_VALUE"""),"No")</f>
        <v>No</v>
      </c>
      <c r="J19" s="26"/>
      <c r="K19" s="42" t="str">
        <f>IFERROR(__xludf.DUMMYFUNCTION("""COMPUTED_VALUE"""),"NO")</f>
        <v>NO</v>
      </c>
    </row>
    <row r="20" ht="12.75" customHeight="1">
      <c r="A20" s="22"/>
      <c r="B20" s="22" t="str">
        <f>IFERROR(__xludf.DUMMYFUNCTION("""COMPUTED_VALUE"""),"Deloitte")</f>
        <v>Deloitte</v>
      </c>
      <c r="C20" s="27" t="str">
        <f>IFERROR(__xludf.DUMMYFUNCTION("""COMPUTED_VALUE"""),"Industrial Placement Programme")</f>
        <v>Industrial Placement Programme</v>
      </c>
      <c r="D20" s="29">
        <f>IFERROR(__xludf.DUMMYFUNCTION("""COMPUTED_VALUE"""),45551.0)</f>
        <v>45551</v>
      </c>
      <c r="E20" s="24">
        <f>IFERROR(__xludf.DUMMYFUNCTION("""COMPUTED_VALUE"""),45565.0)</f>
        <v>45565</v>
      </c>
      <c r="F20" s="25"/>
      <c r="G20" s="25"/>
      <c r="H20" s="25"/>
      <c r="I20" s="25"/>
      <c r="J20" s="26"/>
      <c r="K20" s="42" t="str">
        <f>IFERROR(__xludf.DUMMYFUNCTION("""COMPUTED_VALUE"""),"NO")</f>
        <v>NO</v>
      </c>
    </row>
    <row r="21" ht="12.75" customHeight="1">
      <c r="A21" s="22"/>
      <c r="B21" s="22" t="str">
        <f>IFERROR(__xludf.DUMMYFUNCTION("""COMPUTED_VALUE"""),"DRW")</f>
        <v>DRW</v>
      </c>
      <c r="C21" s="36"/>
      <c r="D21" s="25"/>
      <c r="E21" s="28"/>
      <c r="F21" s="25"/>
      <c r="G21" s="31" t="str">
        <f>IFERROR(__xludf.DUMMYFUNCTION("""COMPUTED_VALUE"""),"Yes")</f>
        <v>Yes</v>
      </c>
      <c r="H21" s="31" t="str">
        <f>IFERROR(__xludf.DUMMYFUNCTION("""COMPUTED_VALUE"""),"Yes")</f>
        <v>Yes</v>
      </c>
      <c r="I21" s="31" t="str">
        <f>IFERROR(__xludf.DUMMYFUNCTION("""COMPUTED_VALUE"""),"No")</f>
        <v>No</v>
      </c>
      <c r="J21" s="26"/>
      <c r="K21" s="42" t="str">
        <f>IFERROR(__xludf.DUMMYFUNCTION("""COMPUTED_VALUE"""),"NO")</f>
        <v>NO</v>
      </c>
    </row>
    <row r="22" ht="12.75" customHeight="1">
      <c r="A22" s="22"/>
      <c r="B22" s="22" t="str">
        <f>IFERROR(__xludf.DUMMYFUNCTION("""COMPUTED_VALUE"""),"Five Rings")</f>
        <v>Five Rings</v>
      </c>
      <c r="C22" s="36"/>
      <c r="D22" s="25"/>
      <c r="E22" s="28"/>
      <c r="F22" s="25"/>
      <c r="G22" s="31" t="str">
        <f>IFERROR(__xludf.DUMMYFUNCTION("""COMPUTED_VALUE"""),"Yes")</f>
        <v>Yes</v>
      </c>
      <c r="H22" s="31" t="str">
        <f>IFERROR(__xludf.DUMMYFUNCTION("""COMPUTED_VALUE"""),"No")</f>
        <v>No</v>
      </c>
      <c r="I22" s="31" t="str">
        <f>IFERROR(__xludf.DUMMYFUNCTION("""COMPUTED_VALUE"""),"No")</f>
        <v>No</v>
      </c>
      <c r="J22" s="26"/>
      <c r="K22" s="42" t="str">
        <f>IFERROR(__xludf.DUMMYFUNCTION("""COMPUTED_VALUE"""),"NO")</f>
        <v>NO</v>
      </c>
    </row>
    <row r="23" ht="12.75" customHeight="1">
      <c r="A23" s="22"/>
      <c r="B23" s="22" t="str">
        <f>IFERROR(__xludf.DUMMYFUNCTION("""COMPUTED_VALUE"""),"Marshall Wace")</f>
        <v>Marshall Wace</v>
      </c>
      <c r="C23" s="36"/>
      <c r="D23" s="25"/>
      <c r="E23" s="28"/>
      <c r="F23" s="25"/>
      <c r="G23" s="31" t="str">
        <f>IFERROR(__xludf.DUMMYFUNCTION("""COMPUTED_VALUE"""),"Yes")</f>
        <v>Yes</v>
      </c>
      <c r="H23" s="31"/>
      <c r="I23" s="31"/>
      <c r="J23" s="26"/>
      <c r="K23" s="42" t="str">
        <f>IFERROR(__xludf.DUMMYFUNCTION("""COMPUTED_VALUE"""),"NO")</f>
        <v>NO</v>
      </c>
    </row>
    <row r="24" ht="12.75" customHeight="1">
      <c r="A24" s="22"/>
      <c r="B24" s="22" t="str">
        <f>IFERROR(__xludf.DUMMYFUNCTION("""COMPUTED_VALUE"""),"Palantir")</f>
        <v>Palantir</v>
      </c>
      <c r="C24" s="37"/>
      <c r="D24" s="29"/>
      <c r="E24" s="28"/>
      <c r="F24" s="29"/>
      <c r="G24" s="31" t="str">
        <f>IFERROR(__xludf.DUMMYFUNCTION("""COMPUTED_VALUE"""),"Yes")</f>
        <v>Yes</v>
      </c>
      <c r="H24" s="31" t="str">
        <f>IFERROR(__xludf.DUMMYFUNCTION("""COMPUTED_VALUE"""),"Optional")</f>
        <v>Optional</v>
      </c>
      <c r="I24" s="31" t="str">
        <f>IFERROR(__xludf.DUMMYFUNCTION("""COMPUTED_VALUE"""),"Yes")</f>
        <v>Yes</v>
      </c>
      <c r="J24" s="26"/>
      <c r="K24" s="42" t="str">
        <f>IFERROR(__xludf.DUMMYFUNCTION("""COMPUTED_VALUE"""),"NO")</f>
        <v>NO</v>
      </c>
    </row>
    <row r="25" ht="12.75" customHeight="1">
      <c r="A25" s="22"/>
      <c r="B25" s="22" t="str">
        <f>IFERROR(__xludf.DUMMYFUNCTION("""COMPUTED_VALUE"""),"BNP Paribas")</f>
        <v>BNP Paribas</v>
      </c>
      <c r="C25" s="36"/>
      <c r="D25" s="29"/>
      <c r="E25" s="28"/>
      <c r="F25" s="29"/>
      <c r="G25" s="31" t="str">
        <f>IFERROR(__xludf.DUMMYFUNCTION("""COMPUTED_VALUE"""),"Yes")</f>
        <v>Yes</v>
      </c>
      <c r="H25" s="31" t="str">
        <f>IFERROR(__xludf.DUMMYFUNCTION("""COMPUTED_VALUE"""),"No")</f>
        <v>No</v>
      </c>
      <c r="I25" s="31" t="str">
        <f>IFERROR(__xludf.DUMMYFUNCTION("""COMPUTED_VALUE"""),"No")</f>
        <v>No</v>
      </c>
      <c r="J25" s="26"/>
      <c r="K25" s="42" t="str">
        <f>IFERROR(__xludf.DUMMYFUNCTION("""COMPUTED_VALUE"""),"NO")</f>
        <v>NO</v>
      </c>
    </row>
    <row r="26" ht="12.75" customHeight="1">
      <c r="A26" s="22"/>
      <c r="B26" s="22" t="str">
        <f>IFERROR(__xludf.DUMMYFUNCTION("""COMPUTED_VALUE"""),"Citadel")</f>
        <v>Citadel</v>
      </c>
      <c r="C26" s="36"/>
      <c r="D26" s="29"/>
      <c r="E26" s="24"/>
      <c r="F26" s="29"/>
      <c r="G26" s="31"/>
      <c r="H26" s="31"/>
      <c r="I26" s="31"/>
      <c r="J26" s="26"/>
      <c r="K26" s="42" t="str">
        <f>IFERROR(__xludf.DUMMYFUNCTION("""COMPUTED_VALUE"""),"NO")</f>
        <v>NO</v>
      </c>
    </row>
    <row r="27" ht="12.75" customHeight="1">
      <c r="A27" s="22"/>
      <c r="B27" s="22" t="str">
        <f>IFERROR(__xludf.DUMMYFUNCTION("""COMPUTED_VALUE"""),"Jane Street")</f>
        <v>Jane Street</v>
      </c>
      <c r="C27" s="36"/>
      <c r="D27" s="29"/>
      <c r="E27" s="28"/>
      <c r="F27" s="29"/>
      <c r="G27" s="25" t="str">
        <f>IFERROR(__xludf.DUMMYFUNCTION("""COMPUTED_VALUE"""),"Yes")</f>
        <v>Yes</v>
      </c>
      <c r="H27" s="25" t="str">
        <f>IFERROR(__xludf.DUMMYFUNCTION("""COMPUTED_VALUE"""),"No")</f>
        <v>No</v>
      </c>
      <c r="I27" s="25" t="str">
        <f>IFERROR(__xludf.DUMMYFUNCTION("""COMPUTED_VALUE"""),"Yes")</f>
        <v>Yes</v>
      </c>
      <c r="J27" s="26"/>
      <c r="K27" s="42" t="str">
        <f>IFERROR(__xludf.DUMMYFUNCTION("""COMPUTED_VALUE"""),"NO")</f>
        <v>NO</v>
      </c>
    </row>
    <row r="28" ht="12.75" customHeight="1">
      <c r="A28" s="22"/>
      <c r="B28" s="22" t="str">
        <f>IFERROR(__xludf.DUMMYFUNCTION("""COMPUTED_VALUE"""),"Squarepoint Capital")</f>
        <v>Squarepoint Capital</v>
      </c>
      <c r="C28" s="37"/>
      <c r="D28" s="29"/>
      <c r="E28" s="23"/>
      <c r="F28" s="29"/>
      <c r="G28" s="25" t="str">
        <f>IFERROR(__xludf.DUMMYFUNCTION("""COMPUTED_VALUE"""),"Yes")</f>
        <v>Yes</v>
      </c>
      <c r="H28" s="25" t="str">
        <f>IFERROR(__xludf.DUMMYFUNCTION("""COMPUTED_VALUE"""),"Optional")</f>
        <v>Optional</v>
      </c>
      <c r="I28" s="25" t="str">
        <f>IFERROR(__xludf.DUMMYFUNCTION("""COMPUTED_VALUE"""),"Yes")</f>
        <v>Yes</v>
      </c>
      <c r="J28" s="26"/>
      <c r="K28" s="42" t="str">
        <f>IFERROR(__xludf.DUMMYFUNCTION("""COMPUTED_VALUE"""),"NO")</f>
        <v>NO</v>
      </c>
    </row>
    <row r="29" ht="12.75" customHeight="1">
      <c r="A29" s="22"/>
      <c r="B29" s="22" t="str">
        <f>IFERROR(__xludf.DUMMYFUNCTION("""COMPUTED_VALUE"""),"Palantir")</f>
        <v>Palantir</v>
      </c>
      <c r="C29" s="37"/>
      <c r="D29" s="29"/>
      <c r="E29" s="24"/>
      <c r="F29" s="29"/>
      <c r="G29" s="31" t="str">
        <f>IFERROR(__xludf.DUMMYFUNCTION("""COMPUTED_VALUE"""),"Yes")</f>
        <v>Yes</v>
      </c>
      <c r="H29" s="31" t="str">
        <f>IFERROR(__xludf.DUMMYFUNCTION("""COMPUTED_VALUE"""),"Optional")</f>
        <v>Optional</v>
      </c>
      <c r="I29" s="31" t="str">
        <f>IFERROR(__xludf.DUMMYFUNCTION("""COMPUTED_VALUE"""),"Yes")</f>
        <v>Yes</v>
      </c>
      <c r="J29" s="26"/>
      <c r="K29" s="42" t="str">
        <f>IFERROR(__xludf.DUMMYFUNCTION("""COMPUTED_VALUE"""),"NO")</f>
        <v>NO</v>
      </c>
    </row>
    <row r="30" ht="12.75" customHeight="1">
      <c r="A30" s="22"/>
      <c r="B30" s="22" t="str">
        <f>IFERROR(__xludf.DUMMYFUNCTION("""COMPUTED_VALUE"""),"Accelercom")</f>
        <v>Accelercom</v>
      </c>
      <c r="C30" s="36"/>
      <c r="D30" s="29"/>
      <c r="E30" s="28"/>
      <c r="F30" s="29"/>
      <c r="G30" s="33" t="str">
        <f>IFERROR(__xludf.DUMMYFUNCTION("""COMPUTED_VALUE"""),"Yes")</f>
        <v>Yes</v>
      </c>
      <c r="H30" s="33" t="str">
        <f>IFERROR(__xludf.DUMMYFUNCTION("""COMPUTED_VALUE"""),"Yes")</f>
        <v>Yes</v>
      </c>
      <c r="I30" s="33" t="str">
        <f>IFERROR(__xludf.DUMMYFUNCTION("""COMPUTED_VALUE"""),"No")</f>
        <v>No</v>
      </c>
      <c r="J30" s="26"/>
      <c r="K30" s="42" t="str">
        <f>IFERROR(__xludf.DUMMYFUNCTION("""COMPUTED_VALUE"""),"NO")</f>
        <v>NO</v>
      </c>
    </row>
    <row r="31" ht="12.75" customHeight="1">
      <c r="A31" s="22"/>
      <c r="B31" s="22" t="str">
        <f>IFERROR(__xludf.DUMMYFUNCTION("""COMPUTED_VALUE"""),"Addepar")</f>
        <v>Addepar</v>
      </c>
      <c r="C31" s="37"/>
      <c r="D31" s="29"/>
      <c r="E31" s="28"/>
      <c r="F31" s="29"/>
      <c r="G31" s="31" t="str">
        <f>IFERROR(__xludf.DUMMYFUNCTION("""COMPUTED_VALUE"""),"Yes")</f>
        <v>Yes</v>
      </c>
      <c r="H31" s="31" t="str">
        <f>IFERROR(__xludf.DUMMYFUNCTION("""COMPUTED_VALUE"""),"Optional")</f>
        <v>Optional</v>
      </c>
      <c r="I31" s="31" t="str">
        <f>IFERROR(__xludf.DUMMYFUNCTION("""COMPUTED_VALUE"""),"No")</f>
        <v>No</v>
      </c>
      <c r="J31" s="26"/>
      <c r="K31" s="42" t="str">
        <f>IFERROR(__xludf.DUMMYFUNCTION("""COMPUTED_VALUE"""),"NO")</f>
        <v>NO</v>
      </c>
    </row>
    <row r="32" ht="12.75" customHeight="1">
      <c r="A32" s="22"/>
      <c r="B32" s="22" t="str">
        <f>IFERROR(__xludf.DUMMYFUNCTION("""COMPUTED_VALUE"""),"BP")</f>
        <v>BP</v>
      </c>
      <c r="C32" s="37"/>
      <c r="D32" s="29"/>
      <c r="E32" s="24"/>
      <c r="F32" s="29"/>
      <c r="G32" s="31"/>
      <c r="H32" s="31"/>
      <c r="I32" s="31"/>
      <c r="J32" s="26"/>
      <c r="K32" s="42" t="str">
        <f>IFERROR(__xludf.DUMMYFUNCTION("""COMPUTED_VALUE"""),"NO")</f>
        <v>NO</v>
      </c>
    </row>
    <row r="33" ht="12.75" customHeight="1">
      <c r="A33" s="22"/>
      <c r="B33" s="22" t="str">
        <f>IFERROR(__xludf.DUMMYFUNCTION("""COMPUTED_VALUE"""),"Financial Conduct Authority")</f>
        <v>Financial Conduct Authority</v>
      </c>
      <c r="C33" s="36"/>
      <c r="D33" s="29"/>
      <c r="E33" s="28"/>
      <c r="F33" s="29"/>
      <c r="G33" s="33"/>
      <c r="H33" s="34"/>
      <c r="I33" s="33"/>
      <c r="J33" s="26"/>
      <c r="K33" s="42" t="str">
        <f>IFERROR(__xludf.DUMMYFUNCTION("""COMPUTED_VALUE"""),"NO")</f>
        <v>NO</v>
      </c>
    </row>
    <row r="34" ht="12.75" customHeight="1">
      <c r="A34" s="22"/>
      <c r="B34" s="22" t="str">
        <f>IFERROR(__xludf.DUMMYFUNCTION("""COMPUTED_VALUE"""),"IMC Trading")</f>
        <v>IMC Trading</v>
      </c>
      <c r="C34" s="37"/>
      <c r="D34" s="29"/>
      <c r="E34" s="28"/>
      <c r="F34" s="29"/>
      <c r="G34" s="31"/>
      <c r="H34" s="31"/>
      <c r="I34" s="31"/>
      <c r="J34" s="26"/>
      <c r="K34" s="42" t="str">
        <f>IFERROR(__xludf.DUMMYFUNCTION("""COMPUTED_VALUE"""),"NO")</f>
        <v>NO</v>
      </c>
    </row>
    <row r="35" ht="12.75" customHeight="1">
      <c r="A35" s="22"/>
      <c r="B35" s="22" t="str">
        <f>IFERROR(__xludf.DUMMYFUNCTION("""COMPUTED_VALUE"""),"Marsh McLennan")</f>
        <v>Marsh McLennan</v>
      </c>
      <c r="C35" s="37"/>
      <c r="D35" s="29"/>
      <c r="E35" s="28"/>
      <c r="F35" s="29"/>
      <c r="G35" s="25"/>
      <c r="H35" s="25"/>
      <c r="I35" s="25"/>
      <c r="J35" s="26"/>
      <c r="K35" s="42" t="str">
        <f>IFERROR(__xludf.DUMMYFUNCTION("""COMPUTED_VALUE"""),"NO")</f>
        <v>NO</v>
      </c>
    </row>
    <row r="36" ht="12.75" customHeight="1">
      <c r="A36" s="22"/>
      <c r="B36" s="22" t="str">
        <f>IFERROR(__xludf.DUMMYFUNCTION("""COMPUTED_VALUE"""),"National Highways")</f>
        <v>National Highways</v>
      </c>
      <c r="C36" s="25"/>
      <c r="D36" s="29"/>
      <c r="E36" s="25"/>
      <c r="F36" s="29"/>
      <c r="G36" s="31"/>
      <c r="H36" s="31"/>
      <c r="I36" s="31"/>
      <c r="J36" s="26"/>
      <c r="K36" s="42" t="str">
        <f>IFERROR(__xludf.DUMMYFUNCTION("""COMPUTED_VALUE"""),"NO")</f>
        <v>NO</v>
      </c>
    </row>
    <row r="37" ht="12.75" customHeight="1">
      <c r="A37" s="22"/>
      <c r="B37" s="22" t="str">
        <f>IFERROR(__xludf.DUMMYFUNCTION("""COMPUTED_VALUE"""),"Netcraft")</f>
        <v>Netcraft</v>
      </c>
      <c r="C37" s="37"/>
      <c r="D37" s="29"/>
      <c r="E37" s="28"/>
      <c r="F37" s="29"/>
      <c r="G37" s="33"/>
      <c r="H37" s="33"/>
      <c r="I37" s="33"/>
      <c r="J37" s="26"/>
      <c r="K37" s="42" t="str">
        <f>IFERROR(__xludf.DUMMYFUNCTION("""COMPUTED_VALUE"""),"NO")</f>
        <v>NO</v>
      </c>
    </row>
    <row r="38" ht="12.75" customHeight="1">
      <c r="A38" s="22"/>
      <c r="B38" s="22" t="str">
        <f>IFERROR(__xludf.DUMMYFUNCTION("""COMPUTED_VALUE"""),"Nutanix")</f>
        <v>Nutanix</v>
      </c>
      <c r="C38" s="37"/>
      <c r="D38" s="29"/>
      <c r="E38" s="24"/>
      <c r="F38" s="29"/>
      <c r="G38" s="25"/>
      <c r="H38" s="25"/>
      <c r="I38" s="25"/>
      <c r="J38" s="26"/>
      <c r="K38" s="42" t="str">
        <f>IFERROR(__xludf.DUMMYFUNCTION("""COMPUTED_VALUE"""),"NO")</f>
        <v>NO</v>
      </c>
    </row>
    <row r="39" ht="12.75" customHeight="1">
      <c r="A39" s="22"/>
      <c r="B39" s="22" t="str">
        <f>IFERROR(__xludf.DUMMYFUNCTION("""COMPUTED_VALUE"""),"Softwire")</f>
        <v>Softwire</v>
      </c>
      <c r="C39" s="37"/>
      <c r="D39" s="29"/>
      <c r="E39" s="28"/>
      <c r="F39" s="29"/>
      <c r="G39" s="25" t="str">
        <f>IFERROR(__xludf.DUMMYFUNCTION("""COMPUTED_VALUE"""),"No")</f>
        <v>No</v>
      </c>
      <c r="H39" s="25" t="str">
        <f>IFERROR(__xludf.DUMMYFUNCTION("""COMPUTED_VALUE"""),"No")</f>
        <v>No</v>
      </c>
      <c r="I39" s="25" t="str">
        <f>IFERROR(__xludf.DUMMYFUNCTION("""COMPUTED_VALUE"""),"Yes")</f>
        <v>Yes</v>
      </c>
      <c r="J39" s="26"/>
      <c r="K39" s="42" t="str">
        <f>IFERROR(__xludf.DUMMYFUNCTION("""COMPUTED_VALUE"""),"NO")</f>
        <v>NO</v>
      </c>
    </row>
    <row r="40" ht="12.75" customHeight="1">
      <c r="A40" s="22"/>
      <c r="B40" s="22" t="str">
        <f>IFERROR(__xludf.DUMMYFUNCTION("""COMPUTED_VALUE"""),"Terra")</f>
        <v>Terra</v>
      </c>
      <c r="C40" s="37"/>
      <c r="D40" s="29"/>
      <c r="E40" s="28"/>
      <c r="F40" s="29"/>
      <c r="G40" s="25"/>
      <c r="H40" s="25"/>
      <c r="I40" s="25"/>
      <c r="J40" s="26"/>
      <c r="K40" s="42" t="str">
        <f>IFERROR(__xludf.DUMMYFUNCTION("""COMPUTED_VALUE"""),"NO")</f>
        <v>NO</v>
      </c>
    </row>
    <row r="41" ht="12.75" customHeight="1">
      <c r="A41" s="22"/>
      <c r="B41" s="22" t="str">
        <f>IFERROR(__xludf.DUMMYFUNCTION("""COMPUTED_VALUE"""),"Two Sigma")</f>
        <v>Two Sigma</v>
      </c>
      <c r="C41" s="36"/>
      <c r="D41" s="29"/>
      <c r="E41" s="24"/>
      <c r="F41" s="29"/>
      <c r="G41" s="31"/>
      <c r="H41" s="31"/>
      <c r="I41" s="31"/>
      <c r="J41" s="26"/>
      <c r="K41" s="42" t="str">
        <f>IFERROR(__xludf.DUMMYFUNCTION("""COMPUTED_VALUE"""),"NO")</f>
        <v>NO</v>
      </c>
    </row>
    <row r="42" ht="12.75" customHeight="1">
      <c r="A42" s="22"/>
      <c r="B42" s="22" t="str">
        <f>IFERROR(__xludf.DUMMYFUNCTION("""COMPUTED_VALUE"""),"Universal Music Group")</f>
        <v>Universal Music Group</v>
      </c>
      <c r="C42" s="36"/>
      <c r="D42" s="29"/>
      <c r="E42" s="24"/>
      <c r="F42" s="29"/>
      <c r="G42" s="31"/>
      <c r="H42" s="31"/>
      <c r="I42" s="31"/>
      <c r="J42" s="26"/>
      <c r="K42" s="42" t="str">
        <f>IFERROR(__xludf.DUMMYFUNCTION("""COMPUTED_VALUE"""),"NO")</f>
        <v>NO</v>
      </c>
    </row>
    <row r="43" ht="12.75" customHeight="1">
      <c r="A43" s="22"/>
      <c r="B43" s="22" t="str">
        <f>IFERROR(__xludf.DUMMYFUNCTION("""COMPUTED_VALUE"""),"D.E. Shaw")</f>
        <v>D.E. Shaw</v>
      </c>
      <c r="C43" s="37"/>
      <c r="D43" s="29"/>
      <c r="E43" s="28"/>
      <c r="F43" s="29"/>
      <c r="G43" s="25"/>
      <c r="H43" s="25"/>
      <c r="I43" s="25"/>
      <c r="J43" s="26"/>
      <c r="K43" s="42" t="str">
        <f>IFERROR(__xludf.DUMMYFUNCTION("""COMPUTED_VALUE"""),"NO")</f>
        <v>NO</v>
      </c>
    </row>
    <row r="44" ht="12.75" customHeight="1">
      <c r="A44" s="22"/>
      <c r="B44" s="22" t="str">
        <f>IFERROR(__xludf.DUMMYFUNCTION("""COMPUTED_VALUE"""),"Goldman Sachs")</f>
        <v>Goldman Sachs</v>
      </c>
      <c r="C44" s="37"/>
      <c r="D44" s="23"/>
      <c r="E44" s="28"/>
      <c r="F44" s="23"/>
      <c r="G44" s="38"/>
      <c r="H44" s="38"/>
      <c r="I44" s="38"/>
      <c r="J44" s="26"/>
      <c r="K44" s="42" t="str">
        <f>IFERROR(__xludf.DUMMYFUNCTION("""COMPUTED_VALUE"""),"NO")</f>
        <v>NO</v>
      </c>
    </row>
    <row r="45" ht="12.75" customHeight="1">
      <c r="A45" s="22"/>
      <c r="B45" s="22" t="str">
        <f>IFERROR(__xludf.DUMMYFUNCTION("""COMPUTED_VALUE"""),"RBC Capital Markets")</f>
        <v>RBC Capital Markets</v>
      </c>
      <c r="C45" s="37"/>
      <c r="D45" s="29"/>
      <c r="E45" s="28"/>
      <c r="F45" s="29"/>
      <c r="G45" s="31"/>
      <c r="H45" s="31"/>
      <c r="I45" s="31"/>
      <c r="J45" s="26"/>
      <c r="K45" s="42" t="str">
        <f>IFERROR(__xludf.DUMMYFUNCTION("""COMPUTED_VALUE"""),"NO")</f>
        <v>NO</v>
      </c>
    </row>
    <row r="46" ht="12.75" customHeight="1">
      <c r="A46" s="22"/>
      <c r="B46" s="22" t="str">
        <f>IFERROR(__xludf.DUMMYFUNCTION("""COMPUTED_VALUE"""),"HSBC")</f>
        <v>HSBC</v>
      </c>
      <c r="C46" s="36"/>
      <c r="D46" s="29"/>
      <c r="E46" s="28"/>
      <c r="F46" s="29"/>
      <c r="G46" s="25"/>
      <c r="H46" s="25"/>
      <c r="I46" s="25"/>
      <c r="J46" s="26"/>
      <c r="K46" s="42" t="str">
        <f>IFERROR(__xludf.DUMMYFUNCTION("""COMPUTED_VALUE"""),"NO")</f>
        <v>NO</v>
      </c>
    </row>
    <row r="47" ht="12.75" customHeight="1">
      <c r="A47" s="22"/>
      <c r="B47" s="22" t="str">
        <f>IFERROR(__xludf.DUMMYFUNCTION("""COMPUTED_VALUE"""),"Jump Trading")</f>
        <v>Jump Trading</v>
      </c>
      <c r="C47" s="36"/>
      <c r="D47" s="29"/>
      <c r="E47" s="28"/>
      <c r="F47" s="29"/>
      <c r="G47" s="31" t="str">
        <f>IFERROR(__xludf.DUMMYFUNCTION("""COMPUTED_VALUE"""),"Yes")</f>
        <v>Yes</v>
      </c>
      <c r="H47" s="31" t="str">
        <f>IFERROR(__xludf.DUMMYFUNCTION("""COMPUTED_VALUE"""),"Optional")</f>
        <v>Optional</v>
      </c>
      <c r="I47" s="31" t="str">
        <f>IFERROR(__xludf.DUMMYFUNCTION("""COMPUTED_VALUE"""),"No")</f>
        <v>No</v>
      </c>
      <c r="J47" s="26"/>
      <c r="K47" s="42" t="str">
        <f>IFERROR(__xludf.DUMMYFUNCTION("""COMPUTED_VALUE"""),"NO")</f>
        <v>NO</v>
      </c>
    </row>
    <row r="48" ht="12.75" customHeight="1">
      <c r="A48" s="22"/>
      <c r="B48" s="22" t="str">
        <f>IFERROR(__xludf.DUMMYFUNCTION("""COMPUTED_VALUE"""),"BNY Mellon")</f>
        <v>BNY Mellon</v>
      </c>
      <c r="C48" s="36"/>
      <c r="D48" s="29"/>
      <c r="E48" s="28"/>
      <c r="F48" s="29"/>
      <c r="G48" s="31"/>
      <c r="H48" s="31"/>
      <c r="I48" s="31"/>
      <c r="J48" s="26"/>
      <c r="K48" s="42" t="str">
        <f>IFERROR(__xludf.DUMMYFUNCTION("""COMPUTED_VALUE"""),"NO")</f>
        <v>NO</v>
      </c>
    </row>
    <row r="49" ht="12.75" customHeight="1">
      <c r="A49" s="22"/>
      <c r="B49" s="22" t="str">
        <f>IFERROR(__xludf.DUMMYFUNCTION("""COMPUTED_VALUE"""),"Galaxy")</f>
        <v>Galaxy</v>
      </c>
      <c r="C49" s="37"/>
      <c r="D49" s="29"/>
      <c r="E49" s="28"/>
      <c r="F49" s="29"/>
      <c r="G49" s="25" t="str">
        <f>IFERROR(__xludf.DUMMYFUNCTION("""COMPUTED_VALUE"""),"Yes")</f>
        <v>Yes</v>
      </c>
      <c r="H49" s="31" t="str">
        <f>IFERROR(__xludf.DUMMYFUNCTION("""COMPUTED_VALUE"""),"Optional")</f>
        <v>Optional</v>
      </c>
      <c r="I49" s="31" t="str">
        <f>IFERROR(__xludf.DUMMYFUNCTION("""COMPUTED_VALUE"""),"Yes")</f>
        <v>Yes</v>
      </c>
      <c r="J49" s="26"/>
      <c r="K49" s="42" t="str">
        <f>IFERROR(__xludf.DUMMYFUNCTION("""COMPUTED_VALUE"""),"NO")</f>
        <v>NO</v>
      </c>
    </row>
    <row r="50" ht="12.75" customHeight="1">
      <c r="A50" s="22"/>
      <c r="B50" s="22" t="str">
        <f>IFERROR(__xludf.DUMMYFUNCTION("""COMPUTED_VALUE"""),"Hudson River Trading")</f>
        <v>Hudson River Trading</v>
      </c>
      <c r="C50" s="37"/>
      <c r="D50" s="29"/>
      <c r="E50" s="28"/>
      <c r="F50" s="29"/>
      <c r="G50" s="31"/>
      <c r="H50" s="31"/>
      <c r="I50" s="31"/>
      <c r="J50" s="26"/>
      <c r="K50" s="42" t="str">
        <f>IFERROR(__xludf.DUMMYFUNCTION("""COMPUTED_VALUE"""),"NO")</f>
        <v>NO</v>
      </c>
    </row>
    <row r="51" ht="12.75" customHeight="1">
      <c r="A51" s="22"/>
      <c r="B51" s="22" t="str">
        <f>IFERROR(__xludf.DUMMYFUNCTION("""COMPUTED_VALUE"""),"Optiver")</f>
        <v>Optiver</v>
      </c>
      <c r="C51" s="36"/>
      <c r="D51" s="29"/>
      <c r="E51" s="28"/>
      <c r="F51" s="29"/>
      <c r="G51" s="31" t="str">
        <f>IFERROR(__xludf.DUMMYFUNCTION("""COMPUTED_VALUE"""),"Yes")</f>
        <v>Yes</v>
      </c>
      <c r="H51" s="31" t="str">
        <f>IFERROR(__xludf.DUMMYFUNCTION("""COMPUTED_VALUE"""),"Yes")</f>
        <v>Yes</v>
      </c>
      <c r="I51" s="31" t="str">
        <f>IFERROR(__xludf.DUMMYFUNCTION("""COMPUTED_VALUE"""),"No")</f>
        <v>No</v>
      </c>
      <c r="J51" s="26"/>
      <c r="K51" s="42" t="str">
        <f>IFERROR(__xludf.DUMMYFUNCTION("""COMPUTED_VALUE"""),"NO")</f>
        <v>NO</v>
      </c>
    </row>
    <row r="52" ht="12.75" customHeight="1">
      <c r="A52" s="22"/>
      <c r="B52" s="22" t="str">
        <f>IFERROR(__xludf.DUMMYFUNCTION("""COMPUTED_VALUE"""),"J.P. Morgan")</f>
        <v>J.P. Morgan</v>
      </c>
      <c r="C52" s="37"/>
      <c r="D52" s="29"/>
      <c r="E52" s="28"/>
      <c r="F52" s="29"/>
      <c r="G52" s="29" t="str">
        <f>IFERROR(__xludf.DUMMYFUNCTION("""COMPUTED_VALUE"""),"Yes")</f>
        <v>Yes</v>
      </c>
      <c r="H52" s="43" t="str">
        <f>IFERROR(__xludf.DUMMYFUNCTION("""COMPUTED_VALUE"""),"Yes")</f>
        <v>Yes</v>
      </c>
      <c r="I52" s="25" t="str">
        <f>IFERROR(__xludf.DUMMYFUNCTION("""COMPUTED_VALUE"""),"No")</f>
        <v>No</v>
      </c>
      <c r="J52" s="39"/>
      <c r="K52" s="42" t="str">
        <f>IFERROR(__xludf.DUMMYFUNCTION("""COMPUTED_VALUE"""),"NO")</f>
        <v>NO</v>
      </c>
    </row>
    <row r="53" ht="12.75" customHeight="1">
      <c r="A53" s="22"/>
      <c r="B53" s="22" t="str">
        <f>IFERROR(__xludf.DUMMYFUNCTION("""COMPUTED_VALUE"""),"Man Group")</f>
        <v>Man Group</v>
      </c>
      <c r="C53" s="37"/>
      <c r="D53" s="29"/>
      <c r="E53" s="28"/>
      <c r="F53" s="29"/>
      <c r="G53" s="25"/>
      <c r="H53" s="25"/>
      <c r="I53" s="25"/>
      <c r="J53" s="26"/>
      <c r="K53" s="42" t="str">
        <f>IFERROR(__xludf.DUMMYFUNCTION("""COMPUTED_VALUE"""),"NO")</f>
        <v>NO</v>
      </c>
    </row>
    <row r="54" ht="12.75" customHeight="1">
      <c r="A54" s="22"/>
      <c r="B54" s="22" t="str">
        <f>IFERROR(__xludf.DUMMYFUNCTION("""COMPUTED_VALUE"""),"Barclays")</f>
        <v>Barclays</v>
      </c>
      <c r="C54" s="37"/>
      <c r="D54" s="29"/>
      <c r="E54" s="28"/>
      <c r="F54" s="29"/>
      <c r="G54" s="25" t="str">
        <f>IFERROR(__xludf.DUMMYFUNCTION("""COMPUTED_VALUE"""),"Yes")</f>
        <v>Yes</v>
      </c>
      <c r="H54" s="25" t="str">
        <f>IFERROR(__xludf.DUMMYFUNCTION("""COMPUTED_VALUE"""),"Yes")</f>
        <v>Yes</v>
      </c>
      <c r="I54" s="25" t="str">
        <f>IFERROR(__xludf.DUMMYFUNCTION("""COMPUTED_VALUE"""),"No")</f>
        <v>No</v>
      </c>
      <c r="J54" s="26"/>
      <c r="K54" s="42" t="str">
        <f>IFERROR(__xludf.DUMMYFUNCTION("""COMPUTED_VALUE"""),"NO")</f>
        <v>NO</v>
      </c>
    </row>
    <row r="55" ht="12.75" customHeight="1">
      <c r="A55" s="22"/>
      <c r="B55" s="22" t="str">
        <f>IFERROR(__xludf.DUMMYFUNCTION("""COMPUTED_VALUE"""),"Balyasny Asset Management")</f>
        <v>Balyasny Asset Management</v>
      </c>
      <c r="C55" s="36"/>
      <c r="D55" s="29"/>
      <c r="E55" s="28"/>
      <c r="F55" s="29"/>
      <c r="G55" s="25"/>
      <c r="H55" s="25"/>
      <c r="I55" s="25"/>
      <c r="J55" s="26"/>
      <c r="K55" s="42" t="str">
        <f>IFERROR(__xludf.DUMMYFUNCTION("""COMPUTED_VALUE"""),"NO")</f>
        <v>NO</v>
      </c>
    </row>
    <row r="56" ht="12.75" customHeight="1">
      <c r="A56" s="22"/>
      <c r="B56" s="22" t="str">
        <f>IFERROR(__xludf.DUMMYFUNCTION("""COMPUTED_VALUE"""),"Epic Games")</f>
        <v>Epic Games</v>
      </c>
      <c r="C56" s="37"/>
      <c r="D56" s="29"/>
      <c r="E56" s="28"/>
      <c r="F56" s="29"/>
      <c r="G56" s="43" t="str">
        <f>IFERROR(__xludf.DUMMYFUNCTION("""COMPUTED_VALUE"""),"Yes")</f>
        <v>Yes</v>
      </c>
      <c r="H56" s="25" t="str">
        <f>IFERROR(__xludf.DUMMYFUNCTION("""COMPUTED_VALUE"""),"Optional")</f>
        <v>Optional</v>
      </c>
      <c r="I56" s="25" t="str">
        <f>IFERROR(__xludf.DUMMYFUNCTION("""COMPUTED_VALUE"""),"No")</f>
        <v>No</v>
      </c>
      <c r="J56" s="26"/>
      <c r="K56" s="42" t="str">
        <f>IFERROR(__xludf.DUMMYFUNCTION("""COMPUTED_VALUE"""),"NO")</f>
        <v>NO</v>
      </c>
    </row>
    <row r="57" ht="12.75" customHeight="1">
      <c r="A57" s="22"/>
      <c r="B57" s="22" t="str">
        <f>IFERROR(__xludf.DUMMYFUNCTION("""COMPUTED_VALUE"""),"American Express")</f>
        <v>American Express</v>
      </c>
      <c r="C57" s="22"/>
      <c r="D57" s="29"/>
      <c r="E57" s="28"/>
      <c r="F57" s="29"/>
      <c r="G57" s="25"/>
      <c r="H57" s="25"/>
      <c r="I57" s="25"/>
      <c r="J57" s="26"/>
      <c r="K57" s="42" t="str">
        <f>IFERROR(__xludf.DUMMYFUNCTION("""COMPUTED_VALUE"""),"NO")</f>
        <v>NO</v>
      </c>
    </row>
    <row r="58" ht="12.75" customHeight="1">
      <c r="A58" s="22"/>
      <c r="B58" s="22" t="str">
        <f>IFERROR(__xludf.DUMMYFUNCTION("""COMPUTED_VALUE"""),"EY")</f>
        <v>EY</v>
      </c>
      <c r="C58" s="37"/>
      <c r="D58" s="29"/>
      <c r="E58" s="28"/>
      <c r="F58" s="29"/>
      <c r="G58" s="25"/>
      <c r="H58" s="25"/>
      <c r="I58" s="25"/>
      <c r="J58" s="26"/>
      <c r="K58" s="42" t="str">
        <f>IFERROR(__xludf.DUMMYFUNCTION("""COMPUTED_VALUE"""),"NO")</f>
        <v>NO</v>
      </c>
    </row>
    <row r="59" ht="12.75" customHeight="1">
      <c r="A59" s="22"/>
      <c r="B59" s="22" t="str">
        <f>IFERROR(__xludf.DUMMYFUNCTION("""COMPUTED_VALUE"""),"Natwest Markets")</f>
        <v>Natwest Markets</v>
      </c>
      <c r="C59" s="36"/>
      <c r="D59" s="29"/>
      <c r="E59" s="24"/>
      <c r="F59" s="29"/>
      <c r="G59" s="25"/>
      <c r="H59" s="25"/>
      <c r="I59" s="25"/>
      <c r="J59" s="26"/>
      <c r="K59" s="42" t="str">
        <f>IFERROR(__xludf.DUMMYFUNCTION("""COMPUTED_VALUE"""),"NO")</f>
        <v>NO</v>
      </c>
    </row>
    <row r="60" ht="12.75" customHeight="1">
      <c r="A60" s="22"/>
      <c r="B60" s="22" t="str">
        <f>IFERROR(__xludf.DUMMYFUNCTION("""COMPUTED_VALUE"""),"Schonfeld")</f>
        <v>Schonfeld</v>
      </c>
      <c r="C60" s="36"/>
      <c r="D60" s="29"/>
      <c r="E60" s="24"/>
      <c r="F60" s="29"/>
      <c r="G60" s="25" t="str">
        <f>IFERROR(__xludf.DUMMYFUNCTION("""COMPUTED_VALUE"""),"Yes")</f>
        <v>Yes</v>
      </c>
      <c r="H60" s="25" t="str">
        <f>IFERROR(__xludf.DUMMYFUNCTION("""COMPUTED_VALUE"""),"Optional")</f>
        <v>Optional</v>
      </c>
      <c r="I60" s="25" t="str">
        <f>IFERROR(__xludf.DUMMYFUNCTION("""COMPUTED_VALUE"""),"No")</f>
        <v>No</v>
      </c>
      <c r="J60" s="26" t="str">
        <f>IFERROR(__xludf.DUMMYFUNCTION("""COMPUTED_VALUE"""),"There is another opening for Platform Engineering")</f>
        <v>There is another opening for Platform Engineering</v>
      </c>
      <c r="K60" s="42" t="str">
        <f>IFERROR(__xludf.DUMMYFUNCTION("""COMPUTED_VALUE"""),"NO")</f>
        <v>NO</v>
      </c>
    </row>
    <row r="61" ht="12.75" customHeight="1">
      <c r="A61" s="22"/>
      <c r="B61" s="22" t="str">
        <f>IFERROR(__xludf.DUMMYFUNCTION("""COMPUTED_VALUE"""),"Willis Towers Watson")</f>
        <v>Willis Towers Watson</v>
      </c>
      <c r="C61" s="36"/>
      <c r="D61" s="29"/>
      <c r="E61" s="28"/>
      <c r="F61" s="29"/>
      <c r="G61" s="25" t="str">
        <f>IFERROR(__xludf.DUMMYFUNCTION("""COMPUTED_VALUE"""),"Yes")</f>
        <v>Yes</v>
      </c>
      <c r="H61" s="25" t="str">
        <f>IFERROR(__xludf.DUMMYFUNCTION("""COMPUTED_VALUE"""),"No")</f>
        <v>No</v>
      </c>
      <c r="I61" s="25" t="str">
        <f>IFERROR(__xludf.DUMMYFUNCTION("""COMPUTED_VALUE"""),"No")</f>
        <v>No</v>
      </c>
      <c r="J61" s="26"/>
      <c r="K61" s="42" t="str">
        <f>IFERROR(__xludf.DUMMYFUNCTION("""COMPUTED_VALUE"""),"NO")</f>
        <v>NO</v>
      </c>
    </row>
    <row r="62" ht="12.75" customHeight="1">
      <c r="A62" s="22"/>
      <c r="B62" s="22" t="str">
        <f>IFERROR(__xludf.DUMMYFUNCTION("""COMPUTED_VALUE"""),"M&amp;G")</f>
        <v>M&amp;G</v>
      </c>
      <c r="C62" s="37"/>
      <c r="D62" s="29"/>
      <c r="E62" s="24"/>
      <c r="F62" s="29"/>
      <c r="G62" s="31" t="str">
        <f>IFERROR(__xludf.DUMMYFUNCTION("""COMPUTED_VALUE"""),"Yes")</f>
        <v>Yes</v>
      </c>
      <c r="H62" s="31" t="str">
        <f>IFERROR(__xludf.DUMMYFUNCTION("""COMPUTED_VALUE"""),"No")</f>
        <v>No</v>
      </c>
      <c r="I62" s="31" t="str">
        <f>IFERROR(__xludf.DUMMYFUNCTION("""COMPUTED_VALUE"""),"Yes")</f>
        <v>Yes</v>
      </c>
      <c r="J62" s="26"/>
      <c r="K62" s="42" t="str">
        <f>IFERROR(__xludf.DUMMYFUNCTION("""COMPUTED_VALUE"""),"NO")</f>
        <v>NO</v>
      </c>
    </row>
    <row r="63" ht="12.75" customHeight="1">
      <c r="A63" s="22"/>
      <c r="B63" s="22" t="str">
        <f>IFERROR(__xludf.DUMMYFUNCTION("""COMPUTED_VALUE"""),"Textron")</f>
        <v>Textron</v>
      </c>
      <c r="C63" s="37"/>
      <c r="D63" s="29"/>
      <c r="E63" s="28"/>
      <c r="F63" s="29"/>
      <c r="G63" s="31"/>
      <c r="H63" s="31"/>
      <c r="I63" s="31"/>
      <c r="J63" s="26"/>
      <c r="K63" s="42" t="str">
        <f>IFERROR(__xludf.DUMMYFUNCTION("""COMPUTED_VALUE"""),"NO")</f>
        <v>NO</v>
      </c>
    </row>
    <row r="64" ht="12.75" customHeight="1">
      <c r="A64" s="22"/>
      <c r="B64" s="22" t="str">
        <f>IFERROR(__xludf.DUMMYFUNCTION("""COMPUTED_VALUE"""),"TD Securities")</f>
        <v>TD Securities</v>
      </c>
      <c r="C64" s="36"/>
      <c r="D64" s="29"/>
      <c r="E64" s="24"/>
      <c r="F64" s="29"/>
      <c r="G64" s="31" t="str">
        <f>IFERROR(__xludf.DUMMYFUNCTION("""COMPUTED_VALUE"""),"Yes")</f>
        <v>Yes</v>
      </c>
      <c r="H64" s="31" t="str">
        <f>IFERROR(__xludf.DUMMYFUNCTION("""COMPUTED_VALUE"""),"No")</f>
        <v>No</v>
      </c>
      <c r="I64" s="31" t="str">
        <f>IFERROR(__xludf.DUMMYFUNCTION("""COMPUTED_VALUE"""),"No")</f>
        <v>No</v>
      </c>
      <c r="J64" s="26"/>
      <c r="K64" s="42" t="str">
        <f>IFERROR(__xludf.DUMMYFUNCTION("""COMPUTED_VALUE"""),"NO")</f>
        <v>NO</v>
      </c>
    </row>
    <row r="65" ht="12.75" customHeight="1">
      <c r="A65" s="22"/>
      <c r="B65" s="22" t="str">
        <f>IFERROR(__xludf.DUMMYFUNCTION("""COMPUTED_VALUE"""),"Cloudflare")</f>
        <v>Cloudflare</v>
      </c>
      <c r="C65" s="37"/>
      <c r="D65" s="29"/>
      <c r="E65" s="28"/>
      <c r="F65" s="29"/>
      <c r="G65" s="25" t="str">
        <f>IFERROR(__xludf.DUMMYFUNCTION("""COMPUTED_VALUE"""),"Yes")</f>
        <v>Yes</v>
      </c>
      <c r="H65" s="25" t="str">
        <f>IFERROR(__xludf.DUMMYFUNCTION("""COMPUTED_VALUE"""),"Optional")</f>
        <v>Optional</v>
      </c>
      <c r="I65" s="25" t="str">
        <f>IFERROR(__xludf.DUMMYFUNCTION("""COMPUTED_VALUE"""),"Yes")</f>
        <v>Yes</v>
      </c>
      <c r="J65" s="26"/>
      <c r="K65" s="42" t="str">
        <f>IFERROR(__xludf.DUMMYFUNCTION("""COMPUTED_VALUE"""),"NO")</f>
        <v>NO</v>
      </c>
    </row>
    <row r="66" ht="12.75" customHeight="1">
      <c r="A66" s="22"/>
      <c r="B66" s="22" t="str">
        <f>IFERROR(__xludf.DUMMYFUNCTION("""COMPUTED_VALUE"""),"MathWorks")</f>
        <v>MathWorks</v>
      </c>
      <c r="C66" s="36"/>
      <c r="D66" s="29"/>
      <c r="E66" s="28"/>
      <c r="F66" s="29"/>
      <c r="G66" s="31"/>
      <c r="H66" s="31"/>
      <c r="I66" s="31"/>
      <c r="J66" s="26"/>
      <c r="K66" s="42" t="str">
        <f>IFERROR(__xludf.DUMMYFUNCTION("""COMPUTED_VALUE"""),"NO")</f>
        <v>NO</v>
      </c>
    </row>
    <row r="67" ht="12.75" customHeight="1">
      <c r="A67" s="22"/>
      <c r="B67" s="22" t="str">
        <f>IFERROR(__xludf.DUMMYFUNCTION("""COMPUTED_VALUE"""),"Tesco")</f>
        <v>Tesco</v>
      </c>
      <c r="C67" s="37"/>
      <c r="D67" s="29"/>
      <c r="E67" s="28"/>
      <c r="F67" s="29"/>
      <c r="G67" s="25"/>
      <c r="H67" s="25"/>
      <c r="I67" s="25"/>
      <c r="J67" s="26"/>
      <c r="K67" s="42" t="str">
        <f>IFERROR(__xludf.DUMMYFUNCTION("""COMPUTED_VALUE"""),"NO")</f>
        <v>NO</v>
      </c>
    </row>
    <row r="68" ht="12.75" customHeight="1">
      <c r="A68" s="22"/>
      <c r="B68" s="22" t="str">
        <f>IFERROR(__xludf.DUMMYFUNCTION("""COMPUTED_VALUE"""),"McLaren")</f>
        <v>McLaren</v>
      </c>
      <c r="C68" s="36"/>
      <c r="D68" s="29"/>
      <c r="E68" s="28"/>
      <c r="F68" s="29"/>
      <c r="G68" s="25" t="str">
        <f>IFERROR(__xludf.DUMMYFUNCTION("""COMPUTED_VALUE"""),"Yes")</f>
        <v>Yes</v>
      </c>
      <c r="H68" s="25" t="str">
        <f>IFERROR(__xludf.DUMMYFUNCTION("""COMPUTED_VALUE"""),"Yes")</f>
        <v>Yes</v>
      </c>
      <c r="I68" s="25" t="str">
        <f>IFERROR(__xludf.DUMMYFUNCTION("""COMPUTED_VALUE"""),"Yes")</f>
        <v>Yes</v>
      </c>
      <c r="J68" s="26"/>
      <c r="K68" s="42" t="str">
        <f>IFERROR(__xludf.DUMMYFUNCTION("""COMPUTED_VALUE"""),"NO")</f>
        <v>NO</v>
      </c>
    </row>
    <row r="69" ht="12.75" customHeight="1">
      <c r="A69" s="22"/>
      <c r="B69" s="22" t="str">
        <f>IFERROR(__xludf.DUMMYFUNCTION("""COMPUTED_VALUE"""),"Mizuho")</f>
        <v>Mizuho</v>
      </c>
      <c r="C69" s="36"/>
      <c r="D69" s="29"/>
      <c r="E69" s="28"/>
      <c r="F69" s="29"/>
      <c r="G69" s="25"/>
      <c r="H69" s="25"/>
      <c r="I69" s="25"/>
      <c r="J69" s="26"/>
      <c r="K69" s="42" t="str">
        <f>IFERROR(__xludf.DUMMYFUNCTION("""COMPUTED_VALUE"""),"NO")</f>
        <v>NO</v>
      </c>
    </row>
    <row r="70" ht="12.75" customHeight="1">
      <c r="A70" s="22"/>
      <c r="B70" s="22" t="str">
        <f>IFERROR(__xludf.DUMMYFUNCTION("""COMPUTED_VALUE"""),"TP ICAP")</f>
        <v>TP ICAP</v>
      </c>
      <c r="C70" s="36"/>
      <c r="D70" s="29"/>
      <c r="E70" s="28"/>
      <c r="F70" s="29"/>
      <c r="G70" s="31"/>
      <c r="H70" s="31"/>
      <c r="I70" s="31"/>
      <c r="J70" s="39"/>
      <c r="K70" s="42" t="str">
        <f>IFERROR(__xludf.DUMMYFUNCTION("""COMPUTED_VALUE"""),"NO")</f>
        <v>NO</v>
      </c>
    </row>
    <row r="71" ht="12.75" customHeight="1">
      <c r="A71" s="22"/>
      <c r="B71" s="22" t="str">
        <f>IFERROR(__xludf.DUMMYFUNCTION("""COMPUTED_VALUE"""),"Blackstone")</f>
        <v>Blackstone</v>
      </c>
      <c r="C71" s="36"/>
      <c r="D71" s="29"/>
      <c r="E71" s="28"/>
      <c r="F71" s="29"/>
      <c r="G71" s="31"/>
      <c r="H71" s="31"/>
      <c r="I71" s="31"/>
      <c r="J71" s="39"/>
      <c r="K71" s="42" t="str">
        <f>IFERROR(__xludf.DUMMYFUNCTION("""COMPUTED_VALUE"""),"NO")</f>
        <v>NO</v>
      </c>
    </row>
    <row r="72" ht="12.75" customHeight="1">
      <c r="A72" s="22"/>
      <c r="B72" s="22" t="str">
        <f>IFERROR(__xludf.DUMMYFUNCTION("""COMPUTED_VALUE"""),"MarketAxess")</f>
        <v>MarketAxess</v>
      </c>
      <c r="C72" s="37"/>
      <c r="D72" s="29"/>
      <c r="E72" s="24"/>
      <c r="F72" s="29"/>
      <c r="G72" s="31" t="str">
        <f>IFERROR(__xludf.DUMMYFUNCTION("""COMPUTED_VALUE"""),"Yes")</f>
        <v>Yes</v>
      </c>
      <c r="H72" s="31" t="str">
        <f>IFERROR(__xludf.DUMMYFUNCTION("""COMPUTED_VALUE"""),"Optional")</f>
        <v>Optional</v>
      </c>
      <c r="I72" s="31" t="str">
        <f>IFERROR(__xludf.DUMMYFUNCTION("""COMPUTED_VALUE"""),"No")</f>
        <v>No</v>
      </c>
      <c r="J72" s="26"/>
      <c r="K72" s="42" t="str">
        <f>IFERROR(__xludf.DUMMYFUNCTION("""COMPUTED_VALUE"""),"NO")</f>
        <v>NO</v>
      </c>
    </row>
    <row r="73" ht="12.75" customHeight="1">
      <c r="A73" s="22"/>
      <c r="B73" s="22" t="str">
        <f>IFERROR(__xludf.DUMMYFUNCTION("""COMPUTED_VALUE"""),"FactSet")</f>
        <v>FactSet</v>
      </c>
      <c r="C73" s="37"/>
      <c r="D73" s="29"/>
      <c r="E73" s="28"/>
      <c r="F73" s="29"/>
      <c r="G73" s="25"/>
      <c r="H73" s="25"/>
      <c r="I73" s="25"/>
      <c r="J73" s="26"/>
      <c r="K73" s="42" t="str">
        <f>IFERROR(__xludf.DUMMYFUNCTION("""COMPUTED_VALUE"""),"NO")</f>
        <v>NO</v>
      </c>
    </row>
    <row r="74" ht="12.75" customHeight="1">
      <c r="A74" s="22"/>
      <c r="B74" s="22" t="str">
        <f>IFERROR(__xludf.DUMMYFUNCTION("""COMPUTED_VALUE"""),"Qube RT")</f>
        <v>Qube RT</v>
      </c>
      <c r="C74" s="37"/>
      <c r="D74" s="29"/>
      <c r="E74" s="28"/>
      <c r="F74" s="29"/>
      <c r="G74" s="25" t="str">
        <f>IFERROR(__xludf.DUMMYFUNCTION("""COMPUTED_VALUE"""),"Yes")</f>
        <v>Yes</v>
      </c>
      <c r="H74" s="25" t="str">
        <f>IFERROR(__xludf.DUMMYFUNCTION("""COMPUTED_VALUE"""),"Optional")</f>
        <v>Optional</v>
      </c>
      <c r="I74" s="25" t="str">
        <f>IFERROR(__xludf.DUMMYFUNCTION("""COMPUTED_VALUE"""),"Yes")</f>
        <v>Yes</v>
      </c>
      <c r="J74" s="26"/>
      <c r="K74" s="42" t="str">
        <f>IFERROR(__xludf.DUMMYFUNCTION("""COMPUTED_VALUE"""),"NO")</f>
        <v>NO</v>
      </c>
    </row>
    <row r="75" ht="12.75" customHeight="1">
      <c r="A75" s="22"/>
      <c r="B75" s="22" t="str">
        <f>IFERROR(__xludf.DUMMYFUNCTION("""COMPUTED_VALUE"""),"Cisco")</f>
        <v>Cisco</v>
      </c>
      <c r="C75" s="36"/>
      <c r="D75" s="29"/>
      <c r="E75" s="28"/>
      <c r="F75" s="29"/>
      <c r="G75" s="31"/>
      <c r="H75" s="31"/>
      <c r="I75" s="31"/>
      <c r="J75" s="26"/>
      <c r="K75" s="42" t="str">
        <f>IFERROR(__xludf.DUMMYFUNCTION("""COMPUTED_VALUE"""),"NO")</f>
        <v>NO</v>
      </c>
    </row>
    <row r="76" ht="12.75" customHeight="1">
      <c r="A76" s="22"/>
      <c r="B76" s="22" t="str">
        <f>IFERROR(__xludf.DUMMYFUNCTION("""COMPUTED_VALUE"""),"PA Consulting")</f>
        <v>PA Consulting</v>
      </c>
      <c r="C76" s="36"/>
      <c r="D76" s="29"/>
      <c r="E76" s="28"/>
      <c r="F76" s="29"/>
      <c r="G76" s="31" t="str">
        <f>IFERROR(__xludf.DUMMYFUNCTION("""COMPUTED_VALUE"""),"Yes")</f>
        <v>Yes</v>
      </c>
      <c r="H76" s="31" t="str">
        <f>IFERROR(__xludf.DUMMYFUNCTION("""COMPUTED_VALUE"""),"Optional")</f>
        <v>Optional</v>
      </c>
      <c r="I76" s="31" t="str">
        <f>IFERROR(__xludf.DUMMYFUNCTION("""COMPUTED_VALUE"""),"No")</f>
        <v>No</v>
      </c>
      <c r="J76" s="26"/>
      <c r="K76" s="42" t="str">
        <f>IFERROR(__xludf.DUMMYFUNCTION("""COMPUTED_VALUE"""),"NO")</f>
        <v>NO</v>
      </c>
    </row>
    <row r="77" ht="12.75" customHeight="1">
      <c r="A77" s="22"/>
      <c r="B77" s="22" t="str">
        <f>IFERROR(__xludf.DUMMYFUNCTION("""COMPUTED_VALUE"""),"HME")</f>
        <v>HME</v>
      </c>
      <c r="C77" s="36"/>
      <c r="D77" s="29"/>
      <c r="E77" s="24"/>
      <c r="F77" s="29"/>
      <c r="G77" s="25"/>
      <c r="H77" s="25"/>
      <c r="I77" s="25"/>
      <c r="J77" s="26"/>
      <c r="K77" s="42" t="str">
        <f>IFERROR(__xludf.DUMMYFUNCTION("""COMPUTED_VALUE"""),"NO")</f>
        <v>NO</v>
      </c>
    </row>
    <row r="78" ht="12.75" customHeight="1">
      <c r="A78" s="22"/>
      <c r="B78" s="22" t="str">
        <f>IFERROR(__xludf.DUMMYFUNCTION("""COMPUTED_VALUE"""),"BGC Partners")</f>
        <v>BGC Partners</v>
      </c>
      <c r="C78" s="37"/>
      <c r="D78" s="29"/>
      <c r="E78" s="24"/>
      <c r="F78" s="29"/>
      <c r="G78" s="25"/>
      <c r="H78" s="25"/>
      <c r="I78" s="25"/>
      <c r="J78" s="26" t="str">
        <f>IFERROR(__xludf.DUMMYFUNCTION("""COMPUTED_VALUE"""),"There is another opening for Technology - Infrastructure")</f>
        <v>There is another opening for Technology - Infrastructure</v>
      </c>
      <c r="K78" s="42" t="str">
        <f>IFERROR(__xludf.DUMMYFUNCTION("""COMPUTED_VALUE"""),"NO")</f>
        <v>NO</v>
      </c>
    </row>
    <row r="79" ht="12.75" customHeight="1">
      <c r="A79" s="22"/>
      <c r="B79" s="22" t="str">
        <f>IFERROR(__xludf.DUMMYFUNCTION("""COMPUTED_VALUE"""),"MUFG")</f>
        <v>MUFG</v>
      </c>
      <c r="C79" s="36"/>
      <c r="D79" s="29"/>
      <c r="E79" s="28"/>
      <c r="F79" s="29"/>
      <c r="G79" s="31"/>
      <c r="H79" s="31"/>
      <c r="I79" s="31"/>
      <c r="J79" s="26"/>
      <c r="K79" s="42" t="str">
        <f>IFERROR(__xludf.DUMMYFUNCTION("""COMPUTED_VALUE"""),"NO")</f>
        <v>NO</v>
      </c>
    </row>
    <row r="80" ht="12.75" customHeight="1">
      <c r="A80" s="22"/>
      <c r="B80" s="22" t="str">
        <f>IFERROR(__xludf.DUMMYFUNCTION("""COMPUTED_VALUE"""),"The Trade Desk")</f>
        <v>The Trade Desk</v>
      </c>
      <c r="C80" s="36"/>
      <c r="D80" s="29"/>
      <c r="E80" s="28"/>
      <c r="F80" s="29"/>
      <c r="G80" s="31" t="str">
        <f>IFERROR(__xludf.DUMMYFUNCTION("""COMPUTED_VALUE"""),"Yes")</f>
        <v>Yes</v>
      </c>
      <c r="H80" s="31" t="str">
        <f>IFERROR(__xludf.DUMMYFUNCTION("""COMPUTED_VALUE"""),"No")</f>
        <v>No</v>
      </c>
      <c r="I80" s="31" t="str">
        <f>IFERROR(__xludf.DUMMYFUNCTION("""COMPUTED_VALUE"""),"No")</f>
        <v>No</v>
      </c>
      <c r="J80" s="26"/>
      <c r="K80" s="42" t="str">
        <f>IFERROR(__xludf.DUMMYFUNCTION("""COMPUTED_VALUE"""),"NO")</f>
        <v>NO</v>
      </c>
    </row>
    <row r="81" ht="12.75" customHeight="1">
      <c r="A81" s="22"/>
      <c r="B81" s="22" t="str">
        <f>IFERROR(__xludf.DUMMYFUNCTION("""COMPUTED_VALUE"""),"Frazer-Nash Consultancy")</f>
        <v>Frazer-Nash Consultancy</v>
      </c>
      <c r="C81" s="37"/>
      <c r="D81" s="29"/>
      <c r="E81" s="24"/>
      <c r="F81" s="29"/>
      <c r="G81" s="25" t="str">
        <f>IFERROR(__xludf.DUMMYFUNCTION("""COMPUTED_VALUE"""),"Yes")</f>
        <v>Yes</v>
      </c>
      <c r="H81" s="25" t="str">
        <f>IFERROR(__xludf.DUMMYFUNCTION("""COMPUTED_VALUE"""),"No")</f>
        <v>No</v>
      </c>
      <c r="I81" s="25" t="str">
        <f>IFERROR(__xludf.DUMMYFUNCTION("""COMPUTED_VALUE"""),"Yes")</f>
        <v>Yes</v>
      </c>
      <c r="J81" s="26"/>
      <c r="K81" s="42" t="str">
        <f>IFERROR(__xludf.DUMMYFUNCTION("""COMPUTED_VALUE"""),"NO")</f>
        <v>NO</v>
      </c>
    </row>
    <row r="82" ht="12.75" customHeight="1">
      <c r="A82" s="22"/>
      <c r="B82" s="22" t="str">
        <f>IFERROR(__xludf.DUMMYFUNCTION("""COMPUTED_VALUE"""),"Vanguard")</f>
        <v>Vanguard</v>
      </c>
      <c r="C82" s="36"/>
      <c r="D82" s="29"/>
      <c r="E82" s="28"/>
      <c r="F82" s="29"/>
      <c r="G82" s="25"/>
      <c r="H82" s="25"/>
      <c r="I82" s="25"/>
      <c r="J82" s="26"/>
      <c r="K82" s="42" t="str">
        <f>IFERROR(__xludf.DUMMYFUNCTION("""COMPUTED_VALUE"""),"NO")</f>
        <v>NO</v>
      </c>
    </row>
    <row r="83" ht="12.75" customHeight="1">
      <c r="A83" s="22"/>
      <c r="B83" s="22" t="str">
        <f>IFERROR(__xludf.DUMMYFUNCTION("""COMPUTED_VALUE"""),"QinetiQ")</f>
        <v>QinetiQ</v>
      </c>
      <c r="C83" s="22"/>
      <c r="D83" s="29"/>
      <c r="E83" s="28"/>
      <c r="F83" s="29"/>
      <c r="G83" s="25"/>
      <c r="H83" s="25"/>
      <c r="I83" s="25"/>
      <c r="J83" s="26"/>
      <c r="K83" s="42" t="str">
        <f>IFERROR(__xludf.DUMMYFUNCTION("""COMPUTED_VALUE"""),"NO")</f>
        <v>NO</v>
      </c>
    </row>
    <row r="84" ht="12.75" customHeight="1">
      <c r="A84" s="22"/>
      <c r="B84" s="22" t="str">
        <f>IFERROR(__xludf.DUMMYFUNCTION("""COMPUTED_VALUE"""),"Rolls-Royce")</f>
        <v>Rolls-Royce</v>
      </c>
      <c r="C84" s="37"/>
      <c r="D84" s="29"/>
      <c r="E84" s="24"/>
      <c r="F84" s="29"/>
      <c r="G84" s="25"/>
      <c r="H84" s="25"/>
      <c r="I84" s="25"/>
      <c r="J84" s="26"/>
      <c r="K84" s="42" t="str">
        <f>IFERROR(__xludf.DUMMYFUNCTION("""COMPUTED_VALUE"""),"NO")</f>
        <v>NO</v>
      </c>
    </row>
    <row r="85" ht="12.75" customHeight="1">
      <c r="A85" s="22"/>
      <c r="B85" s="22" t="str">
        <f>IFERROR(__xludf.DUMMYFUNCTION("""COMPUTED_VALUE"""),"Tradeweb")</f>
        <v>Tradeweb</v>
      </c>
      <c r="C85" s="36"/>
      <c r="D85" s="29"/>
      <c r="E85" s="24"/>
      <c r="F85" s="29"/>
      <c r="G85" s="31" t="str">
        <f>IFERROR(__xludf.DUMMYFUNCTION("""COMPUTED_VALUE"""),"Yes")</f>
        <v>Yes</v>
      </c>
      <c r="H85" s="31" t="str">
        <f>IFERROR(__xludf.DUMMYFUNCTION("""COMPUTED_VALUE"""),"Yes")</f>
        <v>Yes</v>
      </c>
      <c r="I85" s="31" t="str">
        <f>IFERROR(__xludf.DUMMYFUNCTION("""COMPUTED_VALUE"""),"No")</f>
        <v>No</v>
      </c>
      <c r="J85" s="26"/>
      <c r="K85" s="42" t="str">
        <f>IFERROR(__xludf.DUMMYFUNCTION("""COMPUTED_VALUE"""),"NO")</f>
        <v>NO</v>
      </c>
    </row>
    <row r="86" ht="12.75" customHeight="1">
      <c r="A86" s="22"/>
      <c r="B86" s="22" t="str">
        <f>IFERROR(__xludf.DUMMYFUNCTION("""COMPUTED_VALUE"""),"TikTok")</f>
        <v>TikTok</v>
      </c>
      <c r="C86" s="37"/>
      <c r="D86" s="29"/>
      <c r="E86" s="24"/>
      <c r="F86" s="29"/>
      <c r="G86" s="31"/>
      <c r="H86" s="31"/>
      <c r="I86" s="31"/>
      <c r="J86" s="26"/>
      <c r="K86" s="42" t="str">
        <f>IFERROR(__xludf.DUMMYFUNCTION("""COMPUTED_VALUE"""),"NO")</f>
        <v>NO</v>
      </c>
    </row>
    <row r="87" ht="12.75" customHeight="1">
      <c r="A87" s="22"/>
      <c r="B87" s="22" t="str">
        <f>IFERROR(__xludf.DUMMYFUNCTION("""COMPUTED_VALUE"""),"Siemens")</f>
        <v>Siemens</v>
      </c>
      <c r="C87" s="36"/>
      <c r="D87" s="29"/>
      <c r="E87" s="24"/>
      <c r="F87" s="29"/>
      <c r="G87" s="31"/>
      <c r="H87" s="31"/>
      <c r="I87" s="31"/>
      <c r="J87" s="26"/>
      <c r="K87" s="42" t="str">
        <f>IFERROR(__xludf.DUMMYFUNCTION("""COMPUTED_VALUE"""),"NO")</f>
        <v>NO</v>
      </c>
    </row>
    <row r="88" ht="12.75" customHeight="1">
      <c r="A88" s="22"/>
      <c r="B88" s="22" t="str">
        <f>IFERROR(__xludf.DUMMYFUNCTION("""COMPUTED_VALUE"""),"UK Atomic Energy Authority")</f>
        <v>UK Atomic Energy Authority</v>
      </c>
      <c r="C88" s="37"/>
      <c r="D88" s="29"/>
      <c r="E88" s="24"/>
      <c r="F88" s="29"/>
      <c r="G88" s="31" t="str">
        <f>IFERROR(__xludf.DUMMYFUNCTION("""COMPUTED_VALUE"""),"Yes")</f>
        <v>Yes</v>
      </c>
      <c r="H88" s="31" t="str">
        <f>IFERROR(__xludf.DUMMYFUNCTION("""COMPUTED_VALUE"""),"No")</f>
        <v>No</v>
      </c>
      <c r="I88" s="31" t="str">
        <f>IFERROR(__xludf.DUMMYFUNCTION("""COMPUTED_VALUE"""),"Yes")</f>
        <v>Yes</v>
      </c>
      <c r="J88" s="26"/>
      <c r="K88" s="42" t="str">
        <f>IFERROR(__xludf.DUMMYFUNCTION("""COMPUTED_VALUE"""),"NO")</f>
        <v>NO</v>
      </c>
    </row>
    <row r="89" ht="12.75" customHeight="1">
      <c r="A89" s="22"/>
      <c r="B89" s="22" t="str">
        <f>IFERROR(__xludf.DUMMYFUNCTION("""COMPUTED_VALUE"""),"BT")</f>
        <v>BT</v>
      </c>
      <c r="C89" s="37"/>
      <c r="D89" s="29"/>
      <c r="E89" s="24"/>
      <c r="F89" s="29"/>
      <c r="G89" s="25"/>
      <c r="H89" s="25"/>
      <c r="I89" s="25"/>
      <c r="J89" s="26"/>
      <c r="K89" s="42" t="str">
        <f>IFERROR(__xludf.DUMMYFUNCTION("""COMPUTED_VALUE"""),"NO")</f>
        <v>NO</v>
      </c>
    </row>
    <row r="90" ht="12.75" customHeight="1">
      <c r="A90" s="22"/>
      <c r="B90" s="22" t="str">
        <f>IFERROR(__xludf.DUMMYFUNCTION("""COMPUTED_VALUE"""),"Jefferies")</f>
        <v>Jefferies</v>
      </c>
      <c r="C90" s="37"/>
      <c r="D90" s="29"/>
      <c r="E90" s="24"/>
      <c r="F90" s="29"/>
      <c r="G90" s="25" t="str">
        <f>IFERROR(__xludf.DUMMYFUNCTION("""COMPUTED_VALUE"""),"Yes")</f>
        <v>Yes</v>
      </c>
      <c r="H90" s="31" t="str">
        <f>IFERROR(__xludf.DUMMYFUNCTION("""COMPUTED_VALUE"""),"No")</f>
        <v>No</v>
      </c>
      <c r="I90" s="31" t="str">
        <f>IFERROR(__xludf.DUMMYFUNCTION("""COMPUTED_VALUE"""),"Yes")</f>
        <v>Yes</v>
      </c>
      <c r="J90" s="26"/>
      <c r="K90" s="42" t="str">
        <f>IFERROR(__xludf.DUMMYFUNCTION("""COMPUTED_VALUE"""),"NO")</f>
        <v>NO</v>
      </c>
    </row>
    <row r="91" ht="12.75" customHeight="1">
      <c r="A91" s="22"/>
      <c r="B91" s="22" t="str">
        <f>IFERROR(__xludf.DUMMYFUNCTION("""COMPUTED_VALUE"""),"Graphcore")</f>
        <v>Graphcore</v>
      </c>
      <c r="C91" s="36"/>
      <c r="D91" s="29"/>
      <c r="E91" s="24"/>
      <c r="F91" s="29"/>
      <c r="G91" s="31" t="str">
        <f>IFERROR(__xludf.DUMMYFUNCTION("""COMPUTED_VALUE"""),"Yes")</f>
        <v>Yes</v>
      </c>
      <c r="H91" s="31" t="str">
        <f>IFERROR(__xludf.DUMMYFUNCTION("""COMPUTED_VALUE"""),"Yes")</f>
        <v>Yes</v>
      </c>
      <c r="I91" s="31" t="str">
        <f>IFERROR(__xludf.DUMMYFUNCTION("""COMPUTED_VALUE"""),"No")</f>
        <v>No</v>
      </c>
      <c r="J91" s="26"/>
      <c r="K91" s="42" t="str">
        <f>IFERROR(__xludf.DUMMYFUNCTION("""COMPUTED_VALUE"""),"NO")</f>
        <v>NO</v>
      </c>
    </row>
    <row r="92" ht="12.75" customHeight="1">
      <c r="A92" s="22"/>
      <c r="B92" s="22" t="str">
        <f>IFERROR(__xludf.DUMMYFUNCTION("""COMPUTED_VALUE"""),"Renishaw")</f>
        <v>Renishaw</v>
      </c>
      <c r="C92" s="36"/>
      <c r="D92" s="29"/>
      <c r="E92" s="24"/>
      <c r="F92" s="29"/>
      <c r="G92" s="25"/>
      <c r="H92" s="25"/>
      <c r="I92" s="25"/>
      <c r="J92" s="26"/>
      <c r="K92" s="42" t="str">
        <f>IFERROR(__xludf.DUMMYFUNCTION("""COMPUTED_VALUE"""),"NO")</f>
        <v>NO</v>
      </c>
    </row>
    <row r="93" ht="12.75" customHeight="1">
      <c r="A93" s="22"/>
      <c r="B93" s="22" t="str">
        <f>IFERROR(__xludf.DUMMYFUNCTION("""COMPUTED_VALUE"""),"Crédit Agricole")</f>
        <v>Crédit Agricole</v>
      </c>
      <c r="C93" s="37"/>
      <c r="D93" s="29"/>
      <c r="E93" s="24"/>
      <c r="F93" s="29"/>
      <c r="G93" s="25"/>
      <c r="H93" s="25"/>
      <c r="I93" s="25"/>
      <c r="J93" s="26"/>
      <c r="K93" s="42" t="str">
        <f>IFERROR(__xludf.DUMMYFUNCTION("""COMPUTED_VALUE"""),"NO")</f>
        <v>NO</v>
      </c>
    </row>
    <row r="94" ht="12.75" customHeight="1">
      <c r="A94" s="22"/>
      <c r="B94" s="22" t="str">
        <f>IFERROR(__xludf.DUMMYFUNCTION("""COMPUTED_VALUE"""),"Jacobs")</f>
        <v>Jacobs</v>
      </c>
      <c r="C94" s="37"/>
      <c r="D94" s="29"/>
      <c r="E94" s="24"/>
      <c r="F94" s="29"/>
      <c r="G94" s="25"/>
      <c r="H94" s="25"/>
      <c r="I94" s="25"/>
      <c r="J94" s="26"/>
      <c r="K94" s="42" t="str">
        <f>IFERROR(__xludf.DUMMYFUNCTION("""COMPUTED_VALUE"""),"NO")</f>
        <v>NO</v>
      </c>
    </row>
    <row r="95" ht="12.75" customHeight="1">
      <c r="A95" s="22"/>
      <c r="B95" s="22" t="str">
        <f>IFERROR(__xludf.DUMMYFUNCTION("""COMPUTED_VALUE"""),"King")</f>
        <v>King</v>
      </c>
      <c r="C95" s="36"/>
      <c r="D95" s="29"/>
      <c r="E95" s="24"/>
      <c r="F95" s="29"/>
      <c r="G95" s="25"/>
      <c r="H95" s="25"/>
      <c r="I95" s="25"/>
      <c r="J95" s="26"/>
      <c r="K95" s="42" t="str">
        <f>IFERROR(__xludf.DUMMYFUNCTION("""COMPUTED_VALUE"""),"NO")</f>
        <v>NO</v>
      </c>
    </row>
    <row r="96" ht="12.75" customHeight="1">
      <c r="A96" s="22"/>
      <c r="B96" s="22" t="str">
        <f>IFERROR(__xludf.DUMMYFUNCTION("""COMPUTED_VALUE"""),"Five AI")</f>
        <v>Five AI</v>
      </c>
      <c r="C96" s="37"/>
      <c r="D96" s="29"/>
      <c r="E96" s="24"/>
      <c r="F96" s="29"/>
      <c r="G96" s="25" t="str">
        <f>IFERROR(__xludf.DUMMYFUNCTION("""COMPUTED_VALUE"""),"Yes")</f>
        <v>Yes</v>
      </c>
      <c r="H96" s="25" t="str">
        <f>IFERROR(__xludf.DUMMYFUNCTION("""COMPUTED_VALUE"""),"Optional")</f>
        <v>Optional</v>
      </c>
      <c r="I96" s="25" t="str">
        <f>IFERROR(__xludf.DUMMYFUNCTION("""COMPUTED_VALUE"""),"No")</f>
        <v>No</v>
      </c>
      <c r="J96" s="26"/>
      <c r="K96" s="42" t="str">
        <f>IFERROR(__xludf.DUMMYFUNCTION("""COMPUTED_VALUE"""),"NO")</f>
        <v>NO</v>
      </c>
    </row>
    <row r="97" ht="12.75" customHeight="1">
      <c r="A97" s="22"/>
      <c r="B97" s="22" t="str">
        <f>IFERROR(__xludf.DUMMYFUNCTION("""COMPUTED_VALUE"""),"Verisk")</f>
        <v>Verisk</v>
      </c>
      <c r="C97" s="37"/>
      <c r="D97" s="29"/>
      <c r="E97" s="24"/>
      <c r="F97" s="29"/>
      <c r="G97" s="31" t="str">
        <f>IFERROR(__xludf.DUMMYFUNCTION("""COMPUTED_VALUE"""),"Yes")</f>
        <v>Yes</v>
      </c>
      <c r="H97" s="31"/>
      <c r="I97" s="31"/>
      <c r="J97" s="26"/>
      <c r="K97" s="42" t="str">
        <f>IFERROR(__xludf.DUMMYFUNCTION("""COMPUTED_VALUE"""),"NO")</f>
        <v>NO</v>
      </c>
    </row>
    <row r="98" ht="12.75" customHeight="1">
      <c r="A98" s="22"/>
      <c r="B98" s="22" t="str">
        <f>IFERROR(__xludf.DUMMYFUNCTION("""COMPUTED_VALUE"""),"Ripple")</f>
        <v>Ripple</v>
      </c>
      <c r="C98" s="36"/>
      <c r="D98" s="29"/>
      <c r="E98" s="24"/>
      <c r="F98" s="29"/>
      <c r="G98" s="25"/>
      <c r="H98" s="25"/>
      <c r="I98" s="25"/>
      <c r="J98" s="26"/>
      <c r="K98" s="42" t="str">
        <f>IFERROR(__xludf.DUMMYFUNCTION("""COMPUTED_VALUE"""),"NO")</f>
        <v>NO</v>
      </c>
    </row>
    <row r="99" ht="12.75" customHeight="1">
      <c r="A99" s="22"/>
      <c r="B99" s="22" t="str">
        <f>IFERROR(__xludf.DUMMYFUNCTION("""COMPUTED_VALUE"""),"Speechmatics")</f>
        <v>Speechmatics</v>
      </c>
      <c r="C99" s="36"/>
      <c r="D99" s="29"/>
      <c r="E99" s="24"/>
      <c r="F99" s="29"/>
      <c r="G99" s="25" t="str">
        <f>IFERROR(__xludf.DUMMYFUNCTION("""COMPUTED_VALUE"""),"Yes")</f>
        <v>Yes</v>
      </c>
      <c r="H99" s="25" t="str">
        <f>IFERROR(__xludf.DUMMYFUNCTION("""COMPUTED_VALUE"""),"Optional")</f>
        <v>Optional</v>
      </c>
      <c r="I99" s="25" t="str">
        <f>IFERROR(__xludf.DUMMYFUNCTION("""COMPUTED_VALUE"""),"No")</f>
        <v>No</v>
      </c>
      <c r="J99" s="26"/>
      <c r="K99" s="42" t="str">
        <f>IFERROR(__xludf.DUMMYFUNCTION("""COMPUTED_VALUE"""),"NO")</f>
        <v>NO</v>
      </c>
    </row>
    <row r="100" ht="12.75" customHeight="1">
      <c r="A100" s="22"/>
      <c r="B100" s="22" t="str">
        <f>IFERROR(__xludf.DUMMYFUNCTION("""COMPUTED_VALUE"""),"NXP Semiconductors")</f>
        <v>NXP Semiconductors</v>
      </c>
      <c r="C100" s="36"/>
      <c r="D100" s="29"/>
      <c r="E100" s="24"/>
      <c r="F100" s="29"/>
      <c r="G100" s="31"/>
      <c r="H100" s="31"/>
      <c r="I100" s="31"/>
      <c r="J100" s="26"/>
      <c r="K100" s="42" t="str">
        <f>IFERROR(__xludf.DUMMYFUNCTION("""COMPUTED_VALUE"""),"NO")</f>
        <v>NO</v>
      </c>
    </row>
    <row r="101" ht="12.75" customHeight="1">
      <c r="A101" s="22"/>
      <c r="B101" s="22" t="str">
        <f>IFERROR(__xludf.DUMMYFUNCTION("""COMPUTED_VALUE"""),"Mastercard")</f>
        <v>Mastercard</v>
      </c>
      <c r="C101" s="36"/>
      <c r="D101" s="29"/>
      <c r="E101" s="24"/>
      <c r="F101" s="29"/>
      <c r="G101" s="31" t="str">
        <f>IFERROR(__xludf.DUMMYFUNCTION("""COMPUTED_VALUE"""),"Yes")</f>
        <v>Yes</v>
      </c>
      <c r="H101" s="31"/>
      <c r="I101" s="31"/>
      <c r="J101" s="26"/>
      <c r="K101" s="42" t="str">
        <f>IFERROR(__xludf.DUMMYFUNCTION("""COMPUTED_VALUE"""),"NO")</f>
        <v>NO</v>
      </c>
    </row>
    <row r="102" ht="12.75" customHeight="1">
      <c r="A102" s="22"/>
      <c r="B102" s="22" t="str">
        <f>IFERROR(__xludf.DUMMYFUNCTION("""COMPUTED_VALUE"""),"HP")</f>
        <v>HP</v>
      </c>
      <c r="C102" s="36"/>
      <c r="D102" s="29"/>
      <c r="E102" s="24"/>
      <c r="F102" s="29"/>
      <c r="G102" s="25"/>
      <c r="H102" s="31"/>
      <c r="I102" s="31"/>
      <c r="J102" s="26"/>
      <c r="K102" s="42" t="str">
        <f>IFERROR(__xludf.DUMMYFUNCTION("""COMPUTED_VALUE"""),"NO")</f>
        <v>NO</v>
      </c>
    </row>
    <row r="103" ht="12.75" customHeight="1">
      <c r="A103" s="22"/>
      <c r="B103" s="22" t="str">
        <f>IFERROR(__xludf.DUMMYFUNCTION("""COMPUTED_VALUE"""),"Quantcast")</f>
        <v>Quantcast</v>
      </c>
      <c r="C103" s="36"/>
      <c r="D103" s="29"/>
      <c r="E103" s="24"/>
      <c r="F103" s="29"/>
      <c r="G103" s="25" t="str">
        <f>IFERROR(__xludf.DUMMYFUNCTION("""COMPUTED_VALUE"""),"Yes")</f>
        <v>Yes</v>
      </c>
      <c r="H103" s="31" t="str">
        <f>IFERROR(__xludf.DUMMYFUNCTION("""COMPUTED_VALUE"""),"Optional")</f>
        <v>Optional</v>
      </c>
      <c r="I103" s="31" t="str">
        <f>IFERROR(__xludf.DUMMYFUNCTION("""COMPUTED_VALUE"""),"No")</f>
        <v>No</v>
      </c>
      <c r="J103" s="26"/>
      <c r="K103" s="42" t="str">
        <f>IFERROR(__xludf.DUMMYFUNCTION("""COMPUTED_VALUE"""),"NO")</f>
        <v>NO</v>
      </c>
    </row>
    <row r="104" ht="12.75" customHeight="1">
      <c r="A104" s="22"/>
      <c r="B104" s="22" t="str">
        <f>IFERROR(__xludf.DUMMYFUNCTION("""COMPUTED_VALUE"""),"PIMCO")</f>
        <v>PIMCO</v>
      </c>
      <c r="C104" s="36"/>
      <c r="D104" s="29"/>
      <c r="E104" s="24"/>
      <c r="F104" s="29"/>
      <c r="G104" s="31"/>
      <c r="H104" s="31"/>
      <c r="I104" s="31"/>
      <c r="J104" s="26"/>
      <c r="K104" s="42" t="str">
        <f>IFERROR(__xludf.DUMMYFUNCTION("""COMPUTED_VALUE"""),"NO")</f>
        <v>NO</v>
      </c>
    </row>
    <row r="105" ht="12.75" customHeight="1">
      <c r="A105" s="22"/>
      <c r="B105" s="22" t="str">
        <f>IFERROR(__xludf.DUMMYFUNCTION("""COMPUTED_VALUE"""),"TE Connectivity")</f>
        <v>TE Connectivity</v>
      </c>
      <c r="C105" s="36"/>
      <c r="D105" s="29"/>
      <c r="E105" s="24"/>
      <c r="F105" s="29"/>
      <c r="G105" s="31"/>
      <c r="H105" s="31"/>
      <c r="I105" s="31"/>
      <c r="J105" s="26"/>
      <c r="K105" s="42" t="str">
        <f>IFERROR(__xludf.DUMMYFUNCTION("""COMPUTED_VALUE"""),"NO")</f>
        <v>NO</v>
      </c>
    </row>
    <row r="106" ht="12.75" customHeight="1">
      <c r="A106" s="22"/>
      <c r="B106" s="22" t="str">
        <f>IFERROR(__xludf.DUMMYFUNCTION("""COMPUTED_VALUE"""),"FSP")</f>
        <v>FSP</v>
      </c>
      <c r="C106" s="37"/>
      <c r="D106" s="29"/>
      <c r="E106" s="24"/>
      <c r="F106" s="29"/>
      <c r="G106" s="31" t="str">
        <f>IFERROR(__xludf.DUMMYFUNCTION("""COMPUTED_VALUE"""),"Yes")</f>
        <v>Yes</v>
      </c>
      <c r="H106" s="31" t="str">
        <f>IFERROR(__xludf.DUMMYFUNCTION("""COMPUTED_VALUE"""),"Yes")</f>
        <v>Yes</v>
      </c>
      <c r="I106" s="31" t="str">
        <f>IFERROR(__xludf.DUMMYFUNCTION("""COMPUTED_VALUE"""),"No")</f>
        <v>No</v>
      </c>
      <c r="J106" s="39"/>
      <c r="K106" s="42" t="str">
        <f>IFERROR(__xludf.DUMMYFUNCTION("""COMPUTED_VALUE"""),"NO")</f>
        <v>NO</v>
      </c>
    </row>
    <row r="107" ht="12.75" customHeight="1">
      <c r="A107" s="22"/>
      <c r="B107" s="22" t="str">
        <f>IFERROR(__xludf.DUMMYFUNCTION("""COMPUTED_VALUE"""),"Centrica")</f>
        <v>Centrica</v>
      </c>
      <c r="C107" s="36"/>
      <c r="D107" s="29"/>
      <c r="E107" s="24"/>
      <c r="F107" s="29"/>
      <c r="G107" s="31"/>
      <c r="H107" s="31"/>
      <c r="I107" s="31"/>
      <c r="J107" s="39"/>
      <c r="K107" s="42" t="str">
        <f>IFERROR(__xludf.DUMMYFUNCTION("""COMPUTED_VALUE"""),"NO")</f>
        <v>NO</v>
      </c>
    </row>
    <row r="108" ht="12.75" customHeight="1">
      <c r="A108" s="22"/>
      <c r="B108" s="22" t="str">
        <f>IFERROR(__xludf.DUMMYFUNCTION("""COMPUTED_VALUE"""),"Caxton Associates")</f>
        <v>Caxton Associates</v>
      </c>
      <c r="C108" s="37"/>
      <c r="D108" s="29"/>
      <c r="E108" s="24"/>
      <c r="F108" s="29"/>
      <c r="G108" s="31"/>
      <c r="H108" s="31"/>
      <c r="I108" s="31"/>
      <c r="J108" s="26"/>
      <c r="K108" s="42" t="str">
        <f>IFERROR(__xludf.DUMMYFUNCTION("""COMPUTED_VALUE"""),"NO")</f>
        <v>NO</v>
      </c>
    </row>
    <row r="109" ht="12.75" customHeight="1">
      <c r="A109" s="22"/>
      <c r="B109" s="22" t="str">
        <f>IFERROR(__xludf.DUMMYFUNCTION("""COMPUTED_VALUE"""),"S&amp;P Global")</f>
        <v>S&amp;P Global</v>
      </c>
      <c r="C109" s="36"/>
      <c r="D109" s="29"/>
      <c r="E109" s="24"/>
      <c r="F109" s="29"/>
      <c r="G109" s="31"/>
      <c r="H109" s="31"/>
      <c r="I109" s="31"/>
      <c r="J109" s="26"/>
      <c r="K109" s="42" t="str">
        <f>IFERROR(__xludf.DUMMYFUNCTION("""COMPUTED_VALUE"""),"NO")</f>
        <v>NO</v>
      </c>
    </row>
    <row r="110" ht="12.75" customHeight="1">
      <c r="A110" s="22"/>
      <c r="B110" s="22" t="str">
        <f>IFERROR(__xludf.DUMMYFUNCTION("""COMPUTED_VALUE"""),"ICBC Standard Bank")</f>
        <v>ICBC Standard Bank</v>
      </c>
      <c r="C110" s="37"/>
      <c r="D110" s="29"/>
      <c r="E110" s="24"/>
      <c r="F110" s="29"/>
      <c r="G110" s="31" t="str">
        <f>IFERROR(__xludf.DUMMYFUNCTION("""COMPUTED_VALUE"""),"Yes")</f>
        <v>Yes</v>
      </c>
      <c r="H110" s="31"/>
      <c r="I110" s="31"/>
      <c r="J110" s="26"/>
      <c r="K110" s="42" t="str">
        <f>IFERROR(__xludf.DUMMYFUNCTION("""COMPUTED_VALUE"""),"NO")</f>
        <v>NO</v>
      </c>
    </row>
    <row r="111" ht="12.75" customHeight="1">
      <c r="A111" s="22"/>
      <c r="B111" s="22" t="str">
        <f>IFERROR(__xludf.DUMMYFUNCTION("""COMPUTED_VALUE"""),"Thales")</f>
        <v>Thales</v>
      </c>
      <c r="C111" s="25"/>
      <c r="D111" s="35"/>
      <c r="E111" s="28"/>
      <c r="F111" s="35"/>
      <c r="G111" s="31"/>
      <c r="H111" s="31"/>
      <c r="I111" s="31"/>
      <c r="J111" s="26"/>
      <c r="K111" s="42" t="str">
        <f>IFERROR(__xludf.DUMMYFUNCTION("""COMPUTED_VALUE"""),"NO")</f>
        <v>NO</v>
      </c>
    </row>
    <row r="112" ht="12.75" customHeight="1">
      <c r="A112" s="22"/>
      <c r="B112" s="22" t="str">
        <f>IFERROR(__xludf.DUMMYFUNCTION("""COMPUTED_VALUE"""),"Hiscox")</f>
        <v>Hiscox</v>
      </c>
      <c r="C112" s="31"/>
      <c r="D112" s="35"/>
      <c r="E112" s="28"/>
      <c r="F112" s="35"/>
      <c r="G112" s="31"/>
      <c r="H112" s="31"/>
      <c r="I112" s="31"/>
      <c r="J112" s="26"/>
      <c r="K112" s="42" t="str">
        <f>IFERROR(__xludf.DUMMYFUNCTION("""COMPUTED_VALUE"""),"NO")</f>
        <v>NO</v>
      </c>
    </row>
    <row r="113" ht="12.75" customHeight="1">
      <c r="A113" s="22"/>
      <c r="B113" s="22" t="str">
        <f>IFERROR(__xludf.DUMMYFUNCTION("""COMPUTED_VALUE"""),"PredictX")</f>
        <v>PredictX</v>
      </c>
      <c r="C113" s="25"/>
      <c r="D113" s="35"/>
      <c r="E113" s="28"/>
      <c r="F113" s="35"/>
      <c r="G113" s="31"/>
      <c r="H113" s="31"/>
      <c r="I113" s="31"/>
      <c r="J113" s="26"/>
      <c r="K113" s="42" t="str">
        <f>IFERROR(__xludf.DUMMYFUNCTION("""COMPUTED_VALUE"""),"NO")</f>
        <v>NO</v>
      </c>
    </row>
    <row r="114" ht="12.75" customHeight="1">
      <c r="A114" s="22"/>
      <c r="B114" s="22" t="str">
        <f>IFERROR(__xludf.DUMMYFUNCTION("""COMPUTED_VALUE"""),"Cboe Global Markets")</f>
        <v>Cboe Global Markets</v>
      </c>
      <c r="C114" s="31"/>
      <c r="D114" s="35"/>
      <c r="E114" s="28"/>
      <c r="F114" s="35"/>
      <c r="G114" s="31"/>
      <c r="H114" s="31"/>
      <c r="I114" s="31"/>
      <c r="J114" s="26" t="str">
        <f>IFERROR(__xludf.DUMMYFUNCTION("""COMPUTED_VALUE"""),"Web Software / C++ / Data Pipeline")</f>
        <v>Web Software / C++ / Data Pipeline</v>
      </c>
      <c r="K114" s="42" t="str">
        <f>IFERROR(__xludf.DUMMYFUNCTION("""COMPUTED_VALUE"""),"NO")</f>
        <v>NO</v>
      </c>
    </row>
    <row r="115" ht="12.75" customHeight="1">
      <c r="A115" s="22"/>
      <c r="B115" s="22" t="str">
        <f>IFERROR(__xludf.DUMMYFUNCTION("""COMPUTED_VALUE"""),"Spotify")</f>
        <v>Spotify</v>
      </c>
      <c r="C115" s="25"/>
      <c r="D115" s="35"/>
      <c r="E115" s="28"/>
      <c r="F115" s="35"/>
      <c r="G115" s="31"/>
      <c r="H115" s="31"/>
      <c r="I115" s="31"/>
      <c r="J115" s="26"/>
      <c r="K115" s="42" t="str">
        <f>IFERROR(__xludf.DUMMYFUNCTION("""COMPUTED_VALUE"""),"NO")</f>
        <v>NO</v>
      </c>
    </row>
    <row r="116" ht="12.75" customHeight="1">
      <c r="A116" s="22"/>
      <c r="B116" s="22" t="str">
        <f>IFERROR(__xludf.DUMMYFUNCTION("""COMPUTED_VALUE"""),"KPMG")</f>
        <v>KPMG</v>
      </c>
      <c r="C116" s="31"/>
      <c r="D116" s="35"/>
      <c r="E116" s="28"/>
      <c r="F116" s="35"/>
      <c r="G116" s="31"/>
      <c r="H116" s="31"/>
      <c r="I116" s="31"/>
      <c r="J116" s="26"/>
      <c r="K116" s="42" t="str">
        <f>IFERROR(__xludf.DUMMYFUNCTION("""COMPUTED_VALUE"""),"NO")</f>
        <v>NO</v>
      </c>
    </row>
    <row r="117" ht="12.75" customHeight="1">
      <c r="A117" s="22"/>
      <c r="B117" s="22" t="str">
        <f>IFERROR(__xludf.DUMMYFUNCTION("""COMPUTED_VALUE"""),"Macquarie Group")</f>
        <v>Macquarie Group</v>
      </c>
      <c r="C117" s="31"/>
      <c r="D117" s="35"/>
      <c r="E117" s="28"/>
      <c r="F117" s="35"/>
      <c r="G117" s="31"/>
      <c r="H117" s="31"/>
      <c r="I117" s="31"/>
      <c r="J117" s="26"/>
      <c r="K117" s="42" t="str">
        <f>IFERROR(__xludf.DUMMYFUNCTION("""COMPUTED_VALUE"""),"NO")</f>
        <v>NO</v>
      </c>
    </row>
    <row r="118" ht="12.75" customHeight="1">
      <c r="A118" s="22"/>
      <c r="B118" s="22" t="str">
        <f>IFERROR(__xludf.DUMMYFUNCTION("""COMPUTED_VALUE"""),"Scotiabank")</f>
        <v>Scotiabank</v>
      </c>
      <c r="C118" s="31"/>
      <c r="D118" s="35"/>
      <c r="E118" s="28"/>
      <c r="F118" s="35"/>
      <c r="G118" s="31"/>
      <c r="H118" s="31"/>
      <c r="I118" s="31"/>
      <c r="J118" s="26"/>
      <c r="K118" s="42" t="str">
        <f>IFERROR(__xludf.DUMMYFUNCTION("""COMPUTED_VALUE"""),"NO")</f>
        <v>NO</v>
      </c>
    </row>
    <row r="119" ht="12.75" customHeight="1">
      <c r="A119" s="22"/>
      <c r="B119" s="22" t="str">
        <f>IFERROR(__xludf.DUMMYFUNCTION("""COMPUTED_VALUE"""),"Baillie Gifford")</f>
        <v>Baillie Gifford</v>
      </c>
      <c r="C119" s="31"/>
      <c r="D119" s="35"/>
      <c r="E119" s="28"/>
      <c r="F119" s="35"/>
      <c r="G119" s="31"/>
      <c r="H119" s="31"/>
      <c r="I119" s="31"/>
      <c r="J119" s="26"/>
      <c r="K119" s="42" t="str">
        <f>IFERROR(__xludf.DUMMYFUNCTION("""COMPUTED_VALUE"""),"NO")</f>
        <v>NO</v>
      </c>
    </row>
    <row r="120" ht="12.75" customHeight="1">
      <c r="A120" s="22"/>
      <c r="B120" s="22" t="str">
        <f>IFERROR(__xludf.DUMMYFUNCTION("""COMPUTED_VALUE"""),"The Walt Disney Company")</f>
        <v>The Walt Disney Company</v>
      </c>
      <c r="C120" s="31"/>
      <c r="D120" s="35"/>
      <c r="E120" s="28"/>
      <c r="F120" s="35"/>
      <c r="G120" s="31"/>
      <c r="H120" s="31"/>
      <c r="I120" s="31"/>
      <c r="J120" s="26"/>
      <c r="K120" s="42" t="str">
        <f>IFERROR(__xludf.DUMMYFUNCTION("""COMPUTED_VALUE"""),"NO")</f>
        <v>NO</v>
      </c>
    </row>
    <row r="121" ht="12.75" customHeight="1">
      <c r="A121" s="22"/>
      <c r="B121" s="22" t="str">
        <f>IFERROR(__xludf.DUMMYFUNCTION("""COMPUTED_VALUE"""),"SLB")</f>
        <v>SLB</v>
      </c>
      <c r="C121" s="31"/>
      <c r="D121" s="35"/>
      <c r="E121" s="28"/>
      <c r="F121" s="35"/>
      <c r="G121" s="31"/>
      <c r="H121" s="31"/>
      <c r="I121" s="31"/>
      <c r="J121" s="26"/>
      <c r="K121" s="42" t="str">
        <f>IFERROR(__xludf.DUMMYFUNCTION("""COMPUTED_VALUE"""),"NO")</f>
        <v>NO</v>
      </c>
    </row>
    <row r="122" ht="12.75" customHeight="1">
      <c r="A122" s="22"/>
      <c r="B122" s="22" t="str">
        <f>IFERROR(__xludf.DUMMYFUNCTION("""COMPUTED_VALUE"""),"Google")</f>
        <v>Google</v>
      </c>
      <c r="C122" s="31"/>
      <c r="D122" s="35"/>
      <c r="E122" s="28"/>
      <c r="F122" s="35"/>
      <c r="G122" s="31"/>
      <c r="H122" s="31"/>
      <c r="I122" s="31"/>
      <c r="J122" s="26"/>
      <c r="K122" s="42" t="str">
        <f>IFERROR(__xludf.DUMMYFUNCTION("""COMPUTED_VALUE"""),"NO")</f>
        <v>NO</v>
      </c>
    </row>
    <row r="123" ht="12.75" customHeight="1">
      <c r="A123" s="22"/>
      <c r="B123" s="22" t="str">
        <f>IFERROR(__xludf.DUMMYFUNCTION("""COMPUTED_VALUE"""),"Amazon")</f>
        <v>Amazon</v>
      </c>
      <c r="C123" s="31"/>
      <c r="D123" s="35"/>
      <c r="E123" s="28"/>
      <c r="F123" s="35"/>
      <c r="G123" s="31"/>
      <c r="H123" s="31"/>
      <c r="I123" s="31"/>
      <c r="J123" s="26"/>
      <c r="K123" s="42" t="str">
        <f>IFERROR(__xludf.DUMMYFUNCTION("""COMPUTED_VALUE"""),"NO")</f>
        <v>NO</v>
      </c>
    </row>
    <row r="124" ht="12.75" customHeight="1">
      <c r="A124" s="22"/>
      <c r="B124" s="22" t="str">
        <f>IFERROR(__xludf.DUMMYFUNCTION("""COMPUTED_VALUE"""),"Microsoft")</f>
        <v>Microsoft</v>
      </c>
      <c r="C124" s="31"/>
      <c r="D124" s="35"/>
      <c r="E124" s="28"/>
      <c r="F124" s="35"/>
      <c r="G124" s="31"/>
      <c r="H124" s="31"/>
      <c r="I124" s="31"/>
      <c r="J124" s="26"/>
      <c r="K124" s="42" t="str">
        <f>IFERROR(__xludf.DUMMYFUNCTION("""COMPUTED_VALUE"""),"NO")</f>
        <v>NO</v>
      </c>
    </row>
    <row r="125" ht="12.75" customHeight="1">
      <c r="A125" s="22"/>
      <c r="B125" s="22" t="str">
        <f>IFERROR(__xludf.DUMMYFUNCTION("""COMPUTED_VALUE"""),"Netflix")</f>
        <v>Netflix</v>
      </c>
      <c r="C125" s="31"/>
      <c r="D125" s="35"/>
      <c r="E125" s="28"/>
      <c r="F125" s="35"/>
      <c r="G125" s="31"/>
      <c r="H125" s="31"/>
      <c r="I125" s="31"/>
      <c r="J125" s="26"/>
      <c r="K125" s="42" t="str">
        <f>IFERROR(__xludf.DUMMYFUNCTION("""COMPUTED_VALUE"""),"NO")</f>
        <v>NO</v>
      </c>
    </row>
    <row r="126" ht="12.75" customHeight="1">
      <c r="A126" s="22"/>
      <c r="B126" s="22" t="str">
        <f>IFERROR(__xludf.DUMMYFUNCTION("""COMPUTED_VALUE"""),"Facebook")</f>
        <v>Facebook</v>
      </c>
      <c r="C126" s="42"/>
      <c r="D126" s="42"/>
      <c r="E126" s="42"/>
      <c r="F126" s="42"/>
      <c r="G126" s="42"/>
      <c r="H126" s="42"/>
      <c r="I126" s="42"/>
      <c r="J126" s="42"/>
      <c r="K126" s="42" t="str">
        <f>IFERROR(__xludf.DUMMYFUNCTION("""COMPUTED_VALUE"""),"NO")</f>
        <v>NO</v>
      </c>
    </row>
    <row r="127" ht="12.75" customHeight="1">
      <c r="A127" s="42"/>
      <c r="B127" s="44" t="str">
        <f>IFERROR(__xludf.DUMMYFUNCTION("""COMPUTED_VALUE"""),"Ocado")</f>
        <v>Ocado</v>
      </c>
      <c r="C127" s="42"/>
      <c r="D127" s="42"/>
      <c r="E127" s="42"/>
      <c r="F127" s="42"/>
      <c r="G127" s="42"/>
      <c r="H127" s="42"/>
      <c r="I127" s="42"/>
      <c r="J127" s="42"/>
      <c r="K127" s="42" t="str">
        <f>IFERROR(__xludf.DUMMYFUNCTION("""COMPUTED_VALUE"""),"NO")</f>
        <v>NO</v>
      </c>
    </row>
    <row r="128" ht="12.75" customHeight="1">
      <c r="A128" s="42"/>
      <c r="B128" s="44" t="str">
        <f>IFERROR(__xludf.DUMMYFUNCTION("""COMPUTED_VALUE"""),"Angstrom Sports")</f>
        <v>Angstrom Sports</v>
      </c>
      <c r="C128" s="42"/>
      <c r="D128" s="42"/>
      <c r="E128" s="42"/>
      <c r="F128" s="42"/>
      <c r="G128" s="42"/>
      <c r="H128" s="42"/>
      <c r="I128" s="42"/>
      <c r="J128" s="42"/>
      <c r="K128" s="42" t="str">
        <f>IFERROR(__xludf.DUMMYFUNCTION("""COMPUTED_VALUE"""),"NO")</f>
        <v>NO</v>
      </c>
    </row>
    <row r="129" ht="12.75" customHeight="1">
      <c r="A129" s="42"/>
      <c r="B129" s="44" t="str">
        <f>IFERROR(__xludf.DUMMYFUNCTION("""COMPUTED_VALUE"""),"Bloomberg")</f>
        <v>Bloomberg</v>
      </c>
      <c r="C129" s="42"/>
      <c r="D129" s="42"/>
      <c r="E129" s="42"/>
      <c r="F129" s="42"/>
      <c r="G129" s="42"/>
      <c r="H129" s="42"/>
      <c r="I129" s="42"/>
      <c r="J129" s="42"/>
      <c r="K129" s="42" t="str">
        <f>IFERROR(__xludf.DUMMYFUNCTION("""COMPUTED_VALUE"""),"NO")</f>
        <v>NO</v>
      </c>
    </row>
    <row r="130" ht="12.75" customHeight="1">
      <c r="A130" s="42"/>
      <c r="B130" s="44" t="str">
        <f>IFERROR(__xludf.DUMMYFUNCTION("""COMPUTED_VALUE"""),"Apple")</f>
        <v>Apple</v>
      </c>
      <c r="C130" s="42"/>
      <c r="D130" s="42"/>
      <c r="E130" s="42"/>
      <c r="F130" s="42"/>
      <c r="G130" s="42"/>
      <c r="H130" s="42"/>
      <c r="I130" s="42"/>
      <c r="J130" s="42"/>
      <c r="K130" s="42" t="str">
        <f>IFERROR(__xludf.DUMMYFUNCTION("""COMPUTED_VALUE"""),"NO")</f>
        <v>NO</v>
      </c>
    </row>
    <row r="131" ht="12.75" customHeight="1">
      <c r="A131" s="42"/>
      <c r="B131" s="44" t="str">
        <f>IFERROR(__xludf.DUMMYFUNCTION("""COMPUTED_VALUE"""),"IBM")</f>
        <v>IBM</v>
      </c>
      <c r="C131" s="42"/>
      <c r="D131" s="42"/>
      <c r="E131" s="42"/>
      <c r="F131" s="42"/>
      <c r="G131" s="42"/>
      <c r="H131" s="42"/>
      <c r="I131" s="42"/>
      <c r="J131" s="42"/>
      <c r="K131" s="42" t="str">
        <f>IFERROR(__xludf.DUMMYFUNCTION("""COMPUTED_VALUE"""),"NO")</f>
        <v>NO</v>
      </c>
    </row>
    <row r="132" ht="12.75" customHeight="1">
      <c r="A132" s="42"/>
      <c r="B132" s="44" t="str">
        <f>IFERROR(__xludf.DUMMYFUNCTION("""COMPUTED_VALUE"""),"Oracle")</f>
        <v>Oracle</v>
      </c>
      <c r="C132" s="42"/>
      <c r="D132" s="42"/>
      <c r="E132" s="42"/>
      <c r="F132" s="42"/>
      <c r="G132" s="42"/>
      <c r="H132" s="42"/>
      <c r="I132" s="42"/>
      <c r="J132" s="42"/>
      <c r="K132" s="42" t="str">
        <f>IFERROR(__xludf.DUMMYFUNCTION("""COMPUTED_VALUE"""),"NO")</f>
        <v>NO</v>
      </c>
    </row>
    <row r="133" ht="12.75" customHeight="1">
      <c r="A133" s="42"/>
      <c r="B133" s="42" t="str">
        <f>IFERROR(__xludf.DUMMYFUNCTION("""COMPUTED_VALUE"""),"")</f>
        <v/>
      </c>
      <c r="C133" s="42"/>
      <c r="D133" s="42"/>
      <c r="E133" s="42"/>
      <c r="F133" s="42"/>
      <c r="G133" s="42"/>
      <c r="H133" s="42"/>
      <c r="I133" s="42"/>
      <c r="J133" s="42"/>
      <c r="K133" s="42"/>
    </row>
    <row r="134" ht="12.75" customHeight="1">
      <c r="A134" s="42"/>
      <c r="B134" s="42" t="str">
        <f>IFERROR(__xludf.DUMMYFUNCTION("""COMPUTED_VALUE"""),"")</f>
        <v/>
      </c>
      <c r="C134" s="42"/>
      <c r="D134" s="42"/>
      <c r="E134" s="42"/>
      <c r="F134" s="42"/>
      <c r="G134" s="42"/>
      <c r="H134" s="42"/>
      <c r="I134" s="42"/>
      <c r="J134" s="42"/>
      <c r="K134" s="42"/>
    </row>
    <row r="135" ht="12.75" customHeight="1">
      <c r="A135" s="42"/>
      <c r="B135" s="42" t="str">
        <f>IFERROR(__xludf.DUMMYFUNCTION("""COMPUTED_VALUE"""),"")</f>
        <v/>
      </c>
      <c r="C135" s="42"/>
      <c r="D135" s="42"/>
      <c r="E135" s="42"/>
      <c r="F135" s="42"/>
      <c r="G135" s="42"/>
      <c r="H135" s="42"/>
      <c r="I135" s="42"/>
      <c r="J135" s="42"/>
      <c r="K135" s="42"/>
    </row>
    <row r="136" ht="12.75" customHeight="1">
      <c r="A136" s="42"/>
      <c r="B136" s="42" t="str">
        <f>IFERROR(__xludf.DUMMYFUNCTION("""COMPUTED_VALUE"""),"")</f>
        <v/>
      </c>
      <c r="C136" s="42"/>
      <c r="D136" s="42"/>
      <c r="E136" s="42"/>
      <c r="F136" s="42"/>
      <c r="G136" s="42"/>
      <c r="H136" s="42"/>
      <c r="I136" s="42"/>
      <c r="J136" s="42"/>
      <c r="K136" s="42"/>
    </row>
    <row r="137" ht="12.75" customHeight="1">
      <c r="A137" s="42"/>
      <c r="B137" s="42" t="str">
        <f>IFERROR(__xludf.DUMMYFUNCTION("""COMPUTED_VALUE"""),"")</f>
        <v/>
      </c>
      <c r="C137" s="42"/>
      <c r="D137" s="42"/>
      <c r="E137" s="42"/>
      <c r="F137" s="42"/>
      <c r="G137" s="42"/>
      <c r="H137" s="42"/>
      <c r="I137" s="42"/>
      <c r="J137" s="42"/>
      <c r="K137" s="42"/>
    </row>
    <row r="138" ht="12.75" customHeight="1">
      <c r="A138" s="42"/>
      <c r="B138" s="42" t="str">
        <f>IFERROR(__xludf.DUMMYFUNCTION("""COMPUTED_VALUE"""),"")</f>
        <v/>
      </c>
      <c r="C138" s="42"/>
      <c r="D138" s="42"/>
      <c r="E138" s="42"/>
      <c r="F138" s="42"/>
      <c r="G138" s="42"/>
      <c r="H138" s="42"/>
      <c r="I138" s="42"/>
      <c r="J138" s="42"/>
      <c r="K138" s="42"/>
    </row>
    <row r="139" ht="12.75" customHeight="1">
      <c r="A139" s="42"/>
      <c r="B139" s="42" t="str">
        <f>IFERROR(__xludf.DUMMYFUNCTION("""COMPUTED_VALUE"""),"")</f>
        <v/>
      </c>
      <c r="C139" s="42"/>
      <c r="D139" s="42"/>
      <c r="E139" s="42"/>
      <c r="F139" s="42"/>
      <c r="G139" s="42"/>
      <c r="H139" s="42"/>
      <c r="I139" s="42"/>
      <c r="J139" s="42"/>
      <c r="K139" s="42"/>
    </row>
    <row r="140" ht="12.75" customHeight="1">
      <c r="A140" s="42"/>
      <c r="B140" s="42" t="str">
        <f>IFERROR(__xludf.DUMMYFUNCTION("""COMPUTED_VALUE"""),"")</f>
        <v/>
      </c>
      <c r="C140" s="42"/>
      <c r="D140" s="42"/>
      <c r="E140" s="42"/>
      <c r="F140" s="42"/>
      <c r="G140" s="42"/>
      <c r="H140" s="42"/>
      <c r="I140" s="42"/>
      <c r="J140" s="42"/>
      <c r="K140" s="42"/>
    </row>
    <row r="141" ht="12.75" customHeight="1">
      <c r="A141" s="42"/>
      <c r="B141" s="42" t="str">
        <f>IFERROR(__xludf.DUMMYFUNCTION("""COMPUTED_VALUE"""),"")</f>
        <v/>
      </c>
      <c r="C141" s="42"/>
      <c r="D141" s="42"/>
      <c r="E141" s="42"/>
      <c r="F141" s="42"/>
      <c r="G141" s="42"/>
      <c r="H141" s="42"/>
      <c r="I141" s="42"/>
      <c r="J141" s="42"/>
      <c r="K141" s="42"/>
    </row>
    <row r="142" ht="12.75" customHeight="1">
      <c r="A142" s="42"/>
      <c r="B142" s="42" t="str">
        <f>IFERROR(__xludf.DUMMYFUNCTION("""COMPUTED_VALUE"""),"")</f>
        <v/>
      </c>
      <c r="C142" s="42"/>
      <c r="D142" s="42"/>
      <c r="E142" s="42"/>
      <c r="F142" s="42"/>
      <c r="G142" s="42"/>
      <c r="H142" s="42"/>
      <c r="I142" s="42"/>
      <c r="J142" s="42"/>
      <c r="K142" s="42"/>
    </row>
    <row r="143" ht="12.75" customHeight="1">
      <c r="A143" s="42"/>
      <c r="B143" s="42" t="str">
        <f>IFERROR(__xludf.DUMMYFUNCTION("""COMPUTED_VALUE"""),"")</f>
        <v/>
      </c>
      <c r="C143" s="42"/>
      <c r="D143" s="42"/>
      <c r="E143" s="42"/>
      <c r="F143" s="42"/>
      <c r="G143" s="42"/>
      <c r="H143" s="42"/>
      <c r="I143" s="42"/>
      <c r="J143" s="42"/>
      <c r="K143" s="42"/>
    </row>
    <row r="144" ht="12.75" customHeight="1">
      <c r="A144" s="42"/>
      <c r="B144" s="42" t="str">
        <f>IFERROR(__xludf.DUMMYFUNCTION("""COMPUTED_VALUE"""),"")</f>
        <v/>
      </c>
      <c r="C144" s="42"/>
      <c r="D144" s="42"/>
      <c r="E144" s="42"/>
      <c r="F144" s="42"/>
      <c r="G144" s="42"/>
      <c r="H144" s="42"/>
      <c r="I144" s="42"/>
      <c r="J144" s="42"/>
      <c r="K144" s="42"/>
    </row>
    <row r="145" ht="12.75" customHeight="1">
      <c r="A145" s="42"/>
      <c r="B145" s="42" t="str">
        <f>IFERROR(__xludf.DUMMYFUNCTION("""COMPUTED_VALUE"""),"")</f>
        <v/>
      </c>
      <c r="C145" s="42"/>
      <c r="D145" s="42"/>
      <c r="E145" s="42"/>
      <c r="F145" s="42"/>
      <c r="G145" s="42"/>
      <c r="H145" s="42"/>
      <c r="I145" s="42"/>
      <c r="J145" s="42"/>
      <c r="K145" s="42"/>
    </row>
    <row r="146" ht="12.75" customHeight="1">
      <c r="A146" s="42"/>
      <c r="B146" s="42" t="str">
        <f>IFERROR(__xludf.DUMMYFUNCTION("""COMPUTED_VALUE"""),"")</f>
        <v/>
      </c>
      <c r="C146" s="42"/>
      <c r="D146" s="42"/>
      <c r="E146" s="42"/>
      <c r="F146" s="42"/>
      <c r="G146" s="42"/>
      <c r="H146" s="42"/>
      <c r="I146" s="42"/>
      <c r="J146" s="42"/>
      <c r="K146" s="42"/>
    </row>
    <row r="147" ht="12.75" customHeight="1">
      <c r="A147" s="42"/>
      <c r="B147" s="42" t="str">
        <f>IFERROR(__xludf.DUMMYFUNCTION("""COMPUTED_VALUE"""),"")</f>
        <v/>
      </c>
      <c r="C147" s="42"/>
      <c r="D147" s="42"/>
      <c r="E147" s="42"/>
      <c r="F147" s="42"/>
      <c r="G147" s="42"/>
      <c r="H147" s="42"/>
      <c r="I147" s="42"/>
      <c r="J147" s="42"/>
      <c r="K147" s="42"/>
    </row>
    <row r="148" ht="12.75" customHeight="1">
      <c r="A148" s="42"/>
      <c r="B148" s="42" t="str">
        <f>IFERROR(__xludf.DUMMYFUNCTION("""COMPUTED_VALUE"""),"")</f>
        <v/>
      </c>
      <c r="C148" s="42"/>
      <c r="D148" s="42"/>
      <c r="E148" s="42"/>
      <c r="F148" s="42"/>
      <c r="G148" s="42"/>
      <c r="H148" s="42"/>
      <c r="I148" s="42"/>
      <c r="J148" s="42"/>
      <c r="K148" s="42"/>
    </row>
    <row r="149" ht="12.75" customHeight="1">
      <c r="A149" s="42"/>
      <c r="B149" s="42" t="str">
        <f>IFERROR(__xludf.DUMMYFUNCTION("""COMPUTED_VALUE"""),"")</f>
        <v/>
      </c>
      <c r="C149" s="42"/>
      <c r="D149" s="42"/>
      <c r="E149" s="42"/>
      <c r="F149" s="42"/>
      <c r="G149" s="42"/>
      <c r="H149" s="42"/>
      <c r="I149" s="42"/>
      <c r="J149" s="42"/>
      <c r="K149" s="42"/>
    </row>
    <row r="150" ht="12.75" customHeight="1">
      <c r="A150" s="42"/>
      <c r="B150" s="42" t="str">
        <f>IFERROR(__xludf.DUMMYFUNCTION("""COMPUTED_VALUE"""),"")</f>
        <v/>
      </c>
      <c r="C150" s="42"/>
      <c r="D150" s="42"/>
      <c r="E150" s="42"/>
      <c r="F150" s="42"/>
      <c r="G150" s="42"/>
      <c r="H150" s="42"/>
      <c r="I150" s="42"/>
      <c r="J150" s="42"/>
      <c r="K150" s="42"/>
    </row>
    <row r="151" ht="12.75" customHeight="1">
      <c r="A151" s="42"/>
      <c r="B151" s="42" t="str">
        <f>IFERROR(__xludf.DUMMYFUNCTION("""COMPUTED_VALUE"""),"")</f>
        <v/>
      </c>
      <c r="C151" s="42"/>
      <c r="D151" s="42"/>
      <c r="E151" s="42"/>
      <c r="F151" s="42"/>
      <c r="G151" s="42"/>
      <c r="H151" s="42"/>
      <c r="I151" s="42"/>
      <c r="J151" s="42"/>
      <c r="K151" s="42"/>
    </row>
    <row r="152" ht="12.75" customHeight="1">
      <c r="A152" s="42"/>
      <c r="B152" s="42" t="str">
        <f>IFERROR(__xludf.DUMMYFUNCTION("""COMPUTED_VALUE"""),"")</f>
        <v/>
      </c>
      <c r="C152" s="42"/>
      <c r="D152" s="42"/>
      <c r="E152" s="42"/>
      <c r="F152" s="42"/>
      <c r="G152" s="42"/>
      <c r="H152" s="42"/>
      <c r="I152" s="42"/>
      <c r="J152" s="42"/>
      <c r="K152" s="42"/>
    </row>
    <row r="153" ht="12.75" customHeight="1">
      <c r="A153" s="42"/>
      <c r="B153" s="42" t="str">
        <f>IFERROR(__xludf.DUMMYFUNCTION("""COMPUTED_VALUE"""),"")</f>
        <v/>
      </c>
      <c r="C153" s="42"/>
      <c r="D153" s="42"/>
      <c r="E153" s="42"/>
      <c r="F153" s="42"/>
      <c r="G153" s="42"/>
      <c r="H153" s="42"/>
      <c r="I153" s="42"/>
      <c r="J153" s="42"/>
      <c r="K153" s="42"/>
    </row>
    <row r="154" ht="12.75" customHeight="1">
      <c r="A154" s="42"/>
      <c r="B154" s="42" t="str">
        <f>IFERROR(__xludf.DUMMYFUNCTION("""COMPUTED_VALUE"""),"")</f>
        <v/>
      </c>
      <c r="C154" s="42"/>
      <c r="D154" s="42"/>
      <c r="E154" s="42"/>
      <c r="F154" s="42"/>
      <c r="G154" s="42"/>
      <c r="H154" s="42"/>
      <c r="I154" s="42"/>
      <c r="J154" s="42"/>
      <c r="K154" s="42"/>
    </row>
    <row r="155" ht="12.75" customHeight="1">
      <c r="A155" s="42"/>
      <c r="B155" s="42" t="str">
        <f>IFERROR(__xludf.DUMMYFUNCTION("""COMPUTED_VALUE"""),"")</f>
        <v/>
      </c>
      <c r="C155" s="42"/>
      <c r="D155" s="42"/>
      <c r="E155" s="42"/>
      <c r="F155" s="42"/>
      <c r="G155" s="42"/>
      <c r="H155" s="42"/>
      <c r="I155" s="42"/>
      <c r="J155" s="42"/>
      <c r="K155" s="42"/>
    </row>
    <row r="156" ht="12.75" customHeight="1">
      <c r="A156" s="42"/>
      <c r="B156" s="42" t="str">
        <f>IFERROR(__xludf.DUMMYFUNCTION("""COMPUTED_VALUE"""),"")</f>
        <v/>
      </c>
      <c r="C156" s="42"/>
      <c r="D156" s="42"/>
      <c r="E156" s="42"/>
      <c r="F156" s="42"/>
      <c r="G156" s="42"/>
      <c r="H156" s="42"/>
      <c r="I156" s="42"/>
      <c r="J156" s="42"/>
      <c r="K156" s="42"/>
    </row>
    <row r="157" ht="12.75" customHeight="1">
      <c r="A157" s="42"/>
      <c r="B157" s="42" t="str">
        <f>IFERROR(__xludf.DUMMYFUNCTION("""COMPUTED_VALUE"""),"")</f>
        <v/>
      </c>
      <c r="C157" s="42"/>
      <c r="D157" s="42"/>
      <c r="E157" s="42"/>
      <c r="F157" s="42"/>
      <c r="G157" s="42"/>
      <c r="H157" s="42"/>
      <c r="I157" s="42"/>
      <c r="J157" s="42"/>
      <c r="K157" s="42"/>
    </row>
    <row r="158" ht="12.75" customHeight="1">
      <c r="A158" s="42"/>
      <c r="B158" s="42" t="str">
        <f>IFERROR(__xludf.DUMMYFUNCTION("""COMPUTED_VALUE"""),"")</f>
        <v/>
      </c>
      <c r="C158" s="42"/>
      <c r="D158" s="42"/>
      <c r="E158" s="42"/>
      <c r="F158" s="42"/>
      <c r="G158" s="42"/>
      <c r="H158" s="42"/>
      <c r="I158" s="42"/>
      <c r="J158" s="42"/>
      <c r="K158" s="42"/>
    </row>
    <row r="159" ht="12.75" customHeight="1">
      <c r="A159" s="42"/>
      <c r="B159" s="42" t="str">
        <f>IFERROR(__xludf.DUMMYFUNCTION("""COMPUTED_VALUE"""),"")</f>
        <v/>
      </c>
      <c r="C159" s="42"/>
      <c r="D159" s="42"/>
      <c r="E159" s="42"/>
      <c r="F159" s="42"/>
      <c r="G159" s="42"/>
      <c r="H159" s="42"/>
      <c r="I159" s="42"/>
      <c r="J159" s="42"/>
      <c r="K159" s="42"/>
    </row>
    <row r="160" ht="12.75" customHeight="1">
      <c r="A160" s="42"/>
      <c r="B160" s="42" t="str">
        <f>IFERROR(__xludf.DUMMYFUNCTION("""COMPUTED_VALUE"""),"")</f>
        <v/>
      </c>
      <c r="C160" s="42"/>
      <c r="D160" s="42"/>
      <c r="E160" s="42"/>
      <c r="F160" s="42"/>
      <c r="G160" s="42"/>
      <c r="H160" s="42"/>
      <c r="I160" s="42"/>
      <c r="J160" s="42"/>
      <c r="K160" s="42"/>
    </row>
    <row r="161" ht="12.75" customHeight="1">
      <c r="A161" s="42"/>
      <c r="B161" s="42" t="str">
        <f>IFERROR(__xludf.DUMMYFUNCTION("""COMPUTED_VALUE"""),"")</f>
        <v/>
      </c>
      <c r="C161" s="42"/>
      <c r="D161" s="42"/>
      <c r="E161" s="42"/>
      <c r="F161" s="42"/>
      <c r="G161" s="42"/>
      <c r="H161" s="42"/>
      <c r="I161" s="42"/>
      <c r="J161" s="42"/>
      <c r="K161" s="42"/>
    </row>
    <row r="162" ht="12.75" customHeight="1">
      <c r="A162" s="42"/>
      <c r="B162" s="42" t="str">
        <f>IFERROR(__xludf.DUMMYFUNCTION("""COMPUTED_VALUE"""),"")</f>
        <v/>
      </c>
      <c r="C162" s="42"/>
      <c r="D162" s="42"/>
      <c r="E162" s="42"/>
      <c r="F162" s="42"/>
      <c r="G162" s="42"/>
      <c r="H162" s="42"/>
      <c r="I162" s="42"/>
      <c r="J162" s="42"/>
      <c r="K162" s="42"/>
    </row>
    <row r="163" ht="12.75" customHeight="1">
      <c r="A163" s="42"/>
      <c r="B163" s="42" t="str">
        <f>IFERROR(__xludf.DUMMYFUNCTION("""COMPUTED_VALUE"""),"")</f>
        <v/>
      </c>
      <c r="C163" s="42"/>
      <c r="D163" s="42"/>
      <c r="E163" s="42"/>
      <c r="F163" s="42"/>
      <c r="G163" s="42"/>
      <c r="H163" s="42"/>
      <c r="I163" s="42"/>
      <c r="J163" s="42"/>
      <c r="K163" s="42"/>
    </row>
    <row r="164" ht="12.75" customHeight="1">
      <c r="A164" s="42"/>
      <c r="B164" s="42" t="str">
        <f>IFERROR(__xludf.DUMMYFUNCTION("""COMPUTED_VALUE"""),"")</f>
        <v/>
      </c>
      <c r="C164" s="42"/>
      <c r="D164" s="42"/>
      <c r="E164" s="42"/>
      <c r="F164" s="42"/>
      <c r="G164" s="42"/>
      <c r="H164" s="42"/>
      <c r="I164" s="42"/>
      <c r="J164" s="42"/>
      <c r="K164" s="42"/>
    </row>
    <row r="165" ht="12.75" customHeight="1">
      <c r="A165" s="42"/>
      <c r="B165" s="42" t="str">
        <f>IFERROR(__xludf.DUMMYFUNCTION("""COMPUTED_VALUE"""),"")</f>
        <v/>
      </c>
      <c r="C165" s="42"/>
      <c r="D165" s="42"/>
      <c r="E165" s="42"/>
      <c r="F165" s="42"/>
      <c r="G165" s="42"/>
      <c r="H165" s="42"/>
      <c r="I165" s="42"/>
      <c r="J165" s="42"/>
      <c r="K165" s="42"/>
    </row>
    <row r="166" ht="12.75" customHeight="1">
      <c r="A166" s="42"/>
      <c r="B166" s="42" t="str">
        <f>IFERROR(__xludf.DUMMYFUNCTION("""COMPUTED_VALUE"""),"")</f>
        <v/>
      </c>
      <c r="C166" s="42"/>
      <c r="D166" s="42"/>
      <c r="E166" s="42"/>
      <c r="F166" s="42"/>
      <c r="G166" s="42"/>
      <c r="H166" s="42"/>
      <c r="I166" s="42"/>
      <c r="J166" s="42"/>
      <c r="K166" s="42"/>
    </row>
    <row r="167" ht="12.75" customHeight="1">
      <c r="A167" s="42"/>
      <c r="B167" s="42" t="str">
        <f>IFERROR(__xludf.DUMMYFUNCTION("""COMPUTED_VALUE"""),"")</f>
        <v/>
      </c>
      <c r="C167" s="42"/>
      <c r="D167" s="42"/>
      <c r="E167" s="42"/>
      <c r="F167" s="42"/>
      <c r="G167" s="42"/>
      <c r="H167" s="42"/>
      <c r="I167" s="42"/>
      <c r="J167" s="42"/>
      <c r="K167" s="42"/>
    </row>
    <row r="168" ht="12.75" customHeight="1">
      <c r="A168" s="42"/>
      <c r="B168" s="42" t="str">
        <f>IFERROR(__xludf.DUMMYFUNCTION("""COMPUTED_VALUE"""),"")</f>
        <v/>
      </c>
      <c r="C168" s="42"/>
      <c r="D168" s="42"/>
      <c r="E168" s="42"/>
      <c r="F168" s="42"/>
      <c r="G168" s="42"/>
      <c r="H168" s="42"/>
      <c r="I168" s="42"/>
      <c r="J168" s="42"/>
      <c r="K168" s="42"/>
    </row>
    <row r="169" ht="12.75" customHeight="1">
      <c r="A169" s="42"/>
      <c r="B169" s="42" t="str">
        <f>IFERROR(__xludf.DUMMYFUNCTION("""COMPUTED_VALUE"""),"")</f>
        <v/>
      </c>
      <c r="C169" s="42"/>
      <c r="D169" s="42"/>
      <c r="E169" s="42"/>
      <c r="F169" s="42"/>
      <c r="G169" s="42"/>
      <c r="H169" s="42"/>
      <c r="I169" s="42"/>
      <c r="J169" s="42"/>
      <c r="K169" s="42"/>
    </row>
    <row r="170" ht="12.75" customHeight="1">
      <c r="A170" s="42"/>
      <c r="B170" s="42" t="str">
        <f>IFERROR(__xludf.DUMMYFUNCTION("""COMPUTED_VALUE"""),"")</f>
        <v/>
      </c>
      <c r="C170" s="42"/>
      <c r="D170" s="42"/>
      <c r="E170" s="42"/>
      <c r="F170" s="42"/>
      <c r="G170" s="42"/>
      <c r="H170" s="42"/>
      <c r="I170" s="42"/>
      <c r="J170" s="42"/>
      <c r="K170" s="42"/>
    </row>
    <row r="171" ht="12.75" customHeight="1">
      <c r="A171" s="42"/>
      <c r="B171" s="42" t="str">
        <f>IFERROR(__xludf.DUMMYFUNCTION("""COMPUTED_VALUE"""),"")</f>
        <v/>
      </c>
      <c r="C171" s="42"/>
      <c r="D171" s="42"/>
      <c r="E171" s="42"/>
      <c r="F171" s="42"/>
      <c r="G171" s="42"/>
      <c r="H171" s="42"/>
      <c r="I171" s="42"/>
      <c r="J171" s="42"/>
      <c r="K171" s="42"/>
    </row>
    <row r="172" ht="12.75" customHeight="1">
      <c r="A172" s="42"/>
      <c r="B172" s="42" t="str">
        <f>IFERROR(__xludf.DUMMYFUNCTION("""COMPUTED_VALUE"""),"")</f>
        <v/>
      </c>
      <c r="C172" s="42"/>
      <c r="D172" s="42"/>
      <c r="E172" s="42"/>
      <c r="F172" s="42"/>
      <c r="G172" s="42"/>
      <c r="H172" s="42"/>
      <c r="I172" s="42"/>
      <c r="J172" s="42"/>
      <c r="K172" s="42"/>
    </row>
    <row r="173" ht="12.75" customHeight="1">
      <c r="A173" s="42"/>
      <c r="B173" s="42" t="str">
        <f>IFERROR(__xludf.DUMMYFUNCTION("""COMPUTED_VALUE"""),"")</f>
        <v/>
      </c>
      <c r="C173" s="42"/>
      <c r="D173" s="42"/>
      <c r="E173" s="42"/>
      <c r="F173" s="42"/>
      <c r="G173" s="42"/>
      <c r="H173" s="42"/>
      <c r="I173" s="42"/>
      <c r="J173" s="42"/>
      <c r="K173" s="42"/>
    </row>
    <row r="174" ht="12.75" customHeight="1">
      <c r="A174" s="42"/>
      <c r="B174" s="42" t="str">
        <f>IFERROR(__xludf.DUMMYFUNCTION("""COMPUTED_VALUE"""),"")</f>
        <v/>
      </c>
      <c r="C174" s="42"/>
      <c r="D174" s="42"/>
      <c r="E174" s="42"/>
      <c r="F174" s="42"/>
      <c r="G174" s="42"/>
      <c r="H174" s="42"/>
      <c r="I174" s="42"/>
      <c r="J174" s="42"/>
      <c r="K174" s="42"/>
    </row>
    <row r="175" ht="12.75" customHeight="1">
      <c r="A175" s="42"/>
      <c r="B175" s="42" t="str">
        <f>IFERROR(__xludf.DUMMYFUNCTION("""COMPUTED_VALUE"""),"")</f>
        <v/>
      </c>
      <c r="C175" s="42"/>
      <c r="D175" s="42"/>
      <c r="E175" s="42"/>
      <c r="F175" s="42"/>
      <c r="G175" s="42"/>
      <c r="H175" s="42"/>
      <c r="I175" s="42"/>
      <c r="J175" s="42"/>
      <c r="K175" s="42"/>
    </row>
    <row r="176" ht="12.75" customHeight="1">
      <c r="A176" s="42"/>
      <c r="B176" s="42" t="str">
        <f>IFERROR(__xludf.DUMMYFUNCTION("""COMPUTED_VALUE"""),"")</f>
        <v/>
      </c>
      <c r="C176" s="42"/>
      <c r="D176" s="42"/>
      <c r="E176" s="42"/>
      <c r="F176" s="42"/>
      <c r="G176" s="42"/>
      <c r="H176" s="42"/>
      <c r="I176" s="42"/>
      <c r="J176" s="42"/>
      <c r="K176" s="42"/>
    </row>
    <row r="177" ht="12.75" customHeight="1">
      <c r="A177" s="42"/>
      <c r="B177" s="42" t="str">
        <f>IFERROR(__xludf.DUMMYFUNCTION("""COMPUTED_VALUE"""),"")</f>
        <v/>
      </c>
      <c r="C177" s="42"/>
      <c r="D177" s="42"/>
      <c r="E177" s="42"/>
      <c r="F177" s="42"/>
      <c r="G177" s="42"/>
      <c r="H177" s="42"/>
      <c r="I177" s="42"/>
      <c r="J177" s="42"/>
      <c r="K177" s="42"/>
    </row>
    <row r="178" ht="12.75" customHeight="1">
      <c r="A178" s="42"/>
      <c r="B178" s="42" t="str">
        <f>IFERROR(__xludf.DUMMYFUNCTION("""COMPUTED_VALUE"""),"")</f>
        <v/>
      </c>
      <c r="C178" s="42"/>
      <c r="D178" s="42"/>
      <c r="E178" s="42"/>
      <c r="F178" s="42"/>
      <c r="G178" s="42"/>
      <c r="H178" s="42"/>
      <c r="I178" s="42"/>
      <c r="J178" s="42"/>
      <c r="K178" s="42"/>
    </row>
    <row r="179" ht="12.75" customHeight="1">
      <c r="A179" s="42"/>
      <c r="B179" s="42" t="str">
        <f>IFERROR(__xludf.DUMMYFUNCTION("""COMPUTED_VALUE"""),"")</f>
        <v/>
      </c>
      <c r="C179" s="42"/>
      <c r="D179" s="42"/>
      <c r="E179" s="42"/>
      <c r="F179" s="42"/>
      <c r="G179" s="42"/>
      <c r="H179" s="42"/>
      <c r="I179" s="42"/>
      <c r="J179" s="42"/>
      <c r="K179" s="42"/>
    </row>
    <row r="180" ht="12.75" customHeight="1">
      <c r="A180" s="42"/>
      <c r="B180" s="42" t="str">
        <f>IFERROR(__xludf.DUMMYFUNCTION("""COMPUTED_VALUE"""),"")</f>
        <v/>
      </c>
      <c r="C180" s="42"/>
      <c r="D180" s="42"/>
      <c r="E180" s="42"/>
      <c r="F180" s="42"/>
      <c r="G180" s="42"/>
      <c r="H180" s="42"/>
      <c r="I180" s="42"/>
      <c r="J180" s="42"/>
      <c r="K180" s="42"/>
    </row>
    <row r="181" ht="12.75" customHeight="1">
      <c r="A181" s="42"/>
      <c r="B181" s="42" t="str">
        <f>IFERROR(__xludf.DUMMYFUNCTION("""COMPUTED_VALUE"""),"")</f>
        <v/>
      </c>
      <c r="C181" s="42"/>
      <c r="D181" s="42"/>
      <c r="E181" s="42"/>
      <c r="F181" s="42"/>
      <c r="G181" s="42"/>
      <c r="H181" s="42"/>
      <c r="I181" s="42"/>
      <c r="J181" s="42"/>
      <c r="K181" s="42"/>
    </row>
    <row r="182" ht="12.75" customHeight="1">
      <c r="A182" s="42"/>
      <c r="B182" s="42" t="str">
        <f>IFERROR(__xludf.DUMMYFUNCTION("""COMPUTED_VALUE"""),"")</f>
        <v/>
      </c>
      <c r="C182" s="42"/>
      <c r="D182" s="42"/>
      <c r="E182" s="42"/>
      <c r="F182" s="42"/>
      <c r="G182" s="42"/>
      <c r="H182" s="42"/>
      <c r="I182" s="42"/>
      <c r="J182" s="42"/>
      <c r="K182" s="42"/>
    </row>
    <row r="183" ht="12.75" customHeight="1">
      <c r="A183" s="42"/>
      <c r="B183" s="42" t="str">
        <f>IFERROR(__xludf.DUMMYFUNCTION("""COMPUTED_VALUE"""),"")</f>
        <v/>
      </c>
      <c r="C183" s="42"/>
      <c r="D183" s="42"/>
      <c r="E183" s="42"/>
      <c r="F183" s="42"/>
      <c r="G183" s="42"/>
      <c r="H183" s="42"/>
      <c r="I183" s="42"/>
      <c r="J183" s="42"/>
      <c r="K183" s="42"/>
    </row>
    <row r="184" ht="12.75" customHeight="1">
      <c r="A184" s="42"/>
      <c r="B184" s="42" t="str">
        <f>IFERROR(__xludf.DUMMYFUNCTION("""COMPUTED_VALUE"""),"")</f>
        <v/>
      </c>
      <c r="C184" s="42"/>
      <c r="D184" s="42"/>
      <c r="E184" s="42"/>
      <c r="F184" s="42"/>
      <c r="G184" s="42"/>
      <c r="H184" s="42"/>
      <c r="I184" s="42"/>
      <c r="J184" s="42"/>
      <c r="K184" s="42"/>
    </row>
    <row r="185" ht="12.75" customHeight="1">
      <c r="A185" s="42"/>
      <c r="B185" s="42" t="str">
        <f>IFERROR(__xludf.DUMMYFUNCTION("""COMPUTED_VALUE"""),"")</f>
        <v/>
      </c>
      <c r="C185" s="42"/>
      <c r="D185" s="42"/>
      <c r="E185" s="42"/>
      <c r="F185" s="42"/>
      <c r="G185" s="42"/>
      <c r="H185" s="42"/>
      <c r="I185" s="42"/>
      <c r="J185" s="42"/>
      <c r="K185" s="42"/>
    </row>
    <row r="186" ht="12.75" customHeight="1">
      <c r="A186" s="42"/>
      <c r="B186" s="42" t="str">
        <f>IFERROR(__xludf.DUMMYFUNCTION("""COMPUTED_VALUE"""),"")</f>
        <v/>
      </c>
      <c r="C186" s="42"/>
      <c r="D186" s="42"/>
      <c r="E186" s="42"/>
      <c r="F186" s="42"/>
      <c r="G186" s="42"/>
      <c r="H186" s="42"/>
      <c r="I186" s="42"/>
      <c r="J186" s="42"/>
      <c r="K186" s="42"/>
    </row>
    <row r="187" ht="12.75" customHeight="1">
      <c r="A187" s="42"/>
      <c r="B187" s="42" t="str">
        <f>IFERROR(__xludf.DUMMYFUNCTION("""COMPUTED_VALUE"""),"")</f>
        <v/>
      </c>
      <c r="C187" s="42"/>
      <c r="D187" s="42"/>
      <c r="E187" s="42"/>
      <c r="F187" s="42"/>
      <c r="G187" s="42"/>
      <c r="H187" s="42"/>
      <c r="I187" s="42"/>
      <c r="J187" s="42"/>
      <c r="K187" s="42"/>
    </row>
    <row r="188" ht="12.75" customHeight="1">
      <c r="A188" s="42"/>
      <c r="B188" s="42" t="str">
        <f>IFERROR(__xludf.DUMMYFUNCTION("""COMPUTED_VALUE"""),"")</f>
        <v/>
      </c>
      <c r="C188" s="42"/>
      <c r="D188" s="42"/>
      <c r="E188" s="42"/>
      <c r="F188" s="42"/>
      <c r="G188" s="42"/>
      <c r="H188" s="42"/>
      <c r="I188" s="42"/>
      <c r="J188" s="42"/>
      <c r="K188" s="42"/>
    </row>
    <row r="189" ht="12.75" customHeight="1">
      <c r="A189" s="42"/>
      <c r="B189" s="42" t="str">
        <f>IFERROR(__xludf.DUMMYFUNCTION("""COMPUTED_VALUE"""),"")</f>
        <v/>
      </c>
      <c r="C189" s="42"/>
      <c r="D189" s="42"/>
      <c r="E189" s="42"/>
      <c r="F189" s="42"/>
      <c r="G189" s="42"/>
      <c r="H189" s="42"/>
      <c r="I189" s="42"/>
      <c r="J189" s="42"/>
      <c r="K189" s="42"/>
    </row>
    <row r="190" ht="12.75" customHeight="1">
      <c r="A190" s="42"/>
      <c r="B190" s="42" t="str">
        <f>IFERROR(__xludf.DUMMYFUNCTION("""COMPUTED_VALUE"""),"")</f>
        <v/>
      </c>
      <c r="C190" s="42"/>
      <c r="D190" s="42"/>
      <c r="E190" s="42"/>
      <c r="F190" s="42"/>
      <c r="G190" s="42"/>
      <c r="H190" s="42"/>
      <c r="I190" s="42"/>
      <c r="J190" s="42"/>
      <c r="K190" s="42"/>
    </row>
    <row r="191" ht="12.75" customHeight="1">
      <c r="A191" s="42"/>
      <c r="B191" s="42" t="str">
        <f>IFERROR(__xludf.DUMMYFUNCTION("""COMPUTED_VALUE"""),"")</f>
        <v/>
      </c>
      <c r="C191" s="42"/>
      <c r="D191" s="42"/>
      <c r="E191" s="42"/>
      <c r="F191" s="42"/>
      <c r="G191" s="42"/>
      <c r="H191" s="42"/>
      <c r="I191" s="42"/>
      <c r="J191" s="42"/>
      <c r="K191" s="42"/>
    </row>
    <row r="192" ht="12.75" customHeight="1">
      <c r="A192" s="42"/>
      <c r="B192" s="42" t="str">
        <f>IFERROR(__xludf.DUMMYFUNCTION("""COMPUTED_VALUE"""),"")</f>
        <v/>
      </c>
      <c r="C192" s="42"/>
      <c r="D192" s="42"/>
      <c r="E192" s="42"/>
      <c r="F192" s="42"/>
      <c r="G192" s="42"/>
      <c r="H192" s="42"/>
      <c r="I192" s="42"/>
      <c r="J192" s="42"/>
      <c r="K192" s="42"/>
    </row>
    <row r="193" ht="12.75" customHeight="1">
      <c r="A193" s="42"/>
      <c r="B193" s="42" t="str">
        <f>IFERROR(__xludf.DUMMYFUNCTION("""COMPUTED_VALUE"""),"")</f>
        <v/>
      </c>
      <c r="C193" s="42"/>
      <c r="D193" s="42"/>
      <c r="E193" s="42"/>
      <c r="F193" s="42"/>
      <c r="G193" s="42"/>
      <c r="H193" s="42"/>
      <c r="I193" s="42"/>
      <c r="J193" s="42"/>
      <c r="K193" s="42"/>
    </row>
    <row r="194" ht="12.75" customHeight="1">
      <c r="A194" s="42"/>
      <c r="B194" s="42" t="str">
        <f>IFERROR(__xludf.DUMMYFUNCTION("""COMPUTED_VALUE"""),"")</f>
        <v/>
      </c>
      <c r="C194" s="42"/>
      <c r="D194" s="42"/>
      <c r="E194" s="42"/>
      <c r="F194" s="42"/>
      <c r="G194" s="42"/>
      <c r="H194" s="42"/>
      <c r="I194" s="42"/>
      <c r="J194" s="42"/>
      <c r="K194" s="42"/>
    </row>
    <row r="195" ht="12.75" customHeight="1">
      <c r="A195" s="42"/>
      <c r="B195" s="42" t="str">
        <f>IFERROR(__xludf.DUMMYFUNCTION("""COMPUTED_VALUE"""),"")</f>
        <v/>
      </c>
      <c r="C195" s="42"/>
      <c r="D195" s="42"/>
      <c r="E195" s="42"/>
      <c r="F195" s="42"/>
      <c r="G195" s="42"/>
      <c r="H195" s="42"/>
      <c r="I195" s="42"/>
      <c r="J195" s="42"/>
      <c r="K195" s="42"/>
    </row>
    <row r="196" ht="12.75" customHeight="1">
      <c r="A196" s="42"/>
      <c r="B196" s="42" t="str">
        <f>IFERROR(__xludf.DUMMYFUNCTION("""COMPUTED_VALUE"""),"")</f>
        <v/>
      </c>
      <c r="C196" s="42"/>
      <c r="D196" s="42"/>
      <c r="E196" s="42"/>
      <c r="F196" s="42"/>
      <c r="G196" s="42"/>
      <c r="H196" s="42"/>
      <c r="I196" s="42"/>
      <c r="J196" s="42"/>
      <c r="K196" s="42"/>
    </row>
    <row r="197" ht="12.75" customHeight="1">
      <c r="A197" s="42"/>
      <c r="B197" s="42" t="str">
        <f>IFERROR(__xludf.DUMMYFUNCTION("""COMPUTED_VALUE"""),"")</f>
        <v/>
      </c>
      <c r="C197" s="42"/>
      <c r="D197" s="42"/>
      <c r="E197" s="42"/>
      <c r="F197" s="42"/>
      <c r="G197" s="42"/>
      <c r="H197" s="42"/>
      <c r="I197" s="42"/>
      <c r="J197" s="42"/>
      <c r="K197" s="42"/>
    </row>
    <row r="198" ht="12.75" customHeight="1">
      <c r="A198" s="42"/>
      <c r="B198" s="42" t="str">
        <f>IFERROR(__xludf.DUMMYFUNCTION("""COMPUTED_VALUE"""),"")</f>
        <v/>
      </c>
      <c r="C198" s="42"/>
      <c r="D198" s="42"/>
      <c r="E198" s="42"/>
      <c r="F198" s="42"/>
      <c r="G198" s="42"/>
      <c r="H198" s="42"/>
      <c r="I198" s="42"/>
      <c r="J198" s="42"/>
      <c r="K198" s="42"/>
    </row>
    <row r="199" ht="12.75" customHeight="1">
      <c r="A199" s="42"/>
      <c r="B199" s="42" t="str">
        <f>IFERROR(__xludf.DUMMYFUNCTION("""COMPUTED_VALUE"""),"")</f>
        <v/>
      </c>
      <c r="C199" s="42"/>
      <c r="D199" s="42"/>
      <c r="E199" s="42"/>
      <c r="F199" s="42"/>
      <c r="G199" s="42"/>
      <c r="H199" s="42"/>
      <c r="I199" s="42"/>
      <c r="J199" s="42"/>
      <c r="K199" s="42"/>
    </row>
    <row r="200" ht="12.75" customHeight="1">
      <c r="A200" s="42"/>
      <c r="B200" s="42" t="str">
        <f>IFERROR(__xludf.DUMMYFUNCTION("""COMPUTED_VALUE"""),"")</f>
        <v/>
      </c>
      <c r="C200" s="42"/>
      <c r="D200" s="42"/>
      <c r="E200" s="42"/>
      <c r="F200" s="42"/>
      <c r="G200" s="42"/>
      <c r="H200" s="42"/>
      <c r="I200" s="42"/>
      <c r="J200" s="42"/>
      <c r="K200" s="42"/>
    </row>
    <row r="201" ht="12.75" customHeight="1">
      <c r="A201" s="42"/>
      <c r="B201" s="42" t="str">
        <f>IFERROR(__xludf.DUMMYFUNCTION("""COMPUTED_VALUE"""),"")</f>
        <v/>
      </c>
      <c r="C201" s="42"/>
      <c r="D201" s="42"/>
      <c r="E201" s="42"/>
      <c r="F201" s="42"/>
      <c r="G201" s="42"/>
      <c r="H201" s="42"/>
      <c r="I201" s="42"/>
      <c r="J201" s="42"/>
      <c r="K201" s="42"/>
    </row>
  </sheetData>
  <mergeCells count="3">
    <mergeCell ref="G2:H2"/>
    <mergeCell ref="C3:J3"/>
    <mergeCell ref="C1:K1"/>
  </mergeCells>
  <conditionalFormatting sqref="E5:E125">
    <cfRule type="expression" dxfId="0" priority="1">
      <formula>AND(ISNUMBER(E5),TRUNC(E5)&lt;TODAY())</formula>
    </cfRule>
  </conditionalFormatting>
  <conditionalFormatting sqref="E5:E125">
    <cfRule type="expression" dxfId="1" priority="2">
      <formula>AND(ISNUMBER(E5),TRUNC(E5)&gt;TODAY())</formula>
    </cfRule>
  </conditionalFormatting>
  <conditionalFormatting sqref="D5:D125">
    <cfRule type="expression" dxfId="2" priority="3">
      <formula>AND(ISNUMBER(D5),TRUNC(D5)&gt;TODAY())</formula>
    </cfRule>
  </conditionalFormatting>
  <conditionalFormatting sqref="D5:D125">
    <cfRule type="expression" dxfId="3" priority="4">
      <formula>AND(ISNUMBER(D5),TRUNC(D5)&lt;TODAY()-6)</formula>
    </cfRule>
  </conditionalFormatting>
  <conditionalFormatting sqref="E5:E125">
    <cfRule type="timePeriod" dxfId="4" priority="5" timePeriod="today"/>
  </conditionalFormatting>
  <conditionalFormatting sqref="D5:D125">
    <cfRule type="expression" dxfId="5" priority="6">
      <formula>AND(ISNUMBER(D5),TRUNC(D5)&lt;TODAY()+1)</formula>
    </cfRule>
  </conditionalFormatting>
  <conditionalFormatting sqref="E5:E125">
    <cfRule type="cellIs" dxfId="0" priority="7" operator="equal">
      <formula>"CLOSED"</formula>
    </cfRule>
  </conditionalFormatting>
  <conditionalFormatting sqref="D5:D125">
    <cfRule type="cellIs" dxfId="1" priority="8" operator="equal">
      <formula>"OPEN"</formula>
    </cfRule>
  </conditionalFormatting>
  <conditionalFormatting sqref="D5:D125">
    <cfRule type="cellIs" dxfId="6" priority="9" operator="equal">
      <formula>"N/A"</formula>
    </cfRule>
  </conditionalFormatting>
  <conditionalFormatting sqref="E5:E125">
    <cfRule type="cellIs" dxfId="6" priority="10" operator="equal">
      <formula>"N/A"</formula>
    </cfRule>
  </conditionalFormatting>
  <conditionalFormatting sqref="A5:B201">
    <cfRule type="expression" dxfId="7" priority="11">
      <formula>$K5="YES"</formula>
    </cfRule>
  </conditionalFormatting>
  <conditionalFormatting sqref="A5:B126 C5:J201">
    <cfRule type="expression" dxfId="8" priority="12">
      <formula>$K5="YES"</formula>
    </cfRule>
  </conditionalFormatting>
  <hyperlinks>
    <hyperlink r:id="rId1" ref="C1"/>
    <hyperlink r:id="rId2" ref="E2"/>
    <hyperlink r:id="rId3" ref="F2"/>
    <hyperlink r:id="rId4" ref="G2"/>
    <hyperlink r:id="rId5" ref="I2"/>
    <hyperlink r:id="rId6" ref="B3"/>
    <hyperlink r:id="rId7" ref="C3"/>
    <hyperlink r:id="rId8" ref="B5"/>
    <hyperlink r:id="rId9" ref="C5"/>
    <hyperlink r:id="rId10" ref="B6"/>
    <hyperlink r:id="rId11" ref="C6"/>
    <hyperlink r:id="rId12" ref="B7"/>
    <hyperlink r:id="rId13" ref="C7"/>
    <hyperlink r:id="rId14" ref="B8"/>
    <hyperlink r:id="rId15" ref="C8"/>
    <hyperlink r:id="rId16" ref="B9"/>
    <hyperlink r:id="rId17" ref="C9"/>
    <hyperlink r:id="rId18" ref="B10"/>
    <hyperlink r:id="rId19" ref="C10"/>
    <hyperlink r:id="rId20" ref="B11"/>
    <hyperlink r:id="rId21" ref="C11"/>
    <hyperlink r:id="rId22" ref="B12"/>
    <hyperlink r:id="rId23" ref="C12"/>
    <hyperlink r:id="rId24" ref="B13"/>
    <hyperlink r:id="rId25" ref="C13"/>
    <hyperlink r:id="rId26" ref="B14"/>
    <hyperlink r:id="rId27" ref="C14"/>
    <hyperlink r:id="rId28" ref="B15"/>
    <hyperlink r:id="rId29" ref="C15"/>
    <hyperlink r:id="rId30" ref="B16"/>
    <hyperlink r:id="rId31" ref="C16"/>
    <hyperlink r:id="rId32" ref="B17"/>
    <hyperlink r:id="rId33" ref="C17"/>
    <hyperlink r:id="rId34" ref="B18"/>
    <hyperlink r:id="rId35" ref="C18"/>
    <hyperlink r:id="rId36" ref="B19"/>
    <hyperlink r:id="rId37" ref="C19"/>
    <hyperlink r:id="rId38" ref="B20"/>
    <hyperlink r:id="rId39" ref="C20"/>
    <hyperlink r:id="rId40" ref="B21"/>
    <hyperlink r:id="rId41" ref="B22"/>
    <hyperlink r:id="rId42" ref="B23"/>
    <hyperlink r:id="rId43" ref="B24"/>
    <hyperlink r:id="rId44" ref="B25"/>
    <hyperlink r:id="rId45" ref="B26"/>
    <hyperlink r:id="rId46" ref="B27"/>
    <hyperlink r:id="rId47" ref="B28"/>
    <hyperlink r:id="rId48" ref="B29"/>
    <hyperlink r:id="rId49" ref="B31"/>
    <hyperlink r:id="rId50" ref="B33"/>
    <hyperlink r:id="rId51" ref="B34"/>
    <hyperlink r:id="rId52" ref="B35"/>
    <hyperlink r:id="rId53" ref="B36"/>
    <hyperlink r:id="rId54" ref="B37"/>
    <hyperlink r:id="rId55" ref="B38"/>
    <hyperlink r:id="rId56" ref="B39"/>
    <hyperlink r:id="rId57" ref="B41"/>
    <hyperlink r:id="rId58" ref="B42"/>
    <hyperlink r:id="rId59" ref="B43"/>
    <hyperlink r:id="rId60" ref="B44"/>
    <hyperlink r:id="rId61" ref="B45"/>
    <hyperlink r:id="rId62" ref="B46"/>
    <hyperlink r:id="rId63" ref="B47"/>
    <hyperlink r:id="rId64" ref="B48"/>
    <hyperlink r:id="rId65" ref="B49"/>
    <hyperlink r:id="rId66" ref="B50"/>
    <hyperlink r:id="rId67" ref="B51"/>
    <hyperlink r:id="rId68" ref="B52"/>
    <hyperlink r:id="rId69" ref="B53"/>
    <hyperlink r:id="rId70" ref="B54"/>
    <hyperlink r:id="rId71" ref="B55"/>
    <hyperlink r:id="rId72" ref="B56"/>
    <hyperlink r:id="rId73" ref="B57"/>
    <hyperlink r:id="rId74" ref="B58"/>
    <hyperlink r:id="rId75" ref="B59"/>
    <hyperlink r:id="rId76" ref="B60"/>
    <hyperlink r:id="rId77" ref="B61"/>
    <hyperlink r:id="rId78" ref="B62"/>
    <hyperlink r:id="rId79" ref="B63"/>
    <hyperlink r:id="rId80" ref="B64"/>
    <hyperlink r:id="rId81" ref="B65"/>
    <hyperlink r:id="rId82" ref="B66"/>
    <hyperlink r:id="rId83" ref="B67"/>
    <hyperlink r:id="rId84" ref="B68"/>
    <hyperlink r:id="rId85" ref="B69"/>
    <hyperlink r:id="rId86" ref="B70"/>
    <hyperlink r:id="rId87" ref="B71"/>
    <hyperlink r:id="rId88" ref="B72"/>
    <hyperlink r:id="rId89" ref="B73"/>
    <hyperlink r:id="rId90" ref="B74"/>
    <hyperlink r:id="rId91" ref="B75"/>
    <hyperlink r:id="rId92" ref="B76"/>
    <hyperlink r:id="rId93" ref="B77"/>
    <hyperlink r:id="rId94" ref="B78"/>
    <hyperlink r:id="rId95" ref="B79"/>
    <hyperlink r:id="rId96" ref="B80"/>
    <hyperlink r:id="rId97" ref="B81"/>
    <hyperlink r:id="rId98" ref="B82"/>
    <hyperlink r:id="rId99" ref="B83"/>
    <hyperlink r:id="rId100" ref="B84"/>
    <hyperlink r:id="rId101" ref="B85"/>
    <hyperlink r:id="rId102" ref="B86"/>
    <hyperlink r:id="rId103" ref="B87"/>
    <hyperlink r:id="rId104" ref="B88"/>
    <hyperlink r:id="rId105" ref="B89"/>
    <hyperlink r:id="rId106" ref="B90"/>
    <hyperlink r:id="rId107" ref="B91"/>
    <hyperlink r:id="rId108" ref="B92"/>
    <hyperlink r:id="rId109" ref="B93"/>
    <hyperlink r:id="rId110" ref="B94"/>
    <hyperlink r:id="rId111" ref="B95"/>
    <hyperlink r:id="rId112" ref="B96"/>
    <hyperlink r:id="rId113" ref="B97"/>
    <hyperlink r:id="rId114" ref="B98"/>
    <hyperlink r:id="rId115" ref="B99"/>
    <hyperlink r:id="rId116" ref="B100"/>
    <hyperlink r:id="rId117" ref="B101"/>
    <hyperlink r:id="rId118" ref="B102"/>
    <hyperlink r:id="rId119" ref="B103"/>
    <hyperlink r:id="rId120" ref="B104"/>
    <hyperlink r:id="rId121" ref="B105"/>
    <hyperlink r:id="rId122" ref="B106"/>
    <hyperlink r:id="rId123" ref="B107"/>
    <hyperlink r:id="rId124" ref="B108"/>
    <hyperlink r:id="rId125" ref="B109"/>
    <hyperlink r:id="rId126" ref="B110"/>
    <hyperlink r:id="rId127" ref="B111"/>
    <hyperlink r:id="rId128" ref="B112"/>
    <hyperlink r:id="rId129" ref="B113"/>
    <hyperlink r:id="rId130" ref="B114"/>
    <hyperlink r:id="rId131" ref="B115"/>
    <hyperlink r:id="rId132" ref="B116"/>
    <hyperlink r:id="rId133" ref="B117"/>
    <hyperlink r:id="rId134" ref="B118"/>
    <hyperlink r:id="rId135" ref="B119"/>
    <hyperlink r:id="rId136" ref="B120"/>
    <hyperlink r:id="rId137" ref="B121"/>
    <hyperlink r:id="rId138" ref="B122"/>
    <hyperlink r:id="rId139" ref="B123"/>
    <hyperlink r:id="rId140" ref="B124"/>
    <hyperlink r:id="rId141" ref="B125"/>
    <hyperlink r:id="rId142" ref="B127"/>
    <hyperlink r:id="rId143" ref="B128"/>
    <hyperlink r:id="rId144" ref="B129"/>
    <hyperlink r:id="rId145" ref="B130"/>
    <hyperlink r:id="rId146" ref="B131"/>
    <hyperlink r:id="rId147" ref="B132"/>
  </hyperlinks>
  <drawing r:id="rId14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5.0"/>
  <cols>
    <col customWidth="1" hidden="1" min="1" max="1" width="29.43"/>
    <col customWidth="1" min="2" max="2" width="29.43"/>
    <col customWidth="1" min="3" max="3" width="48.43"/>
    <col customWidth="1" min="4" max="4" width="11.86"/>
    <col customWidth="1" min="5" max="5" width="12.86"/>
    <col customWidth="1" min="6" max="6" width="15.57"/>
    <col customWidth="1" min="7" max="7" width="5.43"/>
    <col customWidth="1" min="8" max="8" width="11.29"/>
    <col customWidth="1" min="9" max="9" width="14.43"/>
    <col customWidth="1" min="10" max="10" width="74.43"/>
    <col customWidth="1" hidden="1" min="11" max="11" width="74.43"/>
  </cols>
  <sheetData>
    <row r="1">
      <c r="A1" s="1"/>
      <c r="B1" s="2"/>
      <c r="C1" s="3" t="s">
        <v>0</v>
      </c>
    </row>
    <row r="2" ht="45.0" customHeight="1">
      <c r="A2" s="4"/>
      <c r="B2" s="4"/>
      <c r="C2" s="41" t="s">
        <v>12</v>
      </c>
      <c r="D2" s="6"/>
      <c r="E2" s="7" t="s">
        <v>2</v>
      </c>
      <c r="F2" s="7" t="s">
        <v>3</v>
      </c>
      <c r="G2" s="8" t="s">
        <v>4</v>
      </c>
      <c r="I2" s="7" t="s">
        <v>5</v>
      </c>
      <c r="J2" s="9"/>
      <c r="K2" s="9"/>
    </row>
    <row r="3" ht="12.75" customHeight="1">
      <c r="A3" s="10"/>
      <c r="B3" s="11" t="s">
        <v>13</v>
      </c>
      <c r="C3" s="12" t="s">
        <v>7</v>
      </c>
      <c r="K3" s="13"/>
    </row>
    <row r="4" ht="12.75" customHeight="1">
      <c r="A4" s="45" t="str">
        <f>IFERROR(__xludf.DUMMYFUNCTION("IMPORTRANGE(""https://docs.google.com/spreadsheets/d/1KFQM4NWY7BOu-GiF7fHPIBZvVxqnXi21KL0IYIfy5fg/edit?gid=306400843#gid=306400843"",""'UKTechnology_Insight Programmes'!R2:AB400"")"),"")</f>
        <v/>
      </c>
      <c r="B4" s="14" t="str">
        <f>IFERROR(__xludf.DUMMYFUNCTION("""COMPUTED_VALUE"""),"Company Name")</f>
        <v>Company Name</v>
      </c>
      <c r="C4" s="14" t="str">
        <f>IFERROR(__xludf.DUMMYFUNCTION("""COMPUTED_VALUE"""),"Programme Name")</f>
        <v>Programme Name</v>
      </c>
      <c r="D4" s="15" t="str">
        <f>IFERROR(__xludf.DUMMYFUNCTION("""COMPUTED_VALUE"""),"Opening Date")</f>
        <v>Opening Date</v>
      </c>
      <c r="E4" s="16" t="str">
        <f>IFERROR(__xludf.DUMMYFUNCTION("""COMPUTED_VALUE"""),"Closing Date")</f>
        <v>Closing Date</v>
      </c>
      <c r="F4" s="17" t="str">
        <f>IFERROR(__xludf.DUMMYFUNCTION("""COMPUTED_VALUE"""),"Last Year Opening")</f>
        <v>Last Year Opening</v>
      </c>
      <c r="G4" s="14" t="str">
        <f>IFERROR(__xludf.DUMMYFUNCTION("""COMPUTED_VALUE"""),"CV")</f>
        <v>CV</v>
      </c>
      <c r="H4" s="14" t="str">
        <f>IFERROR(__xludf.DUMMYFUNCTION("""COMPUTED_VALUE"""),"Cover Letter")</f>
        <v>Cover Letter</v>
      </c>
      <c r="I4" s="14" t="str">
        <f>IFERROR(__xludf.DUMMYFUNCTION("""COMPUTED_VALUE"""),"Written Answers")</f>
        <v>Written Answers</v>
      </c>
      <c r="J4" s="19" t="str">
        <f>IFERROR(__xludf.DUMMYFUNCTION("""COMPUTED_VALUE"""),"Notes")</f>
        <v>Notes</v>
      </c>
      <c r="K4" s="19" t="str">
        <f>IFERROR(__xludf.DUMMYFUNCTION("""COMPUTED_VALUE"""),"Section Header")</f>
        <v>Section Header</v>
      </c>
    </row>
    <row r="5" ht="12.75" customHeight="1">
      <c r="A5" s="37"/>
      <c r="B5" s="27" t="str">
        <f>IFERROR(__xludf.DUMMYFUNCTION("""COMPUTED_VALUE"""),"BlackRock")</f>
        <v>BlackRock</v>
      </c>
      <c r="C5" s="27" t="str">
        <f>IFERROR(__xludf.DUMMYFUNCTION("""COMPUTED_VALUE"""),"Spring Insight Program - EMEA")</f>
        <v>Spring Insight Program - EMEA</v>
      </c>
      <c r="D5" s="29">
        <f>IFERROR(__xludf.DUMMYFUNCTION("""COMPUTED_VALUE"""),45474.0)</f>
        <v>45474</v>
      </c>
      <c r="E5" s="24"/>
      <c r="F5" s="29">
        <f>IFERROR(__xludf.DUMMYFUNCTION("""COMPUTED_VALUE"""),45108.0)</f>
        <v>45108</v>
      </c>
      <c r="G5" s="25" t="str">
        <f>IFERROR(__xludf.DUMMYFUNCTION("""COMPUTED_VALUE"""),"Yes")</f>
        <v>Yes</v>
      </c>
      <c r="H5" s="25" t="str">
        <f>IFERROR(__xludf.DUMMYFUNCTION("""COMPUTED_VALUE"""),"No")</f>
        <v>No</v>
      </c>
      <c r="I5" s="25" t="str">
        <f>IFERROR(__xludf.DUMMYFUNCTION("""COMPUTED_VALUE"""),"No")</f>
        <v>No</v>
      </c>
      <c r="J5" s="26"/>
      <c r="K5" s="26" t="str">
        <f>IFERROR(__xludf.DUMMYFUNCTION("""COMPUTED_VALUE"""),"NO")</f>
        <v>NO</v>
      </c>
    </row>
    <row r="6" ht="12.75" customHeight="1">
      <c r="A6" s="37"/>
      <c r="B6" s="27" t="str">
        <f>IFERROR(__xludf.DUMMYFUNCTION("""COMPUTED_VALUE"""),"Jane Street")</f>
        <v>Jane Street</v>
      </c>
      <c r="C6" s="32" t="str">
        <f>IFERROR(__xludf.DUMMYFUNCTION("""COMPUTED_VALUE"""),"FOCUS / FTTP")</f>
        <v>FOCUS / FTTP</v>
      </c>
      <c r="D6" s="23">
        <f>IFERROR(__xludf.DUMMYFUNCTION("""COMPUTED_VALUE"""),45536.0)</f>
        <v>45536</v>
      </c>
      <c r="E6" s="24">
        <f>IFERROR(__xludf.DUMMYFUNCTION("""COMPUTED_VALUE"""),45690.0)</f>
        <v>45690</v>
      </c>
      <c r="F6" s="29">
        <f>IFERROR(__xludf.DUMMYFUNCTION("""COMPUTED_VALUE"""),45139.0)</f>
        <v>45139</v>
      </c>
      <c r="G6" s="31" t="str">
        <f>IFERROR(__xludf.DUMMYFUNCTION("""COMPUTED_VALUE"""),"Yes")</f>
        <v>Yes</v>
      </c>
      <c r="H6" s="31" t="str">
        <f>IFERROR(__xludf.DUMMYFUNCTION("""COMPUTED_VALUE"""),"No")</f>
        <v>No</v>
      </c>
      <c r="I6" s="31" t="str">
        <f>IFERROR(__xludf.DUMMYFUNCTION("""COMPUTED_VALUE"""),"Yes")</f>
        <v>Yes</v>
      </c>
      <c r="J6" s="26"/>
      <c r="K6" s="26" t="str">
        <f>IFERROR(__xludf.DUMMYFUNCTION("""COMPUTED_VALUE"""),"NO")</f>
        <v>NO</v>
      </c>
    </row>
    <row r="7" ht="12.75" customHeight="1">
      <c r="A7" s="37"/>
      <c r="B7" s="27" t="str">
        <f>IFERROR(__xludf.DUMMYFUNCTION("""COMPUTED_VALUE"""),"J.P. Morgan")</f>
        <v>J.P. Morgan</v>
      </c>
      <c r="C7" s="32" t="str">
        <f>IFERROR(__xludf.DUMMYFUNCTION("""COMPUTED_VALUE"""),"2025 Spring into Software Engineering")</f>
        <v>2025 Spring into Software Engineering</v>
      </c>
      <c r="D7" s="29">
        <f>IFERROR(__xludf.DUMMYFUNCTION("""COMPUTED_VALUE"""),45536.0)</f>
        <v>45536</v>
      </c>
      <c r="E7" s="24">
        <f>IFERROR(__xludf.DUMMYFUNCTION("""COMPUTED_VALUE"""),45599.0)</f>
        <v>45599</v>
      </c>
      <c r="F7" s="29">
        <f>IFERROR(__xludf.DUMMYFUNCTION("""COMPUTED_VALUE"""),45170.0)</f>
        <v>45170</v>
      </c>
      <c r="G7" s="31" t="str">
        <f>IFERROR(__xludf.DUMMYFUNCTION("""COMPUTED_VALUE"""),"Yes")</f>
        <v>Yes</v>
      </c>
      <c r="H7" s="31" t="str">
        <f>IFERROR(__xludf.DUMMYFUNCTION("""COMPUTED_VALUE"""),"Optional")</f>
        <v>Optional</v>
      </c>
      <c r="I7" s="31" t="str">
        <f>IFERROR(__xludf.DUMMYFUNCTION("""COMPUTED_VALUE"""),"No")</f>
        <v>No</v>
      </c>
      <c r="J7" s="26"/>
      <c r="K7" s="26" t="str">
        <f>IFERROR(__xludf.DUMMYFUNCTION("""COMPUTED_VALUE"""),"NO")</f>
        <v>NO</v>
      </c>
    </row>
    <row r="8" ht="12.75" customHeight="1">
      <c r="A8" s="37"/>
      <c r="B8" s="27" t="str">
        <f>IFERROR(__xludf.DUMMYFUNCTION("""COMPUTED_VALUE"""),"Macquarie Group")</f>
        <v>Macquarie Group</v>
      </c>
      <c r="C8" s="32" t="str">
        <f>IFERROR(__xludf.DUMMYFUNCTION("""COMPUTED_VALUE"""),"2025 Technology Spring Insight Programme")</f>
        <v>2025 Technology Spring Insight Programme</v>
      </c>
      <c r="D8" s="46">
        <f>IFERROR(__xludf.DUMMYFUNCTION("""COMPUTED_VALUE"""),45537.0)</f>
        <v>45537</v>
      </c>
      <c r="E8" s="30">
        <f>IFERROR(__xludf.DUMMYFUNCTION("""COMPUTED_VALUE"""),45626.0)</f>
        <v>45626</v>
      </c>
      <c r="F8" s="23">
        <f>IFERROR(__xludf.DUMMYFUNCTION("""COMPUTED_VALUE"""),45170.0)</f>
        <v>45170</v>
      </c>
      <c r="G8" s="25" t="str">
        <f>IFERROR(__xludf.DUMMYFUNCTION("""COMPUTED_VALUE"""),"Yes")</f>
        <v>Yes</v>
      </c>
      <c r="H8" s="25" t="str">
        <f>IFERROR(__xludf.DUMMYFUNCTION("""COMPUTED_VALUE"""),"No")</f>
        <v>No</v>
      </c>
      <c r="I8" s="25" t="str">
        <f>IFERROR(__xludf.DUMMYFUNCTION("""COMPUTED_VALUE"""),"No")</f>
        <v>No</v>
      </c>
      <c r="J8" s="39"/>
      <c r="K8" s="39" t="str">
        <f>IFERROR(__xludf.DUMMYFUNCTION("""COMPUTED_VALUE"""),"NO")</f>
        <v>NO</v>
      </c>
    </row>
    <row r="9" ht="12.75" customHeight="1">
      <c r="A9" s="37"/>
      <c r="B9" s="27" t="str">
        <f>IFERROR(__xludf.DUMMYFUNCTION("""COMPUTED_VALUE"""),"Palantir")</f>
        <v>Palantir</v>
      </c>
      <c r="C9" s="32" t="str">
        <f>IFERROR(__xludf.DUMMYFUNCTION("""COMPUTED_VALUE"""),"Palantir Launch Spring Programme")</f>
        <v>Palantir Launch Spring Programme</v>
      </c>
      <c r="D9" s="29">
        <f>IFERROR(__xludf.DUMMYFUNCTION("""COMPUTED_VALUE"""),45539.0)</f>
        <v>45539</v>
      </c>
      <c r="E9" s="24">
        <f>IFERROR(__xludf.DUMMYFUNCTION("""COMPUTED_VALUE"""),45597.0)</f>
        <v>45597</v>
      </c>
      <c r="F9" s="29">
        <f>IFERROR(__xludf.DUMMYFUNCTION("""COMPUTED_VALUE"""),45247.0)</f>
        <v>45247</v>
      </c>
      <c r="G9" s="31" t="str">
        <f>IFERROR(__xludf.DUMMYFUNCTION("""COMPUTED_VALUE"""),"Yes")</f>
        <v>Yes</v>
      </c>
      <c r="H9" s="31" t="str">
        <f>IFERROR(__xludf.DUMMYFUNCTION("""COMPUTED_VALUE"""),"Optional")</f>
        <v>Optional</v>
      </c>
      <c r="I9" s="31" t="str">
        <f>IFERROR(__xludf.DUMMYFUNCTION("""COMPUTED_VALUE"""),"Yes")</f>
        <v>Yes</v>
      </c>
      <c r="J9" s="26"/>
      <c r="K9" s="26" t="str">
        <f>IFERROR(__xludf.DUMMYFUNCTION("""COMPUTED_VALUE"""),"NO")</f>
        <v>NO</v>
      </c>
    </row>
    <row r="10" ht="12.75" customHeight="1">
      <c r="A10" s="37"/>
      <c r="B10" s="27" t="str">
        <f>IFERROR(__xludf.DUMMYFUNCTION("""COMPUTED_VALUE"""),"Susquehanna International Group")</f>
        <v>Susquehanna International Group</v>
      </c>
      <c r="C10" s="32" t="str">
        <f>IFERROR(__xludf.DUMMYFUNCTION("""COMPUTED_VALUE"""),"Technology Discovery Day 2025")</f>
        <v>Technology Discovery Day 2025</v>
      </c>
      <c r="D10" s="46">
        <f>IFERROR(__xludf.DUMMYFUNCTION("""COMPUTED_VALUE"""),45547.0)</f>
        <v>45547</v>
      </c>
      <c r="E10" s="30"/>
      <c r="F10" s="23"/>
      <c r="G10" s="25" t="str">
        <f>IFERROR(__xludf.DUMMYFUNCTION("""COMPUTED_VALUE"""),"Yes")</f>
        <v>Yes</v>
      </c>
      <c r="H10" s="25" t="str">
        <f>IFERROR(__xludf.DUMMYFUNCTION("""COMPUTED_VALUE"""),"No")</f>
        <v>No</v>
      </c>
      <c r="I10" s="25" t="str">
        <f>IFERROR(__xludf.DUMMYFUNCTION("""COMPUTED_VALUE"""),"No")</f>
        <v>No</v>
      </c>
      <c r="J10" s="39"/>
      <c r="K10" s="39" t="str">
        <f>IFERROR(__xludf.DUMMYFUNCTION("""COMPUTED_VALUE"""),"NO")</f>
        <v>NO</v>
      </c>
    </row>
    <row r="11" ht="12.75" customHeight="1">
      <c r="A11" s="37"/>
      <c r="B11" s="27" t="str">
        <f>IFERROR(__xludf.DUMMYFUNCTION("""COMPUTED_VALUE"""),"HSBC")</f>
        <v>HSBC</v>
      </c>
      <c r="C11" s="36" t="str">
        <f>IFERROR(__xludf.DUMMYFUNCTION("""COMPUTED_VALUE"""),"Women in Technology - Insight Programme")</f>
        <v>Women in Technology - Insight Programme</v>
      </c>
      <c r="D11" s="29"/>
      <c r="E11" s="28"/>
      <c r="F11" s="29"/>
      <c r="G11" s="31"/>
      <c r="H11" s="31"/>
      <c r="I11" s="31"/>
      <c r="J11" s="26"/>
      <c r="K11" s="26" t="str">
        <f>IFERROR(__xludf.DUMMYFUNCTION("""COMPUTED_VALUE"""),"NO")</f>
        <v>NO</v>
      </c>
    </row>
    <row r="12" ht="12.75" customHeight="1">
      <c r="A12" s="37"/>
      <c r="B12" s="27" t="str">
        <f>IFERROR(__xludf.DUMMYFUNCTION("""COMPUTED_VALUE"""),"Goldman Sachs")</f>
        <v>Goldman Sachs</v>
      </c>
      <c r="C12" s="36" t="str">
        <f>IFERROR(__xludf.DUMMYFUNCTION("""COMPUTED_VALUE"""),"Get Set for GS: 2025 Spring Insight Event")</f>
        <v>Get Set for GS: 2025 Spring Insight Event</v>
      </c>
      <c r="D12" s="47"/>
      <c r="E12" s="30"/>
      <c r="F12" s="29">
        <f>IFERROR(__xludf.DUMMYFUNCTION("""COMPUTED_VALUE"""),45198.0)</f>
        <v>45198</v>
      </c>
      <c r="G12" s="25" t="str">
        <f>IFERROR(__xludf.DUMMYFUNCTION("""COMPUTED_VALUE"""),"Yes")</f>
        <v>Yes</v>
      </c>
      <c r="H12" s="25" t="str">
        <f>IFERROR(__xludf.DUMMYFUNCTION("""COMPUTED_VALUE"""),"Yes")</f>
        <v>Yes</v>
      </c>
      <c r="I12" s="25" t="str">
        <f>IFERROR(__xludf.DUMMYFUNCTION("""COMPUTED_VALUE"""),"No")</f>
        <v>No</v>
      </c>
      <c r="J12" s="39"/>
      <c r="K12" s="39" t="str">
        <f>IFERROR(__xludf.DUMMYFUNCTION("""COMPUTED_VALUE"""),"NO")</f>
        <v>NO</v>
      </c>
    </row>
    <row r="13" ht="12.75" customHeight="1">
      <c r="A13" s="37"/>
      <c r="B13" s="27" t="str">
        <f>IFERROR(__xludf.DUMMYFUNCTION("""COMPUTED_VALUE"""),"Deutsche Bank")</f>
        <v>Deutsche Bank</v>
      </c>
      <c r="C13" s="36" t="str">
        <f>IFERROR(__xludf.DUMMYFUNCTION("""COMPUTED_VALUE"""),"Spring Into Banking Programme - Technology")</f>
        <v>Spring Into Banking Programme - Technology</v>
      </c>
      <c r="D13" s="47"/>
      <c r="E13" s="30"/>
      <c r="F13" s="29">
        <f>IFERROR(__xludf.DUMMYFUNCTION("""COMPUTED_VALUE"""),45203.0)</f>
        <v>45203</v>
      </c>
      <c r="G13" s="25"/>
      <c r="H13" s="25"/>
      <c r="I13" s="25"/>
      <c r="J13" s="26"/>
      <c r="K13" s="26" t="str">
        <f>IFERROR(__xludf.DUMMYFUNCTION("""COMPUTED_VALUE"""),"NO")</f>
        <v>NO</v>
      </c>
    </row>
    <row r="14" ht="12.75" customHeight="1">
      <c r="A14" s="37"/>
      <c r="B14" s="27" t="str">
        <f>IFERROR(__xludf.DUMMYFUNCTION("""COMPUTED_VALUE"""),"Morgan Stanley")</f>
        <v>Morgan Stanley</v>
      </c>
      <c r="C14" s="36" t="str">
        <f>IFERROR(__xludf.DUMMYFUNCTION("""COMPUTED_VALUE"""),"2025 Technology Spring Week")</f>
        <v>2025 Technology Spring Week</v>
      </c>
      <c r="D14" s="48"/>
      <c r="E14" s="30"/>
      <c r="F14" s="30">
        <f>IFERROR(__xludf.DUMMYFUNCTION("""COMPUTED_VALUE"""),45208.0)</f>
        <v>45208</v>
      </c>
      <c r="G14" s="25" t="str">
        <f>IFERROR(__xludf.DUMMYFUNCTION("""COMPUTED_VALUE"""),"Yes")</f>
        <v>Yes</v>
      </c>
      <c r="H14" s="25" t="str">
        <f>IFERROR(__xludf.DUMMYFUNCTION("""COMPUTED_VALUE"""),"Yes")</f>
        <v>Yes</v>
      </c>
      <c r="I14" s="25" t="str">
        <f>IFERROR(__xludf.DUMMYFUNCTION("""COMPUTED_VALUE"""),"Yes")</f>
        <v>Yes</v>
      </c>
      <c r="J14" s="26"/>
      <c r="K14" s="26" t="str">
        <f>IFERROR(__xludf.DUMMYFUNCTION("""COMPUTED_VALUE"""),"NO")</f>
        <v>NO</v>
      </c>
    </row>
    <row r="15" ht="12.75" customHeight="1">
      <c r="A15" s="37"/>
      <c r="B15" s="27" t="str">
        <f>IFERROR(__xludf.DUMMYFUNCTION("""COMPUTED_VALUE"""),"Bank of America")</f>
        <v>Bank of America</v>
      </c>
      <c r="C15" s="36" t="str">
        <f>IFERROR(__xludf.DUMMYFUNCTION("""COMPUTED_VALUE"""),"Global Technology Spring Insight Program 2025")</f>
        <v>Global Technology Spring Insight Program 2025</v>
      </c>
      <c r="D15" s="47"/>
      <c r="E15" s="24"/>
      <c r="F15" s="29">
        <f>IFERROR(__xludf.DUMMYFUNCTION("""COMPUTED_VALUE"""),45215.0)</f>
        <v>45215</v>
      </c>
      <c r="G15" s="25" t="str">
        <f>IFERROR(__xludf.DUMMYFUNCTION("""COMPUTED_VALUE"""),"Yes")</f>
        <v>Yes</v>
      </c>
      <c r="H15" s="25" t="str">
        <f>IFERROR(__xludf.DUMMYFUNCTION("""COMPUTED_VALUE"""),"No")</f>
        <v>No</v>
      </c>
      <c r="I15" s="25" t="str">
        <f>IFERROR(__xludf.DUMMYFUNCTION("""COMPUTED_VALUE"""),"Yes")</f>
        <v>Yes</v>
      </c>
      <c r="J15" s="26"/>
      <c r="K15" s="26" t="str">
        <f>IFERROR(__xludf.DUMMYFUNCTION("""COMPUTED_VALUE"""),"NO")</f>
        <v>NO</v>
      </c>
    </row>
    <row r="16" ht="12.75" customHeight="1">
      <c r="A16" s="37"/>
      <c r="B16" s="27" t="str">
        <f>IFERROR(__xludf.DUMMYFUNCTION("""COMPUTED_VALUE"""),"Citi")</f>
        <v>Citi</v>
      </c>
      <c r="C16" s="37" t="str">
        <f>IFERROR(__xludf.DUMMYFUNCTION("""COMPUTED_VALUE"""),"2025, Spring Insight Programme, Technology")</f>
        <v>2025, Spring Insight Programme, Technology</v>
      </c>
      <c r="D16" s="29"/>
      <c r="E16" s="28"/>
      <c r="F16" s="29">
        <f>IFERROR(__xludf.DUMMYFUNCTION("""COMPUTED_VALUE"""),45216.0)</f>
        <v>45216</v>
      </c>
      <c r="G16" s="25" t="str">
        <f>IFERROR(__xludf.DUMMYFUNCTION("""COMPUTED_VALUE"""),"Yes")</f>
        <v>Yes</v>
      </c>
      <c r="H16" s="25" t="str">
        <f>IFERROR(__xludf.DUMMYFUNCTION("""COMPUTED_VALUE"""),"No")</f>
        <v>No</v>
      </c>
      <c r="I16" s="25" t="str">
        <f>IFERROR(__xludf.DUMMYFUNCTION("""COMPUTED_VALUE"""),"Yes")</f>
        <v>Yes</v>
      </c>
      <c r="J16" s="26"/>
      <c r="K16" s="26" t="str">
        <f>IFERROR(__xludf.DUMMYFUNCTION("""COMPUTED_VALUE"""),"NO")</f>
        <v>NO</v>
      </c>
    </row>
    <row r="17" ht="12.75" customHeight="1">
      <c r="A17" s="37"/>
      <c r="B17" s="27" t="str">
        <f>IFERROR(__xludf.DUMMYFUNCTION("""COMPUTED_VALUE"""),"Optiver")</f>
        <v>Optiver</v>
      </c>
      <c r="C17" s="36" t="str">
        <f>IFERROR(__xludf.DUMMYFUNCTION("""COMPUTED_VALUE"""),"Insight Days - 2027 Grads (Technology)")</f>
        <v>Insight Days - 2027 Grads (Technology)</v>
      </c>
      <c r="D17" s="29"/>
      <c r="E17" s="28"/>
      <c r="F17" s="29">
        <f>IFERROR(__xludf.DUMMYFUNCTION("""COMPUTED_VALUE"""),45252.0)</f>
        <v>45252</v>
      </c>
      <c r="G17" s="31" t="str">
        <f>IFERROR(__xludf.DUMMYFUNCTION("""COMPUTED_VALUE"""),"Yes")</f>
        <v>Yes</v>
      </c>
      <c r="H17" s="31" t="str">
        <f>IFERROR(__xludf.DUMMYFUNCTION("""COMPUTED_VALUE"""),"Yes")</f>
        <v>Yes</v>
      </c>
      <c r="I17" s="31" t="str">
        <f>IFERROR(__xludf.DUMMYFUNCTION("""COMPUTED_VALUE"""),"No")</f>
        <v>No</v>
      </c>
      <c r="J17" s="26"/>
      <c r="K17" s="26" t="str">
        <f>IFERROR(__xludf.DUMMYFUNCTION("""COMPUTED_VALUE"""),"NO")</f>
        <v>NO</v>
      </c>
    </row>
    <row r="18" ht="12.75" customHeight="1">
      <c r="A18" s="37"/>
      <c r="B18" s="27" t="str">
        <f>IFERROR(__xludf.DUMMYFUNCTION("""COMPUTED_VALUE"""),"Natwest Markets")</f>
        <v>Natwest Markets</v>
      </c>
      <c r="C18" s="36" t="str">
        <f>IFERROR(__xludf.DUMMYFUNCTION("""COMPUTED_VALUE"""),"Black Heritage Talent Insight Experience")</f>
        <v>Black Heritage Talent Insight Experience</v>
      </c>
      <c r="D18" s="29"/>
      <c r="E18" s="24"/>
      <c r="F18" s="29">
        <f>IFERROR(__xludf.DUMMYFUNCTION("""COMPUTED_VALUE"""),45260.0)</f>
        <v>45260</v>
      </c>
      <c r="G18" s="31"/>
      <c r="H18" s="31"/>
      <c r="I18" s="31"/>
      <c r="J18" s="26"/>
      <c r="K18" s="26" t="str">
        <f>IFERROR(__xludf.DUMMYFUNCTION("""COMPUTED_VALUE"""),"NO")</f>
        <v>NO</v>
      </c>
    </row>
    <row r="19" ht="12.75" customHeight="1">
      <c r="A19" s="37"/>
      <c r="B19" s="27" t="str">
        <f>IFERROR(__xludf.DUMMYFUNCTION("""COMPUTED_VALUE"""),"Moody's")</f>
        <v>Moody's</v>
      </c>
      <c r="C19" s="36" t="str">
        <f>IFERROR(__xludf.DUMMYFUNCTION("""COMPUTED_VALUE"""),"EMEA Spring Insight Programme")</f>
        <v>EMEA Spring Insight Programme</v>
      </c>
      <c r="D19" s="29"/>
      <c r="E19" s="28"/>
      <c r="F19" s="29">
        <f>IFERROR(__xludf.DUMMYFUNCTION("""COMPUTED_VALUE"""),45327.0)</f>
        <v>45327</v>
      </c>
      <c r="G19" s="31"/>
      <c r="H19" s="31"/>
      <c r="I19" s="31"/>
      <c r="J19" s="26"/>
      <c r="K19" s="26" t="str">
        <f>IFERROR(__xludf.DUMMYFUNCTION("""COMPUTED_VALUE"""),"NO")</f>
        <v>NO</v>
      </c>
    </row>
    <row r="20" ht="12.75" customHeight="1">
      <c r="A20" s="37"/>
      <c r="B20" s="27" t="str">
        <f>IFERROR(__xludf.DUMMYFUNCTION("""COMPUTED_VALUE"""),"EY")</f>
        <v>EY</v>
      </c>
      <c r="C20" s="31" t="str">
        <f>IFERROR(__xludf.DUMMYFUNCTION("""COMPUTED_VALUE"""),"Discover EY")</f>
        <v>Discover EY</v>
      </c>
      <c r="D20" s="35"/>
      <c r="E20" s="28"/>
      <c r="F20" s="35">
        <f>IFERROR(__xludf.DUMMYFUNCTION("""COMPUTED_VALUE"""),45329.0)</f>
        <v>45329</v>
      </c>
      <c r="G20" s="31"/>
      <c r="H20" s="31"/>
      <c r="I20" s="31"/>
      <c r="J20" s="26"/>
      <c r="K20" s="26" t="str">
        <f>IFERROR(__xludf.DUMMYFUNCTION("""COMPUTED_VALUE"""),"NO")</f>
        <v>NO</v>
      </c>
    </row>
    <row r="21" ht="12.75" customHeight="1">
      <c r="A21" s="37"/>
      <c r="B21" s="27" t="str">
        <f>IFERROR(__xludf.DUMMYFUNCTION("""COMPUTED_VALUE"""),"RBC Capital Markets")</f>
        <v>RBC Capital Markets</v>
      </c>
      <c r="C21" s="49"/>
      <c r="D21" s="35"/>
      <c r="E21" s="28"/>
      <c r="F21" s="35"/>
      <c r="G21" s="31"/>
      <c r="H21" s="31"/>
      <c r="I21" s="31"/>
      <c r="J21" s="26"/>
      <c r="K21" s="26" t="str">
        <f>IFERROR(__xludf.DUMMYFUNCTION("""COMPUTED_VALUE"""),"NO")</f>
        <v>NO</v>
      </c>
    </row>
    <row r="22" ht="12.75" customHeight="1">
      <c r="A22" s="37"/>
      <c r="B22" s="27" t="str">
        <f>IFERROR(__xludf.DUMMYFUNCTION("""COMPUTED_VALUE"""),"Amazon")</f>
        <v>Amazon</v>
      </c>
      <c r="C22" s="31" t="str">
        <f>IFERROR(__xludf.DUMMYFUNCTION("""COMPUTED_VALUE"""),"Amazon Discover: Spring Technology Insights")</f>
        <v>Amazon Discover: Spring Technology Insights</v>
      </c>
      <c r="D22" s="35"/>
      <c r="E22" s="28"/>
      <c r="F22" s="35"/>
      <c r="G22" s="31"/>
      <c r="H22" s="31"/>
      <c r="I22" s="31"/>
      <c r="J22" s="26"/>
      <c r="K22" s="26" t="str">
        <f>IFERROR(__xludf.DUMMYFUNCTION("""COMPUTED_VALUE"""),"NO")</f>
        <v>NO</v>
      </c>
    </row>
    <row r="23" ht="12.75" customHeight="1">
      <c r="A23" s="37"/>
      <c r="B23" s="37" t="str">
        <f>IFERROR(__xludf.DUMMYFUNCTION("""COMPUTED_VALUE"""),"")</f>
        <v/>
      </c>
      <c r="C23" s="31"/>
      <c r="D23" s="35"/>
      <c r="E23" s="28"/>
      <c r="F23" s="35"/>
      <c r="G23" s="31"/>
      <c r="H23" s="31"/>
      <c r="I23" s="31"/>
      <c r="J23" s="26"/>
      <c r="K23" s="26"/>
    </row>
    <row r="24" ht="12.75" customHeight="1">
      <c r="A24" s="37"/>
      <c r="B24" s="37" t="str">
        <f>IFERROR(__xludf.DUMMYFUNCTION("""COMPUTED_VALUE"""),"")</f>
        <v/>
      </c>
      <c r="C24" s="31"/>
      <c r="D24" s="35"/>
      <c r="E24" s="28"/>
      <c r="F24" s="35"/>
      <c r="G24" s="31"/>
      <c r="H24" s="31"/>
      <c r="I24" s="31"/>
      <c r="J24" s="26"/>
      <c r="K24" s="26"/>
    </row>
    <row r="25" ht="12.75" customHeight="1">
      <c r="A25" s="37"/>
      <c r="B25" s="37" t="str">
        <f>IFERROR(__xludf.DUMMYFUNCTION("""COMPUTED_VALUE"""),"")</f>
        <v/>
      </c>
      <c r="C25" s="31"/>
      <c r="D25" s="35"/>
      <c r="E25" s="28"/>
      <c r="F25" s="35"/>
      <c r="G25" s="31"/>
      <c r="H25" s="31"/>
      <c r="I25" s="31"/>
      <c r="J25" s="26"/>
      <c r="K25" s="26"/>
    </row>
    <row r="26" ht="12.75" customHeight="1">
      <c r="A26" s="37"/>
      <c r="B26" s="37" t="str">
        <f>IFERROR(__xludf.DUMMYFUNCTION("""COMPUTED_VALUE"""),"")</f>
        <v/>
      </c>
      <c r="C26" s="31"/>
      <c r="D26" s="35"/>
      <c r="E26" s="28"/>
      <c r="F26" s="35"/>
      <c r="G26" s="31"/>
      <c r="H26" s="31"/>
      <c r="I26" s="31"/>
      <c r="J26" s="26"/>
      <c r="K26" s="26"/>
    </row>
    <row r="27" ht="12.75" customHeight="1">
      <c r="A27" s="37"/>
      <c r="B27" s="37" t="str">
        <f>IFERROR(__xludf.DUMMYFUNCTION("""COMPUTED_VALUE"""),"")</f>
        <v/>
      </c>
      <c r="C27" s="31"/>
      <c r="D27" s="35"/>
      <c r="E27" s="28"/>
      <c r="F27" s="35"/>
      <c r="G27" s="31"/>
      <c r="H27" s="31"/>
      <c r="I27" s="31"/>
      <c r="J27" s="26"/>
      <c r="K27" s="26"/>
    </row>
    <row r="28" ht="12.75" customHeight="1">
      <c r="A28" s="37"/>
      <c r="B28" s="37" t="str">
        <f>IFERROR(__xludf.DUMMYFUNCTION("""COMPUTED_VALUE"""),"")</f>
        <v/>
      </c>
      <c r="C28" s="31"/>
      <c r="D28" s="35"/>
      <c r="E28" s="28"/>
      <c r="F28" s="35"/>
      <c r="G28" s="31"/>
      <c r="H28" s="31"/>
      <c r="I28" s="31"/>
      <c r="J28" s="26"/>
      <c r="K28" s="26"/>
    </row>
    <row r="29" ht="12.75" customHeight="1">
      <c r="A29" s="37"/>
      <c r="B29" s="37" t="str">
        <f>IFERROR(__xludf.DUMMYFUNCTION("""COMPUTED_VALUE"""),"")</f>
        <v/>
      </c>
      <c r="C29" s="31"/>
      <c r="D29" s="35"/>
      <c r="E29" s="28"/>
      <c r="F29" s="35"/>
      <c r="G29" s="31"/>
      <c r="H29" s="31"/>
      <c r="I29" s="31"/>
      <c r="J29" s="26"/>
      <c r="K29" s="26"/>
    </row>
    <row r="30" ht="12.75" customHeight="1">
      <c r="A30" s="37"/>
      <c r="B30" s="37" t="str">
        <f>IFERROR(__xludf.DUMMYFUNCTION("""COMPUTED_VALUE"""),"")</f>
        <v/>
      </c>
      <c r="C30" s="31"/>
      <c r="D30" s="35"/>
      <c r="E30" s="28"/>
      <c r="F30" s="35"/>
      <c r="G30" s="31"/>
      <c r="H30" s="31"/>
      <c r="I30" s="31"/>
      <c r="J30" s="26"/>
      <c r="K30" s="26"/>
    </row>
    <row r="31" ht="12.75" customHeight="1">
      <c r="A31" s="37"/>
      <c r="B31" s="37" t="str">
        <f>IFERROR(__xludf.DUMMYFUNCTION("""COMPUTED_VALUE"""),"")</f>
        <v/>
      </c>
      <c r="C31" s="31"/>
      <c r="D31" s="35"/>
      <c r="E31" s="28"/>
      <c r="F31" s="35"/>
      <c r="G31" s="31"/>
      <c r="H31" s="31"/>
      <c r="I31" s="31"/>
      <c r="J31" s="26"/>
      <c r="K31" s="26"/>
    </row>
    <row r="32" ht="12.75" customHeight="1">
      <c r="A32" s="37"/>
      <c r="B32" s="37" t="str">
        <f>IFERROR(__xludf.DUMMYFUNCTION("""COMPUTED_VALUE"""),"")</f>
        <v/>
      </c>
      <c r="C32" s="31"/>
      <c r="D32" s="35"/>
      <c r="E32" s="28"/>
      <c r="F32" s="35"/>
      <c r="G32" s="31"/>
      <c r="H32" s="31"/>
      <c r="I32" s="31"/>
      <c r="J32" s="26"/>
      <c r="K32" s="26"/>
    </row>
    <row r="33" ht="12.75" customHeight="1">
      <c r="A33" s="37"/>
      <c r="B33" s="37" t="str">
        <f>IFERROR(__xludf.DUMMYFUNCTION("""COMPUTED_VALUE"""),"")</f>
        <v/>
      </c>
      <c r="C33" s="31"/>
      <c r="D33" s="35"/>
      <c r="E33" s="28"/>
      <c r="F33" s="35"/>
      <c r="G33" s="31"/>
      <c r="H33" s="31"/>
      <c r="I33" s="31"/>
      <c r="J33" s="26"/>
      <c r="K33" s="26"/>
    </row>
    <row r="34" ht="12.75" customHeight="1">
      <c r="A34" s="37"/>
      <c r="B34" s="37" t="str">
        <f>IFERROR(__xludf.DUMMYFUNCTION("""COMPUTED_VALUE"""),"")</f>
        <v/>
      </c>
      <c r="C34" s="31"/>
      <c r="D34" s="35"/>
      <c r="E34" s="28"/>
      <c r="F34" s="35"/>
      <c r="G34" s="31"/>
      <c r="H34" s="31"/>
      <c r="I34" s="31"/>
      <c r="J34" s="26"/>
      <c r="K34" s="26"/>
    </row>
    <row r="35" ht="12.75" customHeight="1">
      <c r="A35" s="37"/>
      <c r="B35" s="37" t="str">
        <f>IFERROR(__xludf.DUMMYFUNCTION("""COMPUTED_VALUE"""),"")</f>
        <v/>
      </c>
      <c r="C35" s="31"/>
      <c r="D35" s="35"/>
      <c r="E35" s="28"/>
      <c r="F35" s="35"/>
      <c r="G35" s="31"/>
      <c r="H35" s="31"/>
      <c r="I35" s="31"/>
      <c r="J35" s="26"/>
      <c r="K35" s="26"/>
    </row>
    <row r="36" ht="12.75" customHeight="1">
      <c r="A36" s="37"/>
      <c r="B36" s="37" t="str">
        <f>IFERROR(__xludf.DUMMYFUNCTION("""COMPUTED_VALUE"""),"")</f>
        <v/>
      </c>
      <c r="C36" s="31"/>
      <c r="D36" s="35"/>
      <c r="E36" s="28"/>
      <c r="F36" s="35"/>
      <c r="G36" s="31"/>
      <c r="H36" s="31"/>
      <c r="I36" s="31"/>
      <c r="J36" s="26"/>
      <c r="K36" s="26"/>
    </row>
    <row r="37" ht="12.75" customHeight="1">
      <c r="A37" s="37"/>
      <c r="B37" s="37" t="str">
        <f>IFERROR(__xludf.DUMMYFUNCTION("""COMPUTED_VALUE"""),"")</f>
        <v/>
      </c>
      <c r="C37" s="31"/>
      <c r="D37" s="35"/>
      <c r="E37" s="28"/>
      <c r="F37" s="35"/>
      <c r="G37" s="31"/>
      <c r="H37" s="31"/>
      <c r="I37" s="31"/>
      <c r="J37" s="26"/>
      <c r="K37" s="26"/>
    </row>
    <row r="38" ht="12.75" customHeight="1">
      <c r="A38" s="37"/>
      <c r="B38" s="37" t="str">
        <f>IFERROR(__xludf.DUMMYFUNCTION("""COMPUTED_VALUE"""),"")</f>
        <v/>
      </c>
      <c r="C38" s="31"/>
      <c r="D38" s="35"/>
      <c r="E38" s="28"/>
      <c r="F38" s="35"/>
      <c r="G38" s="31"/>
      <c r="H38" s="31"/>
      <c r="I38" s="31"/>
      <c r="J38" s="26"/>
      <c r="K38" s="26"/>
    </row>
    <row r="39" ht="12.75" customHeight="1">
      <c r="A39" s="37"/>
      <c r="B39" s="37" t="str">
        <f>IFERROR(__xludf.DUMMYFUNCTION("""COMPUTED_VALUE"""),"")</f>
        <v/>
      </c>
      <c r="C39" s="31"/>
      <c r="D39" s="35"/>
      <c r="E39" s="28"/>
      <c r="F39" s="35"/>
      <c r="G39" s="31"/>
      <c r="H39" s="31"/>
      <c r="I39" s="31"/>
      <c r="J39" s="26"/>
      <c r="K39" s="26"/>
    </row>
    <row r="40" ht="12.75" customHeight="1">
      <c r="A40" s="37"/>
      <c r="B40" s="37" t="str">
        <f>IFERROR(__xludf.DUMMYFUNCTION("""COMPUTED_VALUE"""),"")</f>
        <v/>
      </c>
      <c r="C40" s="31"/>
      <c r="D40" s="35"/>
      <c r="E40" s="28"/>
      <c r="F40" s="35"/>
      <c r="G40" s="31"/>
      <c r="H40" s="31"/>
      <c r="I40" s="31"/>
      <c r="J40" s="26"/>
      <c r="K40" s="26"/>
    </row>
    <row r="41" ht="12.75" customHeight="1">
      <c r="A41" s="37"/>
      <c r="B41" s="37" t="str">
        <f>IFERROR(__xludf.DUMMYFUNCTION("""COMPUTED_VALUE"""),"")</f>
        <v/>
      </c>
      <c r="C41" s="31"/>
      <c r="D41" s="35"/>
      <c r="E41" s="28"/>
      <c r="F41" s="35"/>
      <c r="G41" s="31"/>
      <c r="H41" s="31"/>
      <c r="I41" s="31"/>
      <c r="J41" s="26"/>
      <c r="K41" s="26"/>
    </row>
    <row r="42" ht="12.75" customHeight="1">
      <c r="A42" s="37"/>
      <c r="B42" s="37" t="str">
        <f>IFERROR(__xludf.DUMMYFUNCTION("""COMPUTED_VALUE"""),"")</f>
        <v/>
      </c>
      <c r="C42" s="31"/>
      <c r="D42" s="35"/>
      <c r="E42" s="28"/>
      <c r="F42" s="35"/>
      <c r="G42" s="31"/>
      <c r="H42" s="31"/>
      <c r="I42" s="31"/>
      <c r="J42" s="26"/>
      <c r="K42" s="26"/>
    </row>
    <row r="43" ht="12.75" customHeight="1">
      <c r="A43" s="37"/>
      <c r="B43" s="37" t="str">
        <f>IFERROR(__xludf.DUMMYFUNCTION("""COMPUTED_VALUE"""),"")</f>
        <v/>
      </c>
      <c r="C43" s="31"/>
      <c r="D43" s="35"/>
      <c r="E43" s="28"/>
      <c r="F43" s="35"/>
      <c r="G43" s="31"/>
      <c r="H43" s="31"/>
      <c r="I43" s="31"/>
      <c r="J43" s="26"/>
      <c r="K43" s="26"/>
    </row>
    <row r="44" ht="12.75" customHeight="1">
      <c r="A44" s="37"/>
      <c r="B44" s="37" t="str">
        <f>IFERROR(__xludf.DUMMYFUNCTION("""COMPUTED_VALUE"""),"")</f>
        <v/>
      </c>
      <c r="C44" s="31"/>
      <c r="D44" s="35"/>
      <c r="E44" s="28"/>
      <c r="F44" s="35"/>
      <c r="G44" s="31"/>
      <c r="H44" s="31"/>
      <c r="I44" s="31"/>
      <c r="J44" s="26"/>
      <c r="K44" s="26"/>
    </row>
    <row r="45" ht="12.75" customHeight="1">
      <c r="A45" s="37"/>
      <c r="B45" s="37" t="str">
        <f>IFERROR(__xludf.DUMMYFUNCTION("""COMPUTED_VALUE"""),"")</f>
        <v/>
      </c>
      <c r="C45" s="31"/>
      <c r="D45" s="35"/>
      <c r="E45" s="28"/>
      <c r="F45" s="35"/>
      <c r="G45" s="31"/>
      <c r="H45" s="31"/>
      <c r="I45" s="31"/>
      <c r="J45" s="26"/>
      <c r="K45" s="26"/>
    </row>
    <row r="46" ht="12.75" customHeight="1">
      <c r="A46" s="37"/>
      <c r="B46" s="37" t="str">
        <f>IFERROR(__xludf.DUMMYFUNCTION("""COMPUTED_VALUE"""),"")</f>
        <v/>
      </c>
      <c r="C46" s="31"/>
      <c r="D46" s="35"/>
      <c r="E46" s="28"/>
      <c r="F46" s="35"/>
      <c r="G46" s="31"/>
      <c r="H46" s="31"/>
      <c r="I46" s="31"/>
      <c r="J46" s="26"/>
      <c r="K46" s="26"/>
    </row>
    <row r="47" ht="12.75" customHeight="1">
      <c r="A47" s="37"/>
      <c r="B47" s="37" t="str">
        <f>IFERROR(__xludf.DUMMYFUNCTION("""COMPUTED_VALUE"""),"")</f>
        <v/>
      </c>
      <c r="C47" s="31"/>
      <c r="D47" s="35"/>
      <c r="E47" s="28"/>
      <c r="F47" s="35"/>
      <c r="G47" s="31"/>
      <c r="H47" s="31"/>
      <c r="I47" s="31"/>
      <c r="J47" s="26"/>
      <c r="K47" s="26"/>
    </row>
    <row r="48" ht="12.75" customHeight="1">
      <c r="A48" s="37"/>
      <c r="B48" s="37" t="str">
        <f>IFERROR(__xludf.DUMMYFUNCTION("""COMPUTED_VALUE"""),"")</f>
        <v/>
      </c>
      <c r="C48" s="31"/>
      <c r="D48" s="35"/>
      <c r="E48" s="28"/>
      <c r="F48" s="35"/>
      <c r="G48" s="31"/>
      <c r="H48" s="31"/>
      <c r="I48" s="31"/>
      <c r="J48" s="26"/>
      <c r="K48" s="26"/>
    </row>
    <row r="49" ht="12.75" customHeight="1">
      <c r="A49" s="37"/>
      <c r="B49" s="37" t="str">
        <f>IFERROR(__xludf.DUMMYFUNCTION("""COMPUTED_VALUE"""),"")</f>
        <v/>
      </c>
      <c r="C49" s="31"/>
      <c r="D49" s="35"/>
      <c r="E49" s="28"/>
      <c r="F49" s="35"/>
      <c r="G49" s="31"/>
      <c r="H49" s="31"/>
      <c r="I49" s="31"/>
      <c r="J49" s="26"/>
      <c r="K49" s="26"/>
    </row>
    <row r="50" ht="12.75" customHeight="1">
      <c r="A50" s="37"/>
      <c r="B50" s="37" t="str">
        <f>IFERROR(__xludf.DUMMYFUNCTION("""COMPUTED_VALUE"""),"")</f>
        <v/>
      </c>
      <c r="C50" s="31"/>
      <c r="D50" s="35"/>
      <c r="E50" s="28"/>
      <c r="F50" s="35"/>
      <c r="G50" s="31"/>
      <c r="H50" s="31"/>
      <c r="I50" s="31"/>
      <c r="J50" s="26"/>
      <c r="K50" s="26"/>
    </row>
    <row r="51" ht="12.75" customHeight="1">
      <c r="A51" s="37"/>
      <c r="B51" s="37" t="str">
        <f>IFERROR(__xludf.DUMMYFUNCTION("""COMPUTED_VALUE"""),"")</f>
        <v/>
      </c>
      <c r="C51" s="31"/>
      <c r="D51" s="35"/>
      <c r="E51" s="28"/>
      <c r="F51" s="35"/>
      <c r="G51" s="31"/>
      <c r="H51" s="31"/>
      <c r="I51" s="31"/>
      <c r="J51" s="26"/>
      <c r="K51" s="26"/>
    </row>
    <row r="52" ht="12.75" customHeight="1">
      <c r="A52" s="37"/>
      <c r="B52" s="37" t="str">
        <f>IFERROR(__xludf.DUMMYFUNCTION("""COMPUTED_VALUE"""),"")</f>
        <v/>
      </c>
      <c r="C52" s="31"/>
      <c r="D52" s="35"/>
      <c r="E52" s="28"/>
      <c r="F52" s="35"/>
      <c r="G52" s="31"/>
      <c r="H52" s="31"/>
      <c r="I52" s="31"/>
      <c r="J52" s="26"/>
      <c r="K52" s="26"/>
    </row>
    <row r="53" ht="12.75" customHeight="1">
      <c r="A53" s="37"/>
      <c r="B53" s="37" t="str">
        <f>IFERROR(__xludf.DUMMYFUNCTION("""COMPUTED_VALUE"""),"")</f>
        <v/>
      </c>
      <c r="C53" s="31"/>
      <c r="D53" s="35"/>
      <c r="E53" s="28"/>
      <c r="F53" s="35"/>
      <c r="G53" s="31"/>
      <c r="H53" s="31"/>
      <c r="I53" s="31"/>
      <c r="J53" s="26"/>
      <c r="K53" s="26"/>
    </row>
    <row r="54" ht="12.75" customHeight="1">
      <c r="A54" s="37"/>
      <c r="B54" s="37" t="str">
        <f>IFERROR(__xludf.DUMMYFUNCTION("""COMPUTED_VALUE"""),"")</f>
        <v/>
      </c>
      <c r="C54" s="31"/>
      <c r="D54" s="35"/>
      <c r="E54" s="28"/>
      <c r="F54" s="35"/>
      <c r="G54" s="31"/>
      <c r="H54" s="31"/>
      <c r="I54" s="31"/>
      <c r="J54" s="26"/>
      <c r="K54" s="26"/>
    </row>
    <row r="55" ht="12.75" customHeight="1">
      <c r="A55" s="37"/>
      <c r="B55" s="37" t="str">
        <f>IFERROR(__xludf.DUMMYFUNCTION("""COMPUTED_VALUE"""),"")</f>
        <v/>
      </c>
      <c r="C55" s="31"/>
      <c r="D55" s="35"/>
      <c r="E55" s="28"/>
      <c r="F55" s="35"/>
      <c r="G55" s="31"/>
      <c r="H55" s="31"/>
      <c r="I55" s="31"/>
      <c r="J55" s="26"/>
      <c r="K55" s="26"/>
    </row>
    <row r="56" ht="12.75" customHeight="1">
      <c r="A56" s="37"/>
      <c r="B56" s="37" t="str">
        <f>IFERROR(__xludf.DUMMYFUNCTION("""COMPUTED_VALUE"""),"")</f>
        <v/>
      </c>
      <c r="C56" s="31"/>
      <c r="D56" s="35"/>
      <c r="E56" s="28"/>
      <c r="F56" s="35"/>
      <c r="G56" s="31"/>
      <c r="H56" s="31"/>
      <c r="I56" s="31"/>
      <c r="J56" s="26"/>
      <c r="K56" s="26"/>
    </row>
    <row r="57" ht="12.75" customHeight="1">
      <c r="A57" s="37"/>
      <c r="B57" s="37" t="str">
        <f>IFERROR(__xludf.DUMMYFUNCTION("""COMPUTED_VALUE"""),"")</f>
        <v/>
      </c>
      <c r="C57" s="31"/>
      <c r="D57" s="35"/>
      <c r="E57" s="28"/>
      <c r="F57" s="35"/>
      <c r="G57" s="31"/>
      <c r="H57" s="31"/>
      <c r="I57" s="31"/>
      <c r="J57" s="26"/>
      <c r="K57" s="26"/>
    </row>
    <row r="58" ht="12.75" customHeight="1">
      <c r="A58" s="37"/>
      <c r="B58" s="37" t="str">
        <f>IFERROR(__xludf.DUMMYFUNCTION("""COMPUTED_VALUE"""),"")</f>
        <v/>
      </c>
      <c r="C58" s="31"/>
      <c r="D58" s="35"/>
      <c r="E58" s="28"/>
      <c r="F58" s="35"/>
      <c r="G58" s="31"/>
      <c r="H58" s="31"/>
      <c r="I58" s="31"/>
      <c r="J58" s="26"/>
      <c r="K58" s="26"/>
    </row>
    <row r="59" ht="12.75" customHeight="1">
      <c r="A59" s="37"/>
      <c r="B59" s="37" t="str">
        <f>IFERROR(__xludf.DUMMYFUNCTION("""COMPUTED_VALUE"""),"")</f>
        <v/>
      </c>
      <c r="C59" s="31"/>
      <c r="D59" s="35"/>
      <c r="E59" s="28"/>
      <c r="F59" s="35"/>
      <c r="G59" s="31"/>
      <c r="H59" s="31"/>
      <c r="I59" s="31"/>
      <c r="J59" s="26"/>
      <c r="K59" s="26"/>
    </row>
    <row r="60" ht="12.75" customHeight="1">
      <c r="A60" s="37"/>
      <c r="B60" s="37" t="str">
        <f>IFERROR(__xludf.DUMMYFUNCTION("""COMPUTED_VALUE"""),"")</f>
        <v/>
      </c>
      <c r="C60" s="31"/>
      <c r="D60" s="35"/>
      <c r="E60" s="28"/>
      <c r="F60" s="35"/>
      <c r="G60" s="31"/>
      <c r="H60" s="31"/>
      <c r="I60" s="31"/>
      <c r="J60" s="26"/>
      <c r="K60" s="26"/>
    </row>
    <row r="61" ht="12.75" customHeight="1">
      <c r="A61" s="37"/>
      <c r="B61" s="37" t="str">
        <f>IFERROR(__xludf.DUMMYFUNCTION("""COMPUTED_VALUE"""),"")</f>
        <v/>
      </c>
      <c r="C61" s="31"/>
      <c r="D61" s="35"/>
      <c r="E61" s="28"/>
      <c r="F61" s="35"/>
      <c r="G61" s="31"/>
      <c r="H61" s="31"/>
      <c r="I61" s="31"/>
      <c r="J61" s="26"/>
      <c r="K61" s="26"/>
    </row>
    <row r="62" ht="12.75" customHeight="1">
      <c r="A62" s="37"/>
      <c r="B62" s="37" t="str">
        <f>IFERROR(__xludf.DUMMYFUNCTION("""COMPUTED_VALUE"""),"")</f>
        <v/>
      </c>
      <c r="C62" s="31"/>
      <c r="D62" s="35"/>
      <c r="E62" s="28"/>
      <c r="F62" s="35"/>
      <c r="G62" s="31"/>
      <c r="H62" s="31"/>
      <c r="I62" s="31"/>
      <c r="J62" s="26"/>
      <c r="K62" s="26"/>
    </row>
    <row r="63" ht="12.75" customHeight="1">
      <c r="A63" s="37"/>
      <c r="B63" s="37" t="str">
        <f>IFERROR(__xludf.DUMMYFUNCTION("""COMPUTED_VALUE"""),"")</f>
        <v/>
      </c>
      <c r="C63" s="31"/>
      <c r="D63" s="35"/>
      <c r="E63" s="28"/>
      <c r="F63" s="35"/>
      <c r="G63" s="31"/>
      <c r="H63" s="31"/>
      <c r="I63" s="31"/>
      <c r="J63" s="26"/>
      <c r="K63" s="26"/>
    </row>
    <row r="64" ht="12.75" customHeight="1">
      <c r="A64" s="37"/>
      <c r="B64" s="37" t="str">
        <f>IFERROR(__xludf.DUMMYFUNCTION("""COMPUTED_VALUE"""),"")</f>
        <v/>
      </c>
      <c r="C64" s="31"/>
      <c r="D64" s="35"/>
      <c r="E64" s="28"/>
      <c r="F64" s="35"/>
      <c r="G64" s="31"/>
      <c r="H64" s="31"/>
      <c r="I64" s="31"/>
      <c r="J64" s="26"/>
      <c r="K64" s="26"/>
    </row>
    <row r="65" ht="12.75" customHeight="1">
      <c r="A65" s="37"/>
      <c r="B65" s="37" t="str">
        <f>IFERROR(__xludf.DUMMYFUNCTION("""COMPUTED_VALUE"""),"")</f>
        <v/>
      </c>
      <c r="C65" s="31"/>
      <c r="D65" s="35"/>
      <c r="E65" s="28"/>
      <c r="F65" s="35"/>
      <c r="G65" s="31"/>
      <c r="H65" s="31"/>
      <c r="I65" s="31"/>
      <c r="J65" s="26"/>
      <c r="K65" s="26"/>
    </row>
    <row r="66" ht="12.75" customHeight="1">
      <c r="A66" s="37"/>
      <c r="B66" s="37" t="str">
        <f>IFERROR(__xludf.DUMMYFUNCTION("""COMPUTED_VALUE"""),"")</f>
        <v/>
      </c>
      <c r="C66" s="31"/>
      <c r="D66" s="35"/>
      <c r="E66" s="28"/>
      <c r="F66" s="35"/>
      <c r="G66" s="31"/>
      <c r="H66" s="31"/>
      <c r="I66" s="31"/>
      <c r="J66" s="26"/>
      <c r="K66" s="26"/>
    </row>
    <row r="67" ht="12.75" customHeight="1">
      <c r="A67" s="37"/>
      <c r="B67" s="37" t="str">
        <f>IFERROR(__xludf.DUMMYFUNCTION("""COMPUTED_VALUE"""),"")</f>
        <v/>
      </c>
      <c r="C67" s="31"/>
      <c r="D67" s="35"/>
      <c r="E67" s="28"/>
      <c r="F67" s="35"/>
      <c r="G67" s="31"/>
      <c r="H67" s="31"/>
      <c r="I67" s="31"/>
      <c r="J67" s="26"/>
      <c r="K67" s="26"/>
    </row>
    <row r="68" ht="12.75" customHeight="1">
      <c r="A68" s="37"/>
      <c r="B68" s="37" t="str">
        <f>IFERROR(__xludf.DUMMYFUNCTION("""COMPUTED_VALUE"""),"")</f>
        <v/>
      </c>
      <c r="C68" s="31"/>
      <c r="D68" s="35"/>
      <c r="E68" s="28"/>
      <c r="F68" s="35"/>
      <c r="G68" s="31"/>
      <c r="H68" s="31"/>
      <c r="I68" s="31"/>
      <c r="J68" s="26"/>
      <c r="K68" s="26"/>
    </row>
    <row r="69" ht="12.75" customHeight="1">
      <c r="A69" s="37"/>
      <c r="B69" s="37" t="str">
        <f>IFERROR(__xludf.DUMMYFUNCTION("""COMPUTED_VALUE"""),"")</f>
        <v/>
      </c>
      <c r="C69" s="31"/>
      <c r="D69" s="35"/>
      <c r="E69" s="28"/>
      <c r="F69" s="35"/>
      <c r="G69" s="31"/>
      <c r="H69" s="31"/>
      <c r="I69" s="31"/>
      <c r="J69" s="26"/>
      <c r="K69" s="26"/>
    </row>
    <row r="70" ht="12.75" customHeight="1">
      <c r="A70" s="37"/>
      <c r="B70" s="37" t="str">
        <f>IFERROR(__xludf.DUMMYFUNCTION("""COMPUTED_VALUE"""),"")</f>
        <v/>
      </c>
      <c r="C70" s="31"/>
      <c r="D70" s="35"/>
      <c r="E70" s="28"/>
      <c r="F70" s="35"/>
      <c r="G70" s="31"/>
      <c r="H70" s="31"/>
      <c r="I70" s="31"/>
      <c r="J70" s="26"/>
      <c r="K70" s="26"/>
    </row>
    <row r="71" ht="12.75" customHeight="1">
      <c r="A71" s="37"/>
      <c r="B71" s="37" t="str">
        <f>IFERROR(__xludf.DUMMYFUNCTION("""COMPUTED_VALUE"""),"")</f>
        <v/>
      </c>
      <c r="C71" s="31"/>
      <c r="D71" s="35"/>
      <c r="E71" s="28"/>
      <c r="F71" s="35"/>
      <c r="G71" s="31"/>
      <c r="H71" s="31"/>
      <c r="I71" s="31"/>
      <c r="J71" s="26"/>
      <c r="K71" s="26"/>
    </row>
    <row r="72" ht="12.75" customHeight="1">
      <c r="A72" s="37"/>
      <c r="B72" s="37" t="str">
        <f>IFERROR(__xludf.DUMMYFUNCTION("""COMPUTED_VALUE"""),"")</f>
        <v/>
      </c>
      <c r="C72" s="31"/>
      <c r="D72" s="35"/>
      <c r="E72" s="28"/>
      <c r="F72" s="35"/>
      <c r="G72" s="31"/>
      <c r="H72" s="31"/>
      <c r="I72" s="31"/>
      <c r="J72" s="26"/>
      <c r="K72" s="26"/>
    </row>
    <row r="73" ht="12.75" customHeight="1">
      <c r="A73" s="37"/>
      <c r="B73" s="37" t="str">
        <f>IFERROR(__xludf.DUMMYFUNCTION("""COMPUTED_VALUE"""),"")</f>
        <v/>
      </c>
      <c r="C73" s="31"/>
      <c r="D73" s="35"/>
      <c r="E73" s="28"/>
      <c r="F73" s="35"/>
      <c r="G73" s="31"/>
      <c r="H73" s="31"/>
      <c r="I73" s="31"/>
      <c r="J73" s="26"/>
      <c r="K73" s="26"/>
    </row>
    <row r="74" ht="12.75" customHeight="1">
      <c r="A74" s="37"/>
      <c r="B74" s="37" t="str">
        <f>IFERROR(__xludf.DUMMYFUNCTION("""COMPUTED_VALUE"""),"")</f>
        <v/>
      </c>
      <c r="C74" s="31"/>
      <c r="D74" s="35"/>
      <c r="E74" s="28"/>
      <c r="F74" s="35"/>
      <c r="G74" s="31"/>
      <c r="H74" s="31"/>
      <c r="I74" s="31"/>
      <c r="J74" s="26"/>
      <c r="K74" s="26"/>
    </row>
    <row r="75" ht="12.75" customHeight="1">
      <c r="A75" s="37"/>
      <c r="B75" s="37" t="str">
        <f>IFERROR(__xludf.DUMMYFUNCTION("""COMPUTED_VALUE"""),"")</f>
        <v/>
      </c>
      <c r="C75" s="31"/>
      <c r="D75" s="35"/>
      <c r="E75" s="28"/>
      <c r="F75" s="35"/>
      <c r="G75" s="31"/>
      <c r="H75" s="31"/>
      <c r="I75" s="31"/>
      <c r="J75" s="26"/>
      <c r="K75" s="26"/>
    </row>
    <row r="76" ht="12.75" customHeight="1">
      <c r="A76" s="37"/>
      <c r="B76" s="37" t="str">
        <f>IFERROR(__xludf.DUMMYFUNCTION("""COMPUTED_VALUE"""),"")</f>
        <v/>
      </c>
      <c r="C76" s="31"/>
      <c r="D76" s="35"/>
      <c r="E76" s="28"/>
      <c r="F76" s="35"/>
      <c r="G76" s="31"/>
      <c r="H76" s="31"/>
      <c r="I76" s="31"/>
      <c r="J76" s="26"/>
      <c r="K76" s="26"/>
    </row>
    <row r="77" ht="12.75" customHeight="1">
      <c r="A77" s="37"/>
      <c r="B77" s="37" t="str">
        <f>IFERROR(__xludf.DUMMYFUNCTION("""COMPUTED_VALUE"""),"")</f>
        <v/>
      </c>
      <c r="C77" s="31"/>
      <c r="D77" s="35"/>
      <c r="E77" s="28"/>
      <c r="F77" s="35"/>
      <c r="G77" s="31"/>
      <c r="H77" s="31"/>
      <c r="I77" s="31"/>
      <c r="J77" s="26"/>
      <c r="K77" s="26"/>
    </row>
    <row r="78" ht="12.75" customHeight="1">
      <c r="A78" s="37"/>
      <c r="B78" s="37" t="str">
        <f>IFERROR(__xludf.DUMMYFUNCTION("""COMPUTED_VALUE"""),"")</f>
        <v/>
      </c>
      <c r="C78" s="31"/>
      <c r="D78" s="35"/>
      <c r="E78" s="28"/>
      <c r="F78" s="35"/>
      <c r="G78" s="31"/>
      <c r="H78" s="31"/>
      <c r="I78" s="31"/>
      <c r="J78" s="26"/>
      <c r="K78" s="26"/>
    </row>
    <row r="79" ht="12.75" customHeight="1">
      <c r="A79" s="37"/>
      <c r="B79" s="37" t="str">
        <f>IFERROR(__xludf.DUMMYFUNCTION("""COMPUTED_VALUE"""),"")</f>
        <v/>
      </c>
      <c r="C79" s="31"/>
      <c r="D79" s="35"/>
      <c r="E79" s="28"/>
      <c r="F79" s="35"/>
      <c r="G79" s="31"/>
      <c r="H79" s="31"/>
      <c r="I79" s="31"/>
      <c r="J79" s="26"/>
      <c r="K79" s="26"/>
    </row>
    <row r="80" ht="12.75" customHeight="1">
      <c r="A80" s="37"/>
      <c r="B80" s="37" t="str">
        <f>IFERROR(__xludf.DUMMYFUNCTION("""COMPUTED_VALUE"""),"")</f>
        <v/>
      </c>
      <c r="C80" s="31"/>
      <c r="D80" s="35"/>
      <c r="E80" s="28"/>
      <c r="F80" s="35"/>
      <c r="G80" s="31"/>
      <c r="H80" s="31"/>
      <c r="I80" s="31"/>
      <c r="J80" s="26"/>
      <c r="K80" s="26"/>
    </row>
    <row r="81" ht="12.75" customHeight="1">
      <c r="A81" s="37"/>
      <c r="B81" s="37" t="str">
        <f>IFERROR(__xludf.DUMMYFUNCTION("""COMPUTED_VALUE"""),"")</f>
        <v/>
      </c>
      <c r="C81" s="31"/>
      <c r="D81" s="35"/>
      <c r="E81" s="28"/>
      <c r="F81" s="35"/>
      <c r="G81" s="31"/>
      <c r="H81" s="31"/>
      <c r="I81" s="31"/>
      <c r="J81" s="26"/>
      <c r="K81" s="26"/>
    </row>
    <row r="82" ht="12.75" customHeight="1">
      <c r="A82" s="37"/>
      <c r="B82" s="37" t="str">
        <f>IFERROR(__xludf.DUMMYFUNCTION("""COMPUTED_VALUE"""),"")</f>
        <v/>
      </c>
      <c r="C82" s="31"/>
      <c r="D82" s="35"/>
      <c r="E82" s="28"/>
      <c r="F82" s="35"/>
      <c r="G82" s="31"/>
      <c r="H82" s="31"/>
      <c r="I82" s="31"/>
      <c r="J82" s="26"/>
      <c r="K82" s="26"/>
    </row>
    <row r="83" ht="12.75" customHeight="1">
      <c r="A83" s="37"/>
      <c r="B83" s="37" t="str">
        <f>IFERROR(__xludf.DUMMYFUNCTION("""COMPUTED_VALUE"""),"")</f>
        <v/>
      </c>
      <c r="C83" s="31"/>
      <c r="D83" s="35"/>
      <c r="E83" s="28"/>
      <c r="F83" s="35"/>
      <c r="G83" s="31"/>
      <c r="H83" s="31"/>
      <c r="I83" s="31"/>
      <c r="J83" s="26"/>
      <c r="K83" s="26"/>
    </row>
    <row r="84" ht="12.75" customHeight="1">
      <c r="A84" s="37"/>
      <c r="B84" s="37" t="str">
        <f>IFERROR(__xludf.DUMMYFUNCTION("""COMPUTED_VALUE"""),"")</f>
        <v/>
      </c>
      <c r="C84" s="31"/>
      <c r="D84" s="35"/>
      <c r="E84" s="28"/>
      <c r="F84" s="35"/>
      <c r="G84" s="31"/>
      <c r="H84" s="31"/>
      <c r="I84" s="31"/>
      <c r="J84" s="26"/>
      <c r="K84" s="26"/>
    </row>
    <row r="85" ht="12.75" customHeight="1">
      <c r="A85" s="37"/>
      <c r="B85" s="37" t="str">
        <f>IFERROR(__xludf.DUMMYFUNCTION("""COMPUTED_VALUE"""),"")</f>
        <v/>
      </c>
      <c r="C85" s="31"/>
      <c r="D85" s="35"/>
      <c r="E85" s="28"/>
      <c r="F85" s="35"/>
      <c r="G85" s="31"/>
      <c r="H85" s="31"/>
      <c r="I85" s="31"/>
      <c r="J85" s="26"/>
      <c r="K85" s="26"/>
    </row>
    <row r="86" ht="12.75" customHeight="1">
      <c r="A86" s="37"/>
      <c r="B86" s="37" t="str">
        <f>IFERROR(__xludf.DUMMYFUNCTION("""COMPUTED_VALUE"""),"")</f>
        <v/>
      </c>
      <c r="C86" s="31"/>
      <c r="D86" s="35"/>
      <c r="E86" s="28"/>
      <c r="F86" s="35"/>
      <c r="G86" s="31"/>
      <c r="H86" s="31"/>
      <c r="I86" s="31"/>
      <c r="J86" s="26"/>
      <c r="K86" s="26"/>
    </row>
    <row r="87" ht="12.75" customHeight="1">
      <c r="A87" s="37"/>
      <c r="B87" s="37" t="str">
        <f>IFERROR(__xludf.DUMMYFUNCTION("""COMPUTED_VALUE"""),"")</f>
        <v/>
      </c>
      <c r="C87" s="31"/>
      <c r="D87" s="35"/>
      <c r="E87" s="28"/>
      <c r="F87" s="35"/>
      <c r="G87" s="31"/>
      <c r="H87" s="31"/>
      <c r="I87" s="31"/>
      <c r="J87" s="26"/>
      <c r="K87" s="26"/>
    </row>
    <row r="88" ht="12.75" customHeight="1">
      <c r="A88" s="37"/>
      <c r="B88" s="37" t="str">
        <f>IFERROR(__xludf.DUMMYFUNCTION("""COMPUTED_VALUE"""),"")</f>
        <v/>
      </c>
      <c r="C88" s="31"/>
      <c r="D88" s="35"/>
      <c r="E88" s="28"/>
      <c r="F88" s="35"/>
      <c r="G88" s="31"/>
      <c r="H88" s="31"/>
      <c r="I88" s="31"/>
      <c r="J88" s="26"/>
      <c r="K88" s="26"/>
    </row>
    <row r="89" ht="12.75" customHeight="1">
      <c r="A89" s="37"/>
      <c r="B89" s="37" t="str">
        <f>IFERROR(__xludf.DUMMYFUNCTION("""COMPUTED_VALUE"""),"")</f>
        <v/>
      </c>
      <c r="C89" s="31"/>
      <c r="D89" s="35"/>
      <c r="E89" s="28"/>
      <c r="F89" s="35"/>
      <c r="G89" s="31"/>
      <c r="H89" s="31"/>
      <c r="I89" s="31"/>
      <c r="J89" s="26"/>
      <c r="K89" s="26"/>
    </row>
    <row r="90" ht="12.75" customHeight="1">
      <c r="A90" s="37"/>
      <c r="B90" s="37" t="str">
        <f>IFERROR(__xludf.DUMMYFUNCTION("""COMPUTED_VALUE"""),"")</f>
        <v/>
      </c>
      <c r="C90" s="31"/>
      <c r="D90" s="35"/>
      <c r="E90" s="28"/>
      <c r="F90" s="35"/>
      <c r="G90" s="31"/>
      <c r="H90" s="31"/>
      <c r="I90" s="31"/>
      <c r="J90" s="26"/>
      <c r="K90" s="26"/>
    </row>
    <row r="91" ht="12.75" customHeight="1">
      <c r="A91" s="37"/>
      <c r="B91" s="37" t="str">
        <f>IFERROR(__xludf.DUMMYFUNCTION("""COMPUTED_VALUE"""),"")</f>
        <v/>
      </c>
      <c r="C91" s="31"/>
      <c r="D91" s="35"/>
      <c r="E91" s="28"/>
      <c r="F91" s="35"/>
      <c r="G91" s="31"/>
      <c r="H91" s="31"/>
      <c r="I91" s="31"/>
      <c r="J91" s="26"/>
      <c r="K91" s="26"/>
    </row>
    <row r="92" ht="12.75" customHeight="1">
      <c r="A92" s="37"/>
      <c r="B92" s="37" t="str">
        <f>IFERROR(__xludf.DUMMYFUNCTION("""COMPUTED_VALUE"""),"")</f>
        <v/>
      </c>
      <c r="C92" s="31"/>
      <c r="D92" s="35"/>
      <c r="E92" s="28"/>
      <c r="F92" s="35"/>
      <c r="G92" s="31"/>
      <c r="H92" s="31"/>
      <c r="I92" s="31"/>
      <c r="J92" s="26"/>
      <c r="K92" s="26"/>
    </row>
    <row r="93" ht="12.75" customHeight="1">
      <c r="A93" s="37"/>
      <c r="B93" s="37" t="str">
        <f>IFERROR(__xludf.DUMMYFUNCTION("""COMPUTED_VALUE"""),"")</f>
        <v/>
      </c>
      <c r="C93" s="31"/>
      <c r="D93" s="35"/>
      <c r="E93" s="28"/>
      <c r="F93" s="35"/>
      <c r="G93" s="31"/>
      <c r="H93" s="31"/>
      <c r="I93" s="31"/>
      <c r="J93" s="26"/>
      <c r="K93" s="26"/>
    </row>
    <row r="94" ht="12.75" customHeight="1">
      <c r="A94" s="37"/>
      <c r="B94" s="37" t="str">
        <f>IFERROR(__xludf.DUMMYFUNCTION("""COMPUTED_VALUE"""),"")</f>
        <v/>
      </c>
      <c r="C94" s="31"/>
      <c r="D94" s="35"/>
      <c r="E94" s="28"/>
      <c r="F94" s="35"/>
      <c r="G94" s="31"/>
      <c r="H94" s="31"/>
      <c r="I94" s="31"/>
      <c r="J94" s="26"/>
      <c r="K94" s="26"/>
    </row>
    <row r="95" ht="12.75" customHeight="1">
      <c r="A95" s="37"/>
      <c r="B95" s="37" t="str">
        <f>IFERROR(__xludf.DUMMYFUNCTION("""COMPUTED_VALUE"""),"")</f>
        <v/>
      </c>
      <c r="C95" s="31"/>
      <c r="D95" s="35"/>
      <c r="E95" s="28"/>
      <c r="F95" s="35"/>
      <c r="G95" s="31"/>
      <c r="H95" s="31"/>
      <c r="I95" s="31"/>
      <c r="J95" s="26"/>
      <c r="K95" s="26"/>
    </row>
    <row r="96" ht="12.75" customHeight="1">
      <c r="A96" s="37"/>
      <c r="B96" s="37" t="str">
        <f>IFERROR(__xludf.DUMMYFUNCTION("""COMPUTED_VALUE"""),"")</f>
        <v/>
      </c>
      <c r="C96" s="31"/>
      <c r="D96" s="35"/>
      <c r="E96" s="28"/>
      <c r="F96" s="35"/>
      <c r="G96" s="31"/>
      <c r="H96" s="31"/>
      <c r="I96" s="31"/>
      <c r="J96" s="26"/>
      <c r="K96" s="26"/>
    </row>
    <row r="97" ht="12.75" customHeight="1">
      <c r="A97" s="37"/>
      <c r="B97" s="37" t="str">
        <f>IFERROR(__xludf.DUMMYFUNCTION("""COMPUTED_VALUE"""),"")</f>
        <v/>
      </c>
      <c r="C97" s="31"/>
      <c r="D97" s="35"/>
      <c r="E97" s="28"/>
      <c r="F97" s="35"/>
      <c r="G97" s="31"/>
      <c r="H97" s="31"/>
      <c r="I97" s="31"/>
      <c r="J97" s="26"/>
      <c r="K97" s="26"/>
    </row>
    <row r="98" ht="12.75" customHeight="1">
      <c r="A98" s="37"/>
      <c r="B98" s="37" t="str">
        <f>IFERROR(__xludf.DUMMYFUNCTION("""COMPUTED_VALUE"""),"")</f>
        <v/>
      </c>
      <c r="C98" s="31"/>
      <c r="D98" s="35"/>
      <c r="E98" s="28"/>
      <c r="F98" s="35"/>
      <c r="G98" s="31"/>
      <c r="H98" s="31"/>
      <c r="I98" s="31"/>
      <c r="J98" s="26"/>
      <c r="K98" s="26"/>
    </row>
    <row r="99" ht="12.75" customHeight="1">
      <c r="A99" s="37"/>
      <c r="B99" s="37" t="str">
        <f>IFERROR(__xludf.DUMMYFUNCTION("""COMPUTED_VALUE"""),"")</f>
        <v/>
      </c>
      <c r="C99" s="31"/>
      <c r="D99" s="35"/>
      <c r="E99" s="28"/>
      <c r="F99" s="35"/>
      <c r="G99" s="31"/>
      <c r="H99" s="31"/>
      <c r="I99" s="31"/>
      <c r="J99" s="26"/>
      <c r="K99" s="26"/>
    </row>
    <row r="100" ht="12.75" customHeight="1">
      <c r="A100" s="37"/>
      <c r="B100" s="37" t="str">
        <f>IFERROR(__xludf.DUMMYFUNCTION("""COMPUTED_VALUE"""),"")</f>
        <v/>
      </c>
      <c r="C100" s="31"/>
      <c r="D100" s="35"/>
      <c r="E100" s="28"/>
      <c r="F100" s="35"/>
      <c r="G100" s="31"/>
      <c r="H100" s="31"/>
      <c r="I100" s="31"/>
      <c r="J100" s="26"/>
      <c r="K100" s="26"/>
    </row>
    <row r="101" ht="12.75" customHeight="1">
      <c r="A101" s="37"/>
      <c r="B101" s="37" t="str">
        <f>IFERROR(__xludf.DUMMYFUNCTION("""COMPUTED_VALUE"""),"")</f>
        <v/>
      </c>
      <c r="C101" s="31"/>
      <c r="D101" s="35"/>
      <c r="E101" s="28"/>
      <c r="F101" s="35"/>
      <c r="G101" s="31"/>
      <c r="H101" s="31"/>
      <c r="I101" s="31"/>
      <c r="J101" s="26"/>
      <c r="K101" s="26"/>
    </row>
    <row r="102" ht="12.75" customHeight="1">
      <c r="A102" s="37"/>
      <c r="B102" s="37" t="str">
        <f>IFERROR(__xludf.DUMMYFUNCTION("""COMPUTED_VALUE"""),"")</f>
        <v/>
      </c>
      <c r="C102" s="31"/>
      <c r="D102" s="35"/>
      <c r="E102" s="28"/>
      <c r="F102" s="35"/>
      <c r="G102" s="31"/>
      <c r="H102" s="31"/>
      <c r="I102" s="31"/>
      <c r="J102" s="26"/>
      <c r="K102" s="26"/>
    </row>
    <row r="103" ht="12.75" customHeight="1">
      <c r="A103" s="37"/>
      <c r="B103" s="37" t="str">
        <f>IFERROR(__xludf.DUMMYFUNCTION("""COMPUTED_VALUE"""),"")</f>
        <v/>
      </c>
      <c r="C103" s="31"/>
      <c r="D103" s="35"/>
      <c r="E103" s="28"/>
      <c r="F103" s="35"/>
      <c r="G103" s="31"/>
      <c r="H103" s="31"/>
      <c r="I103" s="31"/>
      <c r="J103" s="26"/>
      <c r="K103" s="26"/>
    </row>
    <row r="104" ht="12.75" customHeight="1">
      <c r="A104" s="37"/>
      <c r="B104" s="37" t="str">
        <f>IFERROR(__xludf.DUMMYFUNCTION("""COMPUTED_VALUE"""),"")</f>
        <v/>
      </c>
      <c r="C104" s="31"/>
      <c r="D104" s="35"/>
      <c r="E104" s="28"/>
      <c r="F104" s="35"/>
      <c r="G104" s="31"/>
      <c r="H104" s="31"/>
      <c r="I104" s="31"/>
      <c r="J104" s="26"/>
      <c r="K104" s="26"/>
    </row>
    <row r="105" ht="12.75" customHeight="1">
      <c r="A105" s="37"/>
      <c r="B105" s="37" t="str">
        <f>IFERROR(__xludf.DUMMYFUNCTION("""COMPUTED_VALUE"""),"")</f>
        <v/>
      </c>
      <c r="C105" s="31"/>
      <c r="D105" s="35"/>
      <c r="E105" s="28"/>
      <c r="F105" s="35"/>
      <c r="G105" s="31"/>
      <c r="H105" s="31"/>
      <c r="I105" s="31"/>
      <c r="J105" s="26"/>
      <c r="K105" s="26"/>
    </row>
    <row r="106" ht="12.75" customHeight="1">
      <c r="A106" s="37"/>
      <c r="B106" s="37" t="str">
        <f>IFERROR(__xludf.DUMMYFUNCTION("""COMPUTED_VALUE"""),"")</f>
        <v/>
      </c>
      <c r="C106" s="31"/>
      <c r="D106" s="35"/>
      <c r="E106" s="28"/>
      <c r="F106" s="35"/>
      <c r="G106" s="31"/>
      <c r="H106" s="31"/>
      <c r="I106" s="31"/>
      <c r="J106" s="26"/>
      <c r="K106" s="26"/>
    </row>
    <row r="107" ht="12.75" customHeight="1">
      <c r="A107" s="37"/>
      <c r="B107" s="37" t="str">
        <f>IFERROR(__xludf.DUMMYFUNCTION("""COMPUTED_VALUE"""),"")</f>
        <v/>
      </c>
      <c r="C107" s="31"/>
      <c r="D107" s="35"/>
      <c r="E107" s="28"/>
      <c r="F107" s="35"/>
      <c r="G107" s="31"/>
      <c r="H107" s="31"/>
      <c r="I107" s="31"/>
      <c r="J107" s="26"/>
      <c r="K107" s="26"/>
    </row>
    <row r="108" ht="12.75" customHeight="1">
      <c r="A108" s="37"/>
      <c r="B108" s="37" t="str">
        <f>IFERROR(__xludf.DUMMYFUNCTION("""COMPUTED_VALUE"""),"")</f>
        <v/>
      </c>
      <c r="C108" s="31"/>
      <c r="D108" s="35"/>
      <c r="E108" s="28"/>
      <c r="F108" s="35"/>
      <c r="G108" s="31"/>
      <c r="H108" s="31"/>
      <c r="I108" s="31"/>
      <c r="J108" s="26"/>
      <c r="K108" s="26"/>
    </row>
    <row r="109" ht="12.75" customHeight="1">
      <c r="A109" s="37"/>
      <c r="B109" s="37" t="str">
        <f>IFERROR(__xludf.DUMMYFUNCTION("""COMPUTED_VALUE"""),"")</f>
        <v/>
      </c>
      <c r="C109" s="31"/>
      <c r="D109" s="35"/>
      <c r="E109" s="28"/>
      <c r="F109" s="35"/>
      <c r="G109" s="31"/>
      <c r="H109" s="31"/>
      <c r="I109" s="31"/>
      <c r="J109" s="26"/>
      <c r="K109" s="26"/>
    </row>
    <row r="110" ht="12.75" customHeight="1">
      <c r="A110" s="37"/>
      <c r="B110" s="37" t="str">
        <f>IFERROR(__xludf.DUMMYFUNCTION("""COMPUTED_VALUE"""),"")</f>
        <v/>
      </c>
      <c r="C110" s="31"/>
      <c r="D110" s="35"/>
      <c r="E110" s="28"/>
      <c r="F110" s="35"/>
      <c r="G110" s="31"/>
      <c r="H110" s="31"/>
      <c r="I110" s="31"/>
      <c r="J110" s="26"/>
      <c r="K110" s="26"/>
    </row>
    <row r="111" ht="12.75" customHeight="1">
      <c r="A111" s="37"/>
      <c r="B111" s="37" t="str">
        <f>IFERROR(__xludf.DUMMYFUNCTION("""COMPUTED_VALUE"""),"")</f>
        <v/>
      </c>
      <c r="C111" s="31"/>
      <c r="D111" s="35"/>
      <c r="E111" s="28"/>
      <c r="F111" s="35"/>
      <c r="G111" s="31"/>
      <c r="H111" s="31"/>
      <c r="I111" s="31"/>
      <c r="J111" s="26"/>
      <c r="K111" s="26"/>
    </row>
    <row r="112" ht="12.75" customHeight="1">
      <c r="A112" s="37"/>
      <c r="B112" s="37" t="str">
        <f>IFERROR(__xludf.DUMMYFUNCTION("""COMPUTED_VALUE"""),"")</f>
        <v/>
      </c>
      <c r="C112" s="31"/>
      <c r="D112" s="35"/>
      <c r="E112" s="28"/>
      <c r="F112" s="35"/>
      <c r="G112" s="31"/>
      <c r="H112" s="31"/>
      <c r="I112" s="31"/>
      <c r="J112" s="26"/>
      <c r="K112" s="26"/>
    </row>
    <row r="113" ht="12.75" customHeight="1">
      <c r="A113" s="37"/>
      <c r="B113" s="37" t="str">
        <f>IFERROR(__xludf.DUMMYFUNCTION("""COMPUTED_VALUE"""),"")</f>
        <v/>
      </c>
      <c r="C113" s="31"/>
      <c r="D113" s="35"/>
      <c r="E113" s="28"/>
      <c r="F113" s="35"/>
      <c r="G113" s="31"/>
      <c r="H113" s="31"/>
      <c r="I113" s="31"/>
      <c r="J113" s="26"/>
      <c r="K113" s="26"/>
    </row>
    <row r="114" ht="12.75" customHeight="1">
      <c r="A114" s="37"/>
      <c r="B114" s="37" t="str">
        <f>IFERROR(__xludf.DUMMYFUNCTION("""COMPUTED_VALUE"""),"")</f>
        <v/>
      </c>
      <c r="C114" s="31"/>
      <c r="D114" s="35"/>
      <c r="E114" s="28"/>
      <c r="F114" s="35"/>
      <c r="G114" s="31"/>
      <c r="H114" s="31"/>
      <c r="I114" s="31"/>
      <c r="J114" s="26"/>
      <c r="K114" s="26"/>
    </row>
    <row r="115" ht="12.75" customHeight="1">
      <c r="A115" s="37"/>
      <c r="B115" s="37" t="str">
        <f>IFERROR(__xludf.DUMMYFUNCTION("""COMPUTED_VALUE"""),"")</f>
        <v/>
      </c>
      <c r="C115" s="31"/>
      <c r="D115" s="35"/>
      <c r="E115" s="28"/>
      <c r="F115" s="35"/>
      <c r="G115" s="31"/>
      <c r="H115" s="31"/>
      <c r="I115" s="31"/>
      <c r="J115" s="26"/>
      <c r="K115" s="26"/>
    </row>
    <row r="116" ht="12.75" customHeight="1">
      <c r="A116" s="37"/>
      <c r="B116" s="37" t="str">
        <f>IFERROR(__xludf.DUMMYFUNCTION("""COMPUTED_VALUE"""),"")</f>
        <v/>
      </c>
      <c r="C116" s="31"/>
      <c r="D116" s="35"/>
      <c r="E116" s="28"/>
      <c r="F116" s="35"/>
      <c r="G116" s="31"/>
      <c r="H116" s="31"/>
      <c r="I116" s="31"/>
      <c r="J116" s="26"/>
      <c r="K116" s="26"/>
    </row>
    <row r="117" ht="12.75" customHeight="1">
      <c r="A117" s="37"/>
      <c r="B117" s="37" t="str">
        <f>IFERROR(__xludf.DUMMYFUNCTION("""COMPUTED_VALUE"""),"")</f>
        <v/>
      </c>
      <c r="C117" s="31"/>
      <c r="D117" s="35"/>
      <c r="E117" s="28"/>
      <c r="F117" s="35"/>
      <c r="G117" s="31"/>
      <c r="H117" s="31"/>
      <c r="I117" s="31"/>
      <c r="J117" s="26"/>
      <c r="K117" s="26"/>
    </row>
    <row r="118" ht="12.75" customHeight="1">
      <c r="A118" s="37"/>
      <c r="B118" s="37" t="str">
        <f>IFERROR(__xludf.DUMMYFUNCTION("""COMPUTED_VALUE"""),"")</f>
        <v/>
      </c>
      <c r="C118" s="31"/>
      <c r="D118" s="35"/>
      <c r="E118" s="28"/>
      <c r="F118" s="35"/>
      <c r="G118" s="31"/>
      <c r="H118" s="31"/>
      <c r="I118" s="31"/>
      <c r="J118" s="26"/>
      <c r="K118" s="26"/>
    </row>
    <row r="119" ht="12.75" customHeight="1">
      <c r="A119" s="37"/>
      <c r="B119" s="37" t="str">
        <f>IFERROR(__xludf.DUMMYFUNCTION("""COMPUTED_VALUE"""),"")</f>
        <v/>
      </c>
      <c r="C119" s="31"/>
      <c r="D119" s="35"/>
      <c r="E119" s="28"/>
      <c r="F119" s="35"/>
      <c r="G119" s="31"/>
      <c r="H119" s="31"/>
      <c r="I119" s="31"/>
      <c r="J119" s="26"/>
      <c r="K119" s="26"/>
    </row>
    <row r="120" ht="12.75" customHeight="1">
      <c r="A120" s="37"/>
      <c r="B120" s="37" t="str">
        <f>IFERROR(__xludf.DUMMYFUNCTION("""COMPUTED_VALUE"""),"")</f>
        <v/>
      </c>
      <c r="C120" s="31"/>
      <c r="D120" s="35"/>
      <c r="E120" s="28"/>
      <c r="F120" s="35"/>
      <c r="G120" s="31"/>
      <c r="H120" s="31"/>
      <c r="I120" s="31"/>
      <c r="J120" s="26"/>
      <c r="K120" s="26"/>
    </row>
    <row r="121" ht="12.75" customHeight="1">
      <c r="A121" s="37"/>
      <c r="B121" s="37" t="str">
        <f>IFERROR(__xludf.DUMMYFUNCTION("""COMPUTED_VALUE"""),"")</f>
        <v/>
      </c>
      <c r="C121" s="31"/>
      <c r="D121" s="35"/>
      <c r="E121" s="28"/>
      <c r="F121" s="35"/>
      <c r="G121" s="31"/>
      <c r="H121" s="31"/>
      <c r="I121" s="31"/>
      <c r="J121" s="26"/>
      <c r="K121" s="26"/>
    </row>
    <row r="122" ht="12.75" customHeight="1">
      <c r="A122" s="37"/>
      <c r="B122" s="37" t="str">
        <f>IFERROR(__xludf.DUMMYFUNCTION("""COMPUTED_VALUE"""),"")</f>
        <v/>
      </c>
      <c r="C122" s="31"/>
      <c r="D122" s="35"/>
      <c r="E122" s="28"/>
      <c r="F122" s="35"/>
      <c r="G122" s="31"/>
      <c r="H122" s="31"/>
      <c r="I122" s="31"/>
      <c r="J122" s="26"/>
      <c r="K122" s="26"/>
    </row>
    <row r="123" ht="12.75" customHeight="1">
      <c r="A123" s="37"/>
      <c r="B123" s="37" t="str">
        <f>IFERROR(__xludf.DUMMYFUNCTION("""COMPUTED_VALUE"""),"")</f>
        <v/>
      </c>
      <c r="C123" s="31"/>
      <c r="D123" s="35"/>
      <c r="E123" s="28"/>
      <c r="F123" s="35"/>
      <c r="G123" s="31"/>
      <c r="H123" s="31"/>
      <c r="I123" s="31"/>
      <c r="J123" s="26"/>
      <c r="K123" s="26"/>
    </row>
    <row r="124" ht="12.75" customHeight="1">
      <c r="A124" s="37"/>
      <c r="B124" s="37" t="str">
        <f>IFERROR(__xludf.DUMMYFUNCTION("""COMPUTED_VALUE"""),"")</f>
        <v/>
      </c>
      <c r="C124" s="31"/>
      <c r="D124" s="35"/>
      <c r="E124" s="28"/>
      <c r="F124" s="35"/>
      <c r="G124" s="31"/>
      <c r="H124" s="31"/>
      <c r="I124" s="31"/>
      <c r="J124" s="26"/>
      <c r="K124" s="26"/>
    </row>
    <row r="125" ht="12.75" customHeight="1">
      <c r="A125" s="37"/>
      <c r="B125" s="37" t="str">
        <f>IFERROR(__xludf.DUMMYFUNCTION("""COMPUTED_VALUE"""),"")</f>
        <v/>
      </c>
      <c r="C125" s="31"/>
      <c r="D125" s="35"/>
      <c r="E125" s="28"/>
      <c r="F125" s="35"/>
      <c r="G125" s="31"/>
      <c r="H125" s="31"/>
      <c r="I125" s="31"/>
      <c r="J125" s="26"/>
      <c r="K125" s="26"/>
    </row>
    <row r="126" ht="12.75" customHeight="1">
      <c r="A126" s="37"/>
      <c r="B126" s="37" t="str">
        <f>IFERROR(__xludf.DUMMYFUNCTION("""COMPUTED_VALUE"""),"")</f>
        <v/>
      </c>
      <c r="C126" s="31"/>
      <c r="D126" s="35"/>
      <c r="E126" s="28"/>
      <c r="F126" s="35"/>
      <c r="G126" s="31"/>
      <c r="H126" s="31"/>
      <c r="I126" s="31"/>
      <c r="J126" s="26"/>
      <c r="K126" s="26"/>
    </row>
    <row r="127" ht="12.75" customHeight="1">
      <c r="A127" s="37"/>
      <c r="B127" s="37" t="str">
        <f>IFERROR(__xludf.DUMMYFUNCTION("""COMPUTED_VALUE"""),"")</f>
        <v/>
      </c>
      <c r="C127" s="31"/>
      <c r="D127" s="35"/>
      <c r="E127" s="28"/>
      <c r="F127" s="35"/>
      <c r="G127" s="31"/>
      <c r="H127" s="31"/>
      <c r="I127" s="31"/>
      <c r="J127" s="26"/>
      <c r="K127" s="26"/>
    </row>
    <row r="128" ht="12.75" customHeight="1">
      <c r="A128" s="37"/>
      <c r="B128" s="37" t="str">
        <f>IFERROR(__xludf.DUMMYFUNCTION("""COMPUTED_VALUE"""),"")</f>
        <v/>
      </c>
      <c r="C128" s="31"/>
      <c r="D128" s="35"/>
      <c r="E128" s="28"/>
      <c r="F128" s="35"/>
      <c r="G128" s="31"/>
      <c r="H128" s="31"/>
      <c r="I128" s="31"/>
      <c r="J128" s="26"/>
      <c r="K128" s="26"/>
    </row>
    <row r="129" ht="12.75" customHeight="1">
      <c r="A129" s="37"/>
      <c r="B129" s="37" t="str">
        <f>IFERROR(__xludf.DUMMYFUNCTION("""COMPUTED_VALUE"""),"")</f>
        <v/>
      </c>
      <c r="C129" s="31"/>
      <c r="D129" s="35"/>
      <c r="E129" s="28"/>
      <c r="F129" s="35"/>
      <c r="G129" s="31"/>
      <c r="H129" s="31"/>
      <c r="I129" s="31"/>
      <c r="J129" s="26"/>
      <c r="K129" s="26"/>
    </row>
    <row r="130" ht="12.75" customHeight="1">
      <c r="A130" s="37"/>
      <c r="B130" s="37" t="str">
        <f>IFERROR(__xludf.DUMMYFUNCTION("""COMPUTED_VALUE"""),"")</f>
        <v/>
      </c>
      <c r="C130" s="31"/>
      <c r="D130" s="35"/>
      <c r="E130" s="28"/>
      <c r="F130" s="35"/>
      <c r="G130" s="31"/>
      <c r="H130" s="31"/>
      <c r="I130" s="31"/>
      <c r="J130" s="26"/>
      <c r="K130" s="26"/>
    </row>
    <row r="131" ht="12.75" customHeight="1">
      <c r="A131" s="37"/>
      <c r="B131" s="37" t="str">
        <f>IFERROR(__xludf.DUMMYFUNCTION("""COMPUTED_VALUE"""),"")</f>
        <v/>
      </c>
      <c r="C131" s="31"/>
      <c r="D131" s="35"/>
      <c r="E131" s="28"/>
      <c r="F131" s="35"/>
      <c r="G131" s="31"/>
      <c r="H131" s="31"/>
      <c r="I131" s="31"/>
      <c r="J131" s="26"/>
      <c r="K131" s="26"/>
    </row>
    <row r="132" ht="12.75" customHeight="1">
      <c r="A132" s="37"/>
      <c r="B132" s="37" t="str">
        <f>IFERROR(__xludf.DUMMYFUNCTION("""COMPUTED_VALUE"""),"")</f>
        <v/>
      </c>
      <c r="C132" s="31"/>
      <c r="D132" s="35"/>
      <c r="E132" s="28"/>
      <c r="F132" s="35"/>
      <c r="G132" s="31"/>
      <c r="H132" s="31"/>
      <c r="I132" s="31"/>
      <c r="J132" s="26"/>
      <c r="K132" s="26"/>
    </row>
    <row r="133" ht="12.75" customHeight="1">
      <c r="A133" s="37"/>
      <c r="B133" s="37" t="str">
        <f>IFERROR(__xludf.DUMMYFUNCTION("""COMPUTED_VALUE"""),"")</f>
        <v/>
      </c>
      <c r="C133" s="31"/>
      <c r="D133" s="35"/>
      <c r="E133" s="28"/>
      <c r="F133" s="35"/>
      <c r="G133" s="31"/>
      <c r="H133" s="31"/>
      <c r="I133" s="31"/>
      <c r="J133" s="26"/>
      <c r="K133" s="26"/>
    </row>
    <row r="134" ht="12.75" customHeight="1">
      <c r="A134" s="37"/>
      <c r="B134" s="37" t="str">
        <f>IFERROR(__xludf.DUMMYFUNCTION("""COMPUTED_VALUE"""),"")</f>
        <v/>
      </c>
      <c r="C134" s="31"/>
      <c r="D134" s="35"/>
      <c r="E134" s="28"/>
      <c r="F134" s="35"/>
      <c r="G134" s="31"/>
      <c r="H134" s="31"/>
      <c r="I134" s="31"/>
      <c r="J134" s="26"/>
      <c r="K134" s="26"/>
    </row>
    <row r="135" ht="12.75" customHeight="1">
      <c r="A135" s="37"/>
      <c r="B135" s="37" t="str">
        <f>IFERROR(__xludf.DUMMYFUNCTION("""COMPUTED_VALUE"""),"")</f>
        <v/>
      </c>
      <c r="C135" s="31"/>
      <c r="D135" s="35"/>
      <c r="E135" s="28"/>
      <c r="F135" s="35"/>
      <c r="G135" s="31"/>
      <c r="H135" s="31"/>
      <c r="I135" s="31"/>
      <c r="J135" s="26"/>
      <c r="K135" s="26"/>
    </row>
    <row r="136" ht="12.75" customHeight="1">
      <c r="A136" s="37"/>
      <c r="B136" s="37" t="str">
        <f>IFERROR(__xludf.DUMMYFUNCTION("""COMPUTED_VALUE"""),"")</f>
        <v/>
      </c>
      <c r="C136" s="31"/>
      <c r="D136" s="35"/>
      <c r="E136" s="28"/>
      <c r="F136" s="35"/>
      <c r="G136" s="31"/>
      <c r="H136" s="31"/>
      <c r="I136" s="31"/>
      <c r="J136" s="26"/>
      <c r="K136" s="26"/>
    </row>
    <row r="137" ht="12.75" customHeight="1">
      <c r="A137" s="37"/>
      <c r="B137" s="37" t="str">
        <f>IFERROR(__xludf.DUMMYFUNCTION("""COMPUTED_VALUE"""),"")</f>
        <v/>
      </c>
      <c r="C137" s="31"/>
      <c r="D137" s="35"/>
      <c r="E137" s="28"/>
      <c r="F137" s="35"/>
      <c r="G137" s="31"/>
      <c r="H137" s="31"/>
      <c r="I137" s="31"/>
      <c r="J137" s="26"/>
      <c r="K137" s="26"/>
    </row>
    <row r="138" ht="12.75" customHeight="1">
      <c r="A138" s="37"/>
      <c r="B138" s="37" t="str">
        <f>IFERROR(__xludf.DUMMYFUNCTION("""COMPUTED_VALUE"""),"")</f>
        <v/>
      </c>
      <c r="C138" s="31"/>
      <c r="D138" s="35"/>
      <c r="E138" s="28"/>
      <c r="F138" s="35"/>
      <c r="G138" s="31"/>
      <c r="H138" s="31"/>
      <c r="I138" s="31"/>
      <c r="J138" s="26"/>
      <c r="K138" s="26"/>
    </row>
    <row r="139" ht="12.75" customHeight="1">
      <c r="A139" s="37"/>
      <c r="B139" s="37" t="str">
        <f>IFERROR(__xludf.DUMMYFUNCTION("""COMPUTED_VALUE"""),"")</f>
        <v/>
      </c>
      <c r="C139" s="31"/>
      <c r="D139" s="35"/>
      <c r="E139" s="28"/>
      <c r="F139" s="35"/>
      <c r="G139" s="31"/>
      <c r="H139" s="31"/>
      <c r="I139" s="31"/>
      <c r="J139" s="26"/>
      <c r="K139" s="26"/>
    </row>
    <row r="140" ht="12.75" customHeight="1">
      <c r="A140" s="37"/>
      <c r="B140" s="37" t="str">
        <f>IFERROR(__xludf.DUMMYFUNCTION("""COMPUTED_VALUE"""),"")</f>
        <v/>
      </c>
      <c r="C140" s="31"/>
      <c r="D140" s="35"/>
      <c r="E140" s="28"/>
      <c r="F140" s="35"/>
      <c r="G140" s="31"/>
      <c r="H140" s="31"/>
      <c r="I140" s="31"/>
      <c r="J140" s="26"/>
      <c r="K140" s="26"/>
    </row>
    <row r="141" ht="12.75" customHeight="1">
      <c r="A141" s="37"/>
      <c r="B141" s="37" t="str">
        <f>IFERROR(__xludf.DUMMYFUNCTION("""COMPUTED_VALUE"""),"")</f>
        <v/>
      </c>
      <c r="C141" s="31"/>
      <c r="D141" s="35"/>
      <c r="E141" s="28"/>
      <c r="F141" s="35"/>
      <c r="G141" s="31"/>
      <c r="H141" s="31"/>
      <c r="I141" s="31"/>
      <c r="J141" s="26"/>
      <c r="K141" s="26"/>
    </row>
    <row r="142" ht="12.75" customHeight="1">
      <c r="A142" s="37"/>
      <c r="B142" s="37" t="str">
        <f>IFERROR(__xludf.DUMMYFUNCTION("""COMPUTED_VALUE"""),"")</f>
        <v/>
      </c>
      <c r="C142" s="31"/>
      <c r="D142" s="35"/>
      <c r="E142" s="28"/>
      <c r="F142" s="35"/>
      <c r="G142" s="31"/>
      <c r="H142" s="31"/>
      <c r="I142" s="31"/>
      <c r="J142" s="26"/>
      <c r="K142" s="26"/>
    </row>
    <row r="143" ht="12.75" customHeight="1">
      <c r="A143" s="37"/>
      <c r="B143" s="37" t="str">
        <f>IFERROR(__xludf.DUMMYFUNCTION("""COMPUTED_VALUE"""),"")</f>
        <v/>
      </c>
      <c r="C143" s="31"/>
      <c r="D143" s="35"/>
      <c r="E143" s="28"/>
      <c r="F143" s="35"/>
      <c r="G143" s="31"/>
      <c r="H143" s="31"/>
      <c r="I143" s="31"/>
      <c r="J143" s="26"/>
      <c r="K143" s="26"/>
    </row>
    <row r="144" ht="12.75" customHeight="1">
      <c r="A144" s="37"/>
      <c r="B144" s="37" t="str">
        <f>IFERROR(__xludf.DUMMYFUNCTION("""COMPUTED_VALUE"""),"")</f>
        <v/>
      </c>
      <c r="C144" s="31"/>
      <c r="D144" s="35"/>
      <c r="E144" s="28"/>
      <c r="F144" s="35"/>
      <c r="G144" s="31"/>
      <c r="H144" s="31"/>
      <c r="I144" s="31"/>
      <c r="J144" s="26"/>
      <c r="K144" s="26"/>
    </row>
    <row r="145" ht="12.75" customHeight="1">
      <c r="A145" s="37"/>
      <c r="B145" s="37" t="str">
        <f>IFERROR(__xludf.DUMMYFUNCTION("""COMPUTED_VALUE"""),"")</f>
        <v/>
      </c>
      <c r="C145" s="31"/>
      <c r="D145" s="35"/>
      <c r="E145" s="28"/>
      <c r="F145" s="35"/>
      <c r="G145" s="31"/>
      <c r="H145" s="31"/>
      <c r="I145" s="31"/>
      <c r="J145" s="26"/>
      <c r="K145" s="26"/>
    </row>
    <row r="146" ht="12.75" customHeight="1">
      <c r="A146" s="37"/>
      <c r="B146" s="37" t="str">
        <f>IFERROR(__xludf.DUMMYFUNCTION("""COMPUTED_VALUE"""),"")</f>
        <v/>
      </c>
      <c r="C146" s="31"/>
      <c r="D146" s="35"/>
      <c r="E146" s="28"/>
      <c r="F146" s="35"/>
      <c r="G146" s="31"/>
      <c r="H146" s="31"/>
      <c r="I146" s="31"/>
      <c r="J146" s="26"/>
      <c r="K146" s="26"/>
    </row>
    <row r="147" ht="12.75" customHeight="1">
      <c r="A147" s="37"/>
      <c r="B147" s="37" t="str">
        <f>IFERROR(__xludf.DUMMYFUNCTION("""COMPUTED_VALUE"""),"")</f>
        <v/>
      </c>
      <c r="C147" s="31"/>
      <c r="D147" s="35"/>
      <c r="E147" s="28"/>
      <c r="F147" s="35"/>
      <c r="G147" s="31"/>
      <c r="H147" s="31"/>
      <c r="I147" s="31"/>
      <c r="J147" s="26"/>
      <c r="K147" s="26"/>
    </row>
    <row r="148" ht="12.75" customHeight="1">
      <c r="A148" s="37"/>
      <c r="B148" s="37" t="str">
        <f>IFERROR(__xludf.DUMMYFUNCTION("""COMPUTED_VALUE"""),"")</f>
        <v/>
      </c>
      <c r="C148" s="31"/>
      <c r="D148" s="35"/>
      <c r="E148" s="28"/>
      <c r="F148" s="35"/>
      <c r="G148" s="31"/>
      <c r="H148" s="31"/>
      <c r="I148" s="31"/>
      <c r="J148" s="26"/>
      <c r="K148" s="26"/>
    </row>
    <row r="149" ht="12.75" customHeight="1">
      <c r="A149" s="37"/>
      <c r="B149" s="37" t="str">
        <f>IFERROR(__xludf.DUMMYFUNCTION("""COMPUTED_VALUE"""),"")</f>
        <v/>
      </c>
      <c r="C149" s="31"/>
      <c r="D149" s="35"/>
      <c r="E149" s="28"/>
      <c r="F149" s="35"/>
      <c r="G149" s="31"/>
      <c r="H149" s="31"/>
      <c r="I149" s="31"/>
      <c r="J149" s="26"/>
      <c r="K149" s="26"/>
    </row>
    <row r="150" ht="12.75" customHeight="1">
      <c r="A150" s="37"/>
      <c r="B150" s="37" t="str">
        <f>IFERROR(__xludf.DUMMYFUNCTION("""COMPUTED_VALUE"""),"")</f>
        <v/>
      </c>
      <c r="C150" s="31"/>
      <c r="D150" s="35"/>
      <c r="E150" s="28"/>
      <c r="F150" s="35"/>
      <c r="G150" s="31"/>
      <c r="H150" s="31"/>
      <c r="I150" s="31"/>
      <c r="J150" s="26"/>
      <c r="K150" s="26"/>
    </row>
    <row r="151" ht="12.75" customHeight="1">
      <c r="A151" s="37"/>
      <c r="B151" s="37" t="str">
        <f>IFERROR(__xludf.DUMMYFUNCTION("""COMPUTED_VALUE"""),"")</f>
        <v/>
      </c>
      <c r="C151" s="31"/>
      <c r="D151" s="35"/>
      <c r="E151" s="28"/>
      <c r="F151" s="35"/>
      <c r="G151" s="31"/>
      <c r="H151" s="31"/>
      <c r="I151" s="31"/>
      <c r="J151" s="26"/>
      <c r="K151" s="26"/>
    </row>
    <row r="152" ht="12.75" customHeight="1">
      <c r="A152" s="37"/>
      <c r="B152" s="37" t="str">
        <f>IFERROR(__xludf.DUMMYFUNCTION("""COMPUTED_VALUE"""),"")</f>
        <v/>
      </c>
      <c r="C152" s="31"/>
      <c r="D152" s="35"/>
      <c r="E152" s="28"/>
      <c r="F152" s="35"/>
      <c r="G152" s="31"/>
      <c r="H152" s="31"/>
      <c r="I152" s="31"/>
      <c r="J152" s="26"/>
      <c r="K152" s="26"/>
    </row>
    <row r="153" ht="12.75" customHeight="1">
      <c r="A153" s="37"/>
      <c r="B153" s="37" t="str">
        <f>IFERROR(__xludf.DUMMYFUNCTION("""COMPUTED_VALUE"""),"")</f>
        <v/>
      </c>
      <c r="C153" s="31"/>
      <c r="D153" s="35"/>
      <c r="E153" s="28"/>
      <c r="F153" s="35"/>
      <c r="G153" s="31"/>
      <c r="H153" s="31"/>
      <c r="I153" s="31"/>
      <c r="J153" s="26"/>
      <c r="K153" s="26"/>
    </row>
    <row r="154" ht="12.75" customHeight="1">
      <c r="A154" s="37"/>
      <c r="B154" s="37" t="str">
        <f>IFERROR(__xludf.DUMMYFUNCTION("""COMPUTED_VALUE"""),"")</f>
        <v/>
      </c>
      <c r="C154" s="31"/>
      <c r="D154" s="35"/>
      <c r="E154" s="28"/>
      <c r="F154" s="35"/>
      <c r="G154" s="31"/>
      <c r="H154" s="31"/>
      <c r="I154" s="31"/>
      <c r="J154" s="26"/>
      <c r="K154" s="26"/>
    </row>
    <row r="155" ht="12.75" customHeight="1">
      <c r="A155" s="37"/>
      <c r="B155" s="37" t="str">
        <f>IFERROR(__xludf.DUMMYFUNCTION("""COMPUTED_VALUE"""),"")</f>
        <v/>
      </c>
      <c r="C155" s="31"/>
      <c r="D155" s="35"/>
      <c r="E155" s="28"/>
      <c r="F155" s="35"/>
      <c r="G155" s="31"/>
      <c r="H155" s="31"/>
      <c r="I155" s="31"/>
      <c r="J155" s="26"/>
      <c r="K155" s="26"/>
    </row>
    <row r="156" ht="12.75" customHeight="1">
      <c r="A156" s="37"/>
      <c r="B156" s="37" t="str">
        <f>IFERROR(__xludf.DUMMYFUNCTION("""COMPUTED_VALUE"""),"")</f>
        <v/>
      </c>
      <c r="C156" s="31"/>
      <c r="D156" s="35"/>
      <c r="E156" s="28"/>
      <c r="F156" s="35"/>
      <c r="G156" s="31"/>
      <c r="H156" s="31"/>
      <c r="I156" s="31"/>
      <c r="J156" s="26"/>
      <c r="K156" s="26"/>
    </row>
    <row r="157" ht="12.75" customHeight="1">
      <c r="A157" s="37"/>
      <c r="B157" s="37" t="str">
        <f>IFERROR(__xludf.DUMMYFUNCTION("""COMPUTED_VALUE"""),"")</f>
        <v/>
      </c>
      <c r="C157" s="31"/>
      <c r="D157" s="35"/>
      <c r="E157" s="28"/>
      <c r="F157" s="35"/>
      <c r="G157" s="31"/>
      <c r="H157" s="31"/>
      <c r="I157" s="31"/>
      <c r="J157" s="26"/>
      <c r="K157" s="26"/>
    </row>
    <row r="158" ht="12.75" customHeight="1">
      <c r="A158" s="37"/>
      <c r="B158" s="37" t="str">
        <f>IFERROR(__xludf.DUMMYFUNCTION("""COMPUTED_VALUE"""),"")</f>
        <v/>
      </c>
      <c r="C158" s="31"/>
      <c r="D158" s="35"/>
      <c r="E158" s="28"/>
      <c r="F158" s="35"/>
      <c r="G158" s="31"/>
      <c r="H158" s="31"/>
      <c r="I158" s="31"/>
      <c r="J158" s="26"/>
      <c r="K158" s="26"/>
    </row>
    <row r="159" ht="12.75" customHeight="1">
      <c r="A159" s="37"/>
      <c r="B159" s="37" t="str">
        <f>IFERROR(__xludf.DUMMYFUNCTION("""COMPUTED_VALUE"""),"")</f>
        <v/>
      </c>
      <c r="C159" s="31"/>
      <c r="D159" s="35"/>
      <c r="E159" s="28"/>
      <c r="F159" s="35"/>
      <c r="G159" s="31"/>
      <c r="H159" s="31"/>
      <c r="I159" s="31"/>
      <c r="J159" s="26"/>
      <c r="K159" s="26"/>
    </row>
    <row r="160" ht="12.75" customHeight="1">
      <c r="A160" s="37"/>
      <c r="B160" s="37" t="str">
        <f>IFERROR(__xludf.DUMMYFUNCTION("""COMPUTED_VALUE"""),"")</f>
        <v/>
      </c>
      <c r="C160" s="31"/>
      <c r="D160" s="35"/>
      <c r="E160" s="28"/>
      <c r="F160" s="35"/>
      <c r="G160" s="31"/>
      <c r="H160" s="31"/>
      <c r="I160" s="31"/>
      <c r="J160" s="26"/>
      <c r="K160" s="26"/>
    </row>
    <row r="161" ht="12.75" customHeight="1">
      <c r="A161" s="37"/>
      <c r="B161" s="37" t="str">
        <f>IFERROR(__xludf.DUMMYFUNCTION("""COMPUTED_VALUE"""),"")</f>
        <v/>
      </c>
      <c r="C161" s="31"/>
      <c r="D161" s="35"/>
      <c r="E161" s="28"/>
      <c r="F161" s="35"/>
      <c r="G161" s="31"/>
      <c r="H161" s="31"/>
      <c r="I161" s="31"/>
      <c r="J161" s="26"/>
      <c r="K161" s="26"/>
    </row>
    <row r="162" ht="12.75" customHeight="1">
      <c r="A162" s="37"/>
      <c r="B162" s="37" t="str">
        <f>IFERROR(__xludf.DUMMYFUNCTION("""COMPUTED_VALUE"""),"")</f>
        <v/>
      </c>
      <c r="C162" s="31"/>
      <c r="D162" s="35"/>
      <c r="E162" s="28"/>
      <c r="F162" s="35"/>
      <c r="G162" s="31"/>
      <c r="H162" s="31"/>
      <c r="I162" s="31"/>
      <c r="J162" s="26"/>
      <c r="K162" s="26"/>
    </row>
    <row r="163" ht="12.75" customHeight="1">
      <c r="A163" s="37"/>
      <c r="B163" s="37" t="str">
        <f>IFERROR(__xludf.DUMMYFUNCTION("""COMPUTED_VALUE"""),"")</f>
        <v/>
      </c>
      <c r="C163" s="31"/>
      <c r="D163" s="35"/>
      <c r="E163" s="28"/>
      <c r="F163" s="35"/>
      <c r="G163" s="31"/>
      <c r="H163" s="31"/>
      <c r="I163" s="31"/>
      <c r="J163" s="26"/>
      <c r="K163" s="26"/>
    </row>
    <row r="164" ht="12.75" customHeight="1">
      <c r="A164" s="37"/>
      <c r="B164" s="37" t="str">
        <f>IFERROR(__xludf.DUMMYFUNCTION("""COMPUTED_VALUE"""),"")</f>
        <v/>
      </c>
      <c r="C164" s="31"/>
      <c r="D164" s="35"/>
      <c r="E164" s="28"/>
      <c r="F164" s="35"/>
      <c r="G164" s="31"/>
      <c r="H164" s="31"/>
      <c r="I164" s="31"/>
      <c r="J164" s="26"/>
      <c r="K164" s="26"/>
    </row>
    <row r="165" ht="12.75" customHeight="1">
      <c r="A165" s="37"/>
      <c r="B165" s="37" t="str">
        <f>IFERROR(__xludf.DUMMYFUNCTION("""COMPUTED_VALUE"""),"")</f>
        <v/>
      </c>
      <c r="C165" s="31"/>
      <c r="D165" s="35"/>
      <c r="E165" s="28"/>
      <c r="F165" s="35"/>
      <c r="G165" s="31"/>
      <c r="H165" s="31"/>
      <c r="I165" s="31"/>
      <c r="J165" s="26"/>
      <c r="K165" s="26"/>
    </row>
    <row r="166" ht="12.75" customHeight="1">
      <c r="A166" s="37"/>
      <c r="B166" s="37" t="str">
        <f>IFERROR(__xludf.DUMMYFUNCTION("""COMPUTED_VALUE"""),"")</f>
        <v/>
      </c>
      <c r="C166" s="31"/>
      <c r="D166" s="35"/>
      <c r="E166" s="28"/>
      <c r="F166" s="35"/>
      <c r="G166" s="31"/>
      <c r="H166" s="31"/>
      <c r="I166" s="31"/>
      <c r="J166" s="26"/>
      <c r="K166" s="26"/>
    </row>
    <row r="167" ht="12.75" customHeight="1">
      <c r="A167" s="37"/>
      <c r="B167" s="37" t="str">
        <f>IFERROR(__xludf.DUMMYFUNCTION("""COMPUTED_VALUE"""),"")</f>
        <v/>
      </c>
      <c r="C167" s="31"/>
      <c r="D167" s="35"/>
      <c r="E167" s="28"/>
      <c r="F167" s="35"/>
      <c r="G167" s="31"/>
      <c r="H167" s="31"/>
      <c r="I167" s="31"/>
      <c r="J167" s="26"/>
      <c r="K167" s="26"/>
    </row>
    <row r="168" ht="12.75" customHeight="1">
      <c r="A168" s="37"/>
      <c r="B168" s="37" t="str">
        <f>IFERROR(__xludf.DUMMYFUNCTION("""COMPUTED_VALUE"""),"")</f>
        <v/>
      </c>
      <c r="C168" s="31"/>
      <c r="D168" s="35"/>
      <c r="E168" s="28"/>
      <c r="F168" s="35"/>
      <c r="G168" s="31"/>
      <c r="H168" s="31"/>
      <c r="I168" s="31"/>
      <c r="J168" s="26"/>
      <c r="K168" s="26"/>
    </row>
    <row r="169" ht="12.75" customHeight="1">
      <c r="A169" s="37"/>
      <c r="B169" s="37" t="str">
        <f>IFERROR(__xludf.DUMMYFUNCTION("""COMPUTED_VALUE"""),"")</f>
        <v/>
      </c>
      <c r="C169" s="31"/>
      <c r="D169" s="35"/>
      <c r="E169" s="28"/>
      <c r="F169" s="35"/>
      <c r="G169" s="31"/>
      <c r="H169" s="31"/>
      <c r="I169" s="31"/>
      <c r="J169" s="26"/>
      <c r="K169" s="26"/>
    </row>
    <row r="170" ht="12.75" customHeight="1">
      <c r="A170" s="37"/>
      <c r="B170" s="37" t="str">
        <f>IFERROR(__xludf.DUMMYFUNCTION("""COMPUTED_VALUE"""),"")</f>
        <v/>
      </c>
      <c r="C170" s="31"/>
      <c r="D170" s="35"/>
      <c r="E170" s="28"/>
      <c r="F170" s="35"/>
      <c r="G170" s="31"/>
      <c r="H170" s="31"/>
      <c r="I170" s="31"/>
      <c r="J170" s="26"/>
      <c r="K170" s="26"/>
    </row>
    <row r="171" ht="12.75" customHeight="1">
      <c r="A171" s="37"/>
      <c r="B171" s="37" t="str">
        <f>IFERROR(__xludf.DUMMYFUNCTION("""COMPUTED_VALUE"""),"")</f>
        <v/>
      </c>
      <c r="C171" s="31"/>
      <c r="D171" s="35"/>
      <c r="E171" s="28"/>
      <c r="F171" s="35"/>
      <c r="G171" s="31"/>
      <c r="H171" s="31"/>
      <c r="I171" s="31"/>
      <c r="J171" s="26"/>
      <c r="K171" s="26"/>
    </row>
    <row r="172" ht="12.75" customHeight="1">
      <c r="A172" s="37"/>
      <c r="B172" s="37" t="str">
        <f>IFERROR(__xludf.DUMMYFUNCTION("""COMPUTED_VALUE"""),"")</f>
        <v/>
      </c>
      <c r="C172" s="31"/>
      <c r="D172" s="35"/>
      <c r="E172" s="28"/>
      <c r="F172" s="35"/>
      <c r="G172" s="31"/>
      <c r="H172" s="31"/>
      <c r="I172" s="31"/>
      <c r="J172" s="26"/>
      <c r="K172" s="26"/>
    </row>
    <row r="173" ht="12.75" customHeight="1">
      <c r="A173" s="37"/>
      <c r="B173" s="37" t="str">
        <f>IFERROR(__xludf.DUMMYFUNCTION("""COMPUTED_VALUE"""),"")</f>
        <v/>
      </c>
      <c r="C173" s="31"/>
      <c r="D173" s="35"/>
      <c r="E173" s="28"/>
      <c r="F173" s="35"/>
      <c r="G173" s="31"/>
      <c r="H173" s="31"/>
      <c r="I173" s="31"/>
      <c r="J173" s="26"/>
      <c r="K173" s="26"/>
    </row>
    <row r="174" ht="12.75" customHeight="1">
      <c r="A174" s="37"/>
      <c r="B174" s="37" t="str">
        <f>IFERROR(__xludf.DUMMYFUNCTION("""COMPUTED_VALUE"""),"")</f>
        <v/>
      </c>
      <c r="C174" s="31"/>
      <c r="D174" s="35"/>
      <c r="E174" s="28"/>
      <c r="F174" s="35"/>
      <c r="G174" s="31"/>
      <c r="H174" s="31"/>
      <c r="I174" s="31"/>
      <c r="J174" s="26"/>
      <c r="K174" s="26"/>
    </row>
    <row r="175" ht="12.75" customHeight="1">
      <c r="A175" s="37"/>
      <c r="B175" s="37" t="str">
        <f>IFERROR(__xludf.DUMMYFUNCTION("""COMPUTED_VALUE"""),"")</f>
        <v/>
      </c>
      <c r="C175" s="31"/>
      <c r="D175" s="35"/>
      <c r="E175" s="28"/>
      <c r="F175" s="35"/>
      <c r="G175" s="31"/>
      <c r="H175" s="31"/>
      <c r="I175" s="31"/>
      <c r="J175" s="26"/>
      <c r="K175" s="26"/>
    </row>
    <row r="176" ht="12.75" customHeight="1">
      <c r="A176" s="37"/>
      <c r="B176" s="37" t="str">
        <f>IFERROR(__xludf.DUMMYFUNCTION("""COMPUTED_VALUE"""),"")</f>
        <v/>
      </c>
      <c r="C176" s="31"/>
      <c r="D176" s="35"/>
      <c r="E176" s="28"/>
      <c r="F176" s="35"/>
      <c r="G176" s="31"/>
      <c r="H176" s="31"/>
      <c r="I176" s="31"/>
      <c r="J176" s="26"/>
      <c r="K176" s="26"/>
    </row>
    <row r="177" ht="12.75" customHeight="1">
      <c r="A177" s="37"/>
      <c r="B177" s="37" t="str">
        <f>IFERROR(__xludf.DUMMYFUNCTION("""COMPUTED_VALUE"""),"")</f>
        <v/>
      </c>
      <c r="C177" s="31"/>
      <c r="D177" s="35"/>
      <c r="E177" s="28"/>
      <c r="F177" s="35"/>
      <c r="G177" s="31"/>
      <c r="H177" s="31"/>
      <c r="I177" s="31"/>
      <c r="J177" s="26"/>
      <c r="K177" s="26"/>
    </row>
    <row r="178" ht="12.75" customHeight="1">
      <c r="A178" s="37"/>
      <c r="B178" s="37" t="str">
        <f>IFERROR(__xludf.DUMMYFUNCTION("""COMPUTED_VALUE"""),"")</f>
        <v/>
      </c>
      <c r="C178" s="31"/>
      <c r="D178" s="35"/>
      <c r="E178" s="28"/>
      <c r="F178" s="35"/>
      <c r="G178" s="31"/>
      <c r="H178" s="31"/>
      <c r="I178" s="31"/>
      <c r="J178" s="26"/>
      <c r="K178" s="26"/>
    </row>
    <row r="179" ht="12.75" customHeight="1">
      <c r="A179" s="37"/>
      <c r="B179" s="37" t="str">
        <f>IFERROR(__xludf.DUMMYFUNCTION("""COMPUTED_VALUE"""),"")</f>
        <v/>
      </c>
      <c r="C179" s="31"/>
      <c r="D179" s="35"/>
      <c r="E179" s="28"/>
      <c r="F179" s="35"/>
      <c r="G179" s="31"/>
      <c r="H179" s="31"/>
      <c r="I179" s="31"/>
      <c r="J179" s="26"/>
      <c r="K179" s="26"/>
    </row>
    <row r="180" ht="12.75" customHeight="1">
      <c r="A180" s="37"/>
      <c r="B180" s="37" t="str">
        <f>IFERROR(__xludf.DUMMYFUNCTION("""COMPUTED_VALUE"""),"")</f>
        <v/>
      </c>
      <c r="C180" s="31"/>
      <c r="D180" s="35"/>
      <c r="E180" s="28"/>
      <c r="F180" s="35"/>
      <c r="G180" s="31"/>
      <c r="H180" s="31"/>
      <c r="I180" s="31"/>
      <c r="J180" s="26"/>
      <c r="K180" s="26"/>
    </row>
    <row r="181" ht="12.75" customHeight="1">
      <c r="A181" s="37"/>
      <c r="B181" s="37" t="str">
        <f>IFERROR(__xludf.DUMMYFUNCTION("""COMPUTED_VALUE"""),"")</f>
        <v/>
      </c>
      <c r="C181" s="31"/>
      <c r="D181" s="35"/>
      <c r="E181" s="28"/>
      <c r="F181" s="35"/>
      <c r="G181" s="31"/>
      <c r="H181" s="31"/>
      <c r="I181" s="31"/>
      <c r="J181" s="26"/>
      <c r="K181" s="26"/>
    </row>
    <row r="182" ht="12.75" customHeight="1">
      <c r="A182" s="37"/>
      <c r="B182" s="37" t="str">
        <f>IFERROR(__xludf.DUMMYFUNCTION("""COMPUTED_VALUE"""),"")</f>
        <v/>
      </c>
      <c r="C182" s="31"/>
      <c r="D182" s="35"/>
      <c r="E182" s="28"/>
      <c r="F182" s="35"/>
      <c r="G182" s="31"/>
      <c r="H182" s="31"/>
      <c r="I182" s="31"/>
      <c r="J182" s="26"/>
      <c r="K182" s="26"/>
    </row>
    <row r="183" ht="12.75" customHeight="1">
      <c r="A183" s="37"/>
      <c r="B183" s="37" t="str">
        <f>IFERROR(__xludf.DUMMYFUNCTION("""COMPUTED_VALUE"""),"")</f>
        <v/>
      </c>
      <c r="C183" s="31"/>
      <c r="D183" s="35"/>
      <c r="E183" s="28"/>
      <c r="F183" s="35"/>
      <c r="G183" s="31"/>
      <c r="H183" s="31"/>
      <c r="I183" s="31"/>
      <c r="J183" s="26"/>
      <c r="K183" s="26"/>
    </row>
    <row r="184" ht="12.75" customHeight="1">
      <c r="A184" s="37"/>
      <c r="B184" s="37" t="str">
        <f>IFERROR(__xludf.DUMMYFUNCTION("""COMPUTED_VALUE"""),"")</f>
        <v/>
      </c>
      <c r="C184" s="31"/>
      <c r="D184" s="35"/>
      <c r="E184" s="28"/>
      <c r="F184" s="35"/>
      <c r="G184" s="31"/>
      <c r="H184" s="31"/>
      <c r="I184" s="31"/>
      <c r="J184" s="26"/>
      <c r="K184" s="26"/>
    </row>
    <row r="185" ht="12.75" customHeight="1">
      <c r="A185" s="37"/>
      <c r="B185" s="37" t="str">
        <f>IFERROR(__xludf.DUMMYFUNCTION("""COMPUTED_VALUE"""),"")</f>
        <v/>
      </c>
      <c r="C185" s="31"/>
      <c r="D185" s="35"/>
      <c r="E185" s="28"/>
      <c r="F185" s="35"/>
      <c r="G185" s="31"/>
      <c r="H185" s="31"/>
      <c r="I185" s="31"/>
      <c r="J185" s="26"/>
      <c r="K185" s="26"/>
    </row>
    <row r="186" ht="12.75" customHeight="1">
      <c r="A186" s="37"/>
      <c r="B186" s="37" t="str">
        <f>IFERROR(__xludf.DUMMYFUNCTION("""COMPUTED_VALUE"""),"")</f>
        <v/>
      </c>
      <c r="C186" s="31"/>
      <c r="D186" s="35"/>
      <c r="E186" s="28"/>
      <c r="F186" s="35"/>
      <c r="G186" s="31"/>
      <c r="H186" s="31"/>
      <c r="I186" s="31"/>
      <c r="J186" s="26"/>
      <c r="K186" s="26"/>
    </row>
    <row r="187" ht="12.75" customHeight="1">
      <c r="A187" s="37"/>
      <c r="B187" s="37" t="str">
        <f>IFERROR(__xludf.DUMMYFUNCTION("""COMPUTED_VALUE"""),"")</f>
        <v/>
      </c>
      <c r="C187" s="31"/>
      <c r="D187" s="35"/>
      <c r="E187" s="28"/>
      <c r="F187" s="35"/>
      <c r="G187" s="31"/>
      <c r="H187" s="31"/>
      <c r="I187" s="31"/>
      <c r="J187" s="26"/>
      <c r="K187" s="26"/>
    </row>
    <row r="188" ht="12.75" customHeight="1">
      <c r="A188" s="37"/>
      <c r="B188" s="37" t="str">
        <f>IFERROR(__xludf.DUMMYFUNCTION("""COMPUTED_VALUE"""),"")</f>
        <v/>
      </c>
      <c r="C188" s="31"/>
      <c r="D188" s="35"/>
      <c r="E188" s="28"/>
      <c r="F188" s="35"/>
      <c r="G188" s="31"/>
      <c r="H188" s="31"/>
      <c r="I188" s="31"/>
      <c r="J188" s="26"/>
      <c r="K188" s="26"/>
    </row>
    <row r="189" ht="12.75" customHeight="1">
      <c r="A189" s="37"/>
      <c r="B189" s="37" t="str">
        <f>IFERROR(__xludf.DUMMYFUNCTION("""COMPUTED_VALUE"""),"")</f>
        <v/>
      </c>
      <c r="C189" s="31"/>
      <c r="D189" s="35"/>
      <c r="E189" s="28"/>
      <c r="F189" s="35"/>
      <c r="G189" s="31"/>
      <c r="H189" s="31"/>
      <c r="I189" s="31"/>
      <c r="J189" s="26"/>
      <c r="K189" s="26"/>
    </row>
    <row r="190" ht="12.75" customHeight="1">
      <c r="A190" s="37"/>
      <c r="B190" s="37" t="str">
        <f>IFERROR(__xludf.DUMMYFUNCTION("""COMPUTED_VALUE"""),"")</f>
        <v/>
      </c>
      <c r="C190" s="31"/>
      <c r="D190" s="35"/>
      <c r="E190" s="28"/>
      <c r="F190" s="35"/>
      <c r="G190" s="31"/>
      <c r="H190" s="31"/>
      <c r="I190" s="31"/>
      <c r="J190" s="26"/>
      <c r="K190" s="26"/>
    </row>
    <row r="191" ht="12.75" customHeight="1">
      <c r="A191" s="37"/>
      <c r="B191" s="37" t="str">
        <f>IFERROR(__xludf.DUMMYFUNCTION("""COMPUTED_VALUE"""),"")</f>
        <v/>
      </c>
      <c r="C191" s="31"/>
      <c r="D191" s="35"/>
      <c r="E191" s="28"/>
      <c r="F191" s="35"/>
      <c r="G191" s="31"/>
      <c r="H191" s="31"/>
      <c r="I191" s="31"/>
      <c r="J191" s="26"/>
      <c r="K191" s="26"/>
    </row>
    <row r="192" ht="12.75" customHeight="1">
      <c r="A192" s="37"/>
      <c r="B192" s="37" t="str">
        <f>IFERROR(__xludf.DUMMYFUNCTION("""COMPUTED_VALUE"""),"")</f>
        <v/>
      </c>
      <c r="C192" s="31"/>
      <c r="D192" s="35"/>
      <c r="E192" s="28"/>
      <c r="F192" s="35"/>
      <c r="G192" s="31"/>
      <c r="H192" s="31"/>
      <c r="I192" s="31"/>
      <c r="J192" s="26"/>
      <c r="K192" s="26"/>
    </row>
    <row r="193" ht="12.75" customHeight="1">
      <c r="A193" s="37"/>
      <c r="B193" s="37" t="str">
        <f>IFERROR(__xludf.DUMMYFUNCTION("""COMPUTED_VALUE"""),"")</f>
        <v/>
      </c>
      <c r="C193" s="31"/>
      <c r="D193" s="35"/>
      <c r="E193" s="28"/>
      <c r="F193" s="35"/>
      <c r="G193" s="31"/>
      <c r="H193" s="31"/>
      <c r="I193" s="31"/>
      <c r="J193" s="26"/>
      <c r="K193" s="26"/>
    </row>
    <row r="194" ht="12.75" customHeight="1">
      <c r="A194" s="37"/>
      <c r="B194" s="37" t="str">
        <f>IFERROR(__xludf.DUMMYFUNCTION("""COMPUTED_VALUE"""),"")</f>
        <v/>
      </c>
      <c r="C194" s="31"/>
      <c r="D194" s="35"/>
      <c r="E194" s="28"/>
      <c r="F194" s="35"/>
      <c r="G194" s="31"/>
      <c r="H194" s="31"/>
      <c r="I194" s="31"/>
      <c r="J194" s="26"/>
      <c r="K194" s="26"/>
    </row>
    <row r="195" ht="12.75" customHeight="1">
      <c r="A195" s="37"/>
      <c r="B195" s="37" t="str">
        <f>IFERROR(__xludf.DUMMYFUNCTION("""COMPUTED_VALUE"""),"")</f>
        <v/>
      </c>
      <c r="C195" s="31"/>
      <c r="D195" s="35"/>
      <c r="E195" s="28"/>
      <c r="F195" s="35"/>
      <c r="G195" s="31"/>
      <c r="H195" s="31"/>
      <c r="I195" s="31"/>
      <c r="J195" s="26"/>
      <c r="K195" s="26"/>
    </row>
    <row r="196" ht="12.75" customHeight="1">
      <c r="A196" s="37"/>
      <c r="B196" s="37" t="str">
        <f>IFERROR(__xludf.DUMMYFUNCTION("""COMPUTED_VALUE"""),"")</f>
        <v/>
      </c>
      <c r="C196" s="31"/>
      <c r="D196" s="35"/>
      <c r="E196" s="28"/>
      <c r="F196" s="35"/>
      <c r="G196" s="31"/>
      <c r="H196" s="31"/>
      <c r="I196" s="31"/>
      <c r="J196" s="26"/>
      <c r="K196" s="26"/>
    </row>
    <row r="197" ht="12.75" customHeight="1">
      <c r="A197" s="37"/>
      <c r="B197" s="37" t="str">
        <f>IFERROR(__xludf.DUMMYFUNCTION("""COMPUTED_VALUE"""),"")</f>
        <v/>
      </c>
      <c r="C197" s="31"/>
      <c r="D197" s="35"/>
      <c r="E197" s="28"/>
      <c r="F197" s="35"/>
      <c r="G197" s="31"/>
      <c r="H197" s="31"/>
      <c r="I197" s="31"/>
      <c r="J197" s="26"/>
      <c r="K197" s="26"/>
    </row>
    <row r="198" ht="12.75" customHeight="1">
      <c r="A198" s="37"/>
      <c r="B198" s="37" t="str">
        <f>IFERROR(__xludf.DUMMYFUNCTION("""COMPUTED_VALUE"""),"")</f>
        <v/>
      </c>
      <c r="C198" s="31"/>
      <c r="D198" s="35"/>
      <c r="E198" s="28"/>
      <c r="F198" s="35"/>
      <c r="G198" s="31"/>
      <c r="H198" s="31"/>
      <c r="I198" s="31"/>
      <c r="J198" s="26"/>
      <c r="K198" s="26"/>
    </row>
    <row r="199" ht="12.75" customHeight="1">
      <c r="A199" s="37"/>
      <c r="B199" s="37" t="str">
        <f>IFERROR(__xludf.DUMMYFUNCTION("""COMPUTED_VALUE"""),"")</f>
        <v/>
      </c>
      <c r="C199" s="31"/>
      <c r="D199" s="35"/>
      <c r="E199" s="28"/>
      <c r="F199" s="35"/>
      <c r="G199" s="31"/>
      <c r="H199" s="31"/>
      <c r="I199" s="31"/>
      <c r="J199" s="26"/>
      <c r="K199" s="26"/>
    </row>
    <row r="200" ht="12.75" customHeight="1">
      <c r="A200" s="37"/>
      <c r="B200" s="37" t="str">
        <f>IFERROR(__xludf.DUMMYFUNCTION("""COMPUTED_VALUE"""),"")</f>
        <v/>
      </c>
      <c r="C200" s="31"/>
      <c r="D200" s="35"/>
      <c r="E200" s="28"/>
      <c r="F200" s="35"/>
      <c r="G200" s="31"/>
      <c r="H200" s="31"/>
      <c r="I200" s="31"/>
      <c r="J200" s="26"/>
      <c r="K200" s="26"/>
    </row>
    <row r="201" ht="12.75" customHeight="1">
      <c r="A201" s="37"/>
      <c r="B201" s="37" t="str">
        <f>IFERROR(__xludf.DUMMYFUNCTION("""COMPUTED_VALUE"""),"")</f>
        <v/>
      </c>
      <c r="C201" s="31"/>
      <c r="D201" s="35"/>
      <c r="E201" s="28"/>
      <c r="F201" s="35"/>
      <c r="G201" s="31"/>
      <c r="H201" s="31"/>
      <c r="I201" s="31"/>
      <c r="J201" s="26"/>
      <c r="K201" s="26"/>
    </row>
  </sheetData>
  <mergeCells count="3">
    <mergeCell ref="G2:H2"/>
    <mergeCell ref="C3:J3"/>
    <mergeCell ref="C1:K1"/>
  </mergeCells>
  <conditionalFormatting sqref="E5:E201">
    <cfRule type="expression" dxfId="0" priority="1">
      <formula>AND(ISNUMBER(E5),TRUNC(E5)&lt;TODAY())</formula>
    </cfRule>
  </conditionalFormatting>
  <conditionalFormatting sqref="E5:E201">
    <cfRule type="expression" dxfId="1" priority="2">
      <formula>AND(ISNUMBER(E5),TRUNC(E5)&gt;TODAY())</formula>
    </cfRule>
  </conditionalFormatting>
  <conditionalFormatting sqref="D2 D4:D201">
    <cfRule type="expression" dxfId="9" priority="3">
      <formula>AND(ISNUMBER(D2),TRUNC(D2)&gt;TODAY())</formula>
    </cfRule>
  </conditionalFormatting>
  <conditionalFormatting sqref="D2 D4:D201">
    <cfRule type="expression" dxfId="10" priority="4">
      <formula>AND(ISNUMBER(D2),TRUNC(D2)&lt;TODAY()-6)</formula>
    </cfRule>
  </conditionalFormatting>
  <conditionalFormatting sqref="E5:E201">
    <cfRule type="timePeriod" dxfId="4" priority="5" timePeriod="today"/>
  </conditionalFormatting>
  <conditionalFormatting sqref="D2 D4:D201">
    <cfRule type="expression" dxfId="5" priority="6">
      <formula>AND(ISNUMBER(D2),TRUNC(D2)&lt;TODAY()+1)</formula>
    </cfRule>
  </conditionalFormatting>
  <conditionalFormatting sqref="E5:E201">
    <cfRule type="cellIs" dxfId="0" priority="7" operator="equal">
      <formula>"CLOSED"</formula>
    </cfRule>
  </conditionalFormatting>
  <conditionalFormatting sqref="D2 D4:D201">
    <cfRule type="cellIs" dxfId="1" priority="8" operator="equal">
      <formula>"OPEN"</formula>
    </cfRule>
  </conditionalFormatting>
  <conditionalFormatting sqref="D2 D4:D201">
    <cfRule type="cellIs" dxfId="6" priority="9" operator="equal">
      <formula>"N/A"</formula>
    </cfRule>
  </conditionalFormatting>
  <conditionalFormatting sqref="E5:E201">
    <cfRule type="cellIs" dxfId="6" priority="10" operator="equal">
      <formula>"N/A"</formula>
    </cfRule>
  </conditionalFormatting>
  <conditionalFormatting sqref="A5:B201">
    <cfRule type="expression" dxfId="7" priority="11">
      <formula>$K5="YES"</formula>
    </cfRule>
  </conditionalFormatting>
  <conditionalFormatting sqref="A5:K201">
    <cfRule type="expression" dxfId="8" priority="12">
      <formula>$K5="YES"</formula>
    </cfRule>
  </conditionalFormatting>
  <hyperlinks>
    <hyperlink r:id="rId1" ref="C1"/>
    <hyperlink r:id="rId2" ref="E2"/>
    <hyperlink r:id="rId3" ref="F2"/>
    <hyperlink r:id="rId4" ref="G2"/>
    <hyperlink r:id="rId5" ref="I2"/>
    <hyperlink r:id="rId6" ref="B3"/>
    <hyperlink r:id="rId7" ref="C3"/>
    <hyperlink r:id="rId8" ref="B5"/>
    <hyperlink r:id="rId9" ref="C5"/>
    <hyperlink r:id="rId10" ref="B6"/>
    <hyperlink r:id="rId11" ref="C6"/>
    <hyperlink r:id="rId12" ref="B7"/>
    <hyperlink r:id="rId13" ref="C7"/>
    <hyperlink r:id="rId14" ref="B8"/>
    <hyperlink r:id="rId15" ref="C8"/>
    <hyperlink r:id="rId16" ref="B9"/>
    <hyperlink r:id="rId17" ref="C9"/>
    <hyperlink r:id="rId18" ref="B10"/>
    <hyperlink r:id="rId19" ref="C10"/>
    <hyperlink r:id="rId20" ref="B11"/>
    <hyperlink r:id="rId21" ref="B12"/>
    <hyperlink r:id="rId22" ref="B13"/>
    <hyperlink r:id="rId23" ref="B14"/>
    <hyperlink r:id="rId24" ref="B15"/>
    <hyperlink r:id="rId25" ref="B16"/>
    <hyperlink r:id="rId26" ref="B17"/>
    <hyperlink r:id="rId27" ref="B18"/>
    <hyperlink r:id="rId28" ref="B19"/>
    <hyperlink r:id="rId29" ref="B20"/>
    <hyperlink r:id="rId30" ref="B21"/>
    <hyperlink r:id="rId31" ref="B22"/>
  </hyperlinks>
  <printOptions/>
  <pageMargins bottom="0.75" footer="0.0" header="0.0" left="0.7" right="0.7" top="0.75"/>
  <pageSetup paperSize="9" orientation="portrait"/>
  <drawing r:id="rId32"/>
</worksheet>
</file>