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ДОКУМЕНТЫ\Кассовая книга\"/>
    </mc:Choice>
  </mc:AlternateContent>
  <bookViews>
    <workbookView xWindow="240" yWindow="9315" windowWidth="20115" windowHeight="1185"/>
  </bookViews>
  <sheets>
    <sheet name="Кассовая книга" sheetId="6" r:id="rId1"/>
    <sheet name="Контакты" sheetId="9" r:id="rId2"/>
    <sheet name="График" sheetId="10" r:id="rId3"/>
    <sheet name="График пом_уборка" sheetId="11" r:id="rId4"/>
    <sheet name="расписание зала" sheetId="12" r:id="rId5"/>
    <sheet name="Расписание в группу" sheetId="14" r:id="rId6"/>
    <sheet name="Благотворительный фонд" sheetId="13" r:id="rId7"/>
  </sheets>
  <definedNames>
    <definedName name="_xlnm.Print_Area" localSheetId="2">График!$A$1:$RP$27</definedName>
    <definedName name="_xlnm.Print_Area" localSheetId="4">'расписание зала'!$A$1:$H$13</definedName>
    <definedName name="Сотрудники">'Кассовая книга'!$AH$3:$AH$5</definedName>
    <definedName name="Список">#REF!</definedName>
  </definedNames>
  <calcPr calcId="162913"/>
</workbook>
</file>

<file path=xl/calcChain.xml><?xml version="1.0" encoding="utf-8"?>
<calcChain xmlns="http://schemas.openxmlformats.org/spreadsheetml/2006/main">
  <c r="I435" i="6" l="1"/>
  <c r="Y435" i="6"/>
  <c r="L435" i="6"/>
  <c r="D434" i="6"/>
  <c r="C434" i="6"/>
  <c r="I434" i="6"/>
  <c r="L434" i="6"/>
  <c r="V434" i="6"/>
  <c r="L431" i="6" l="1"/>
  <c r="AD433" i="6"/>
  <c r="L433" i="6"/>
  <c r="I433" i="6"/>
  <c r="Y433" i="6"/>
  <c r="Y432" i="6"/>
  <c r="AD432" i="6"/>
  <c r="AD431" i="6"/>
  <c r="C432" i="6"/>
  <c r="I432" i="6"/>
  <c r="V432" i="6"/>
  <c r="I428" i="6" l="1"/>
  <c r="Y427" i="6"/>
  <c r="L427" i="6"/>
  <c r="V427" i="6"/>
  <c r="V426" i="6"/>
  <c r="Y426" i="6"/>
  <c r="L426" i="6"/>
  <c r="L421" i="6"/>
  <c r="C425" i="6" l="1"/>
  <c r="Y425" i="6"/>
  <c r="L425" i="6"/>
  <c r="AD424" i="6"/>
  <c r="V424" i="6"/>
  <c r="Y422" i="6"/>
  <c r="C422" i="6"/>
  <c r="AD422" i="6"/>
  <c r="F422" i="6"/>
  <c r="I422" i="6"/>
  <c r="H52" i="13"/>
  <c r="C421" i="6"/>
  <c r="Y421" i="6"/>
  <c r="I421" i="6"/>
  <c r="C420" i="6"/>
  <c r="Y420" i="6"/>
  <c r="V420" i="6"/>
  <c r="V419" i="6"/>
  <c r="I419" i="6" l="1"/>
  <c r="L419" i="6"/>
  <c r="Y419" i="6"/>
  <c r="V418" i="6"/>
  <c r="Y418" i="6"/>
  <c r="I418" i="6"/>
  <c r="U415" i="6"/>
  <c r="Y415" i="6"/>
  <c r="V415" i="6"/>
  <c r="I414" i="6"/>
  <c r="L414" i="6"/>
  <c r="Y414" i="6"/>
  <c r="Y412" i="6"/>
  <c r="I412" i="6"/>
  <c r="V412" i="6"/>
  <c r="L412" i="6"/>
  <c r="Y409" i="6"/>
  <c r="L407" i="6"/>
  <c r="Y407" i="6"/>
  <c r="I407" i="6"/>
  <c r="V407" i="6"/>
  <c r="Y405" i="6" l="1"/>
  <c r="I405" i="6"/>
  <c r="L405" i="6"/>
  <c r="AD398" i="6"/>
  <c r="T401" i="6"/>
  <c r="U401" i="6"/>
  <c r="I401" i="6"/>
  <c r="AD400" i="6"/>
  <c r="V400" i="6"/>
  <c r="Y400" i="6"/>
  <c r="L400" i="6"/>
  <c r="V398" i="6"/>
  <c r="Y398" i="6"/>
  <c r="I393" i="6"/>
  <c r="Y393" i="6"/>
  <c r="C392" i="6"/>
  <c r="Y392" i="6"/>
  <c r="L392" i="6"/>
  <c r="I391" i="6" l="1"/>
  <c r="Y391" i="6" l="1"/>
  <c r="AD388" i="6"/>
  <c r="Y390" i="6"/>
  <c r="I390" i="6"/>
  <c r="V390" i="6" l="1"/>
  <c r="L389" i="6" l="1"/>
  <c r="I387" i="6"/>
  <c r="Y387" i="6"/>
  <c r="AD384" i="6"/>
  <c r="AD386" i="6"/>
  <c r="Y386" i="6"/>
  <c r="V384" i="6"/>
  <c r="Y384" i="6"/>
  <c r="Q384" i="6"/>
  <c r="F383" i="6"/>
  <c r="Y382" i="6"/>
  <c r="O382" i="6"/>
  <c r="C380" i="6"/>
  <c r="V380" i="6"/>
  <c r="Y380" i="6"/>
  <c r="C378" i="6"/>
  <c r="I378" i="6" l="1"/>
  <c r="Y378" i="6"/>
  <c r="I376" i="6"/>
  <c r="C376" i="6" l="1"/>
  <c r="AD374" i="6" l="1"/>
  <c r="Q375" i="6"/>
  <c r="F373" i="6"/>
  <c r="F374" i="6"/>
  <c r="F375" i="6"/>
  <c r="F376" i="6"/>
  <c r="C371" i="6" l="1"/>
  <c r="AD371" i="6"/>
  <c r="F371" i="6"/>
  <c r="B410" i="6" l="1"/>
  <c r="F410" i="6"/>
  <c r="AD410" i="6" s="1"/>
  <c r="B411" i="6"/>
  <c r="F411" i="6"/>
  <c r="B412" i="6"/>
  <c r="F412" i="6"/>
  <c r="AD412" i="6" s="1"/>
  <c r="B413" i="6"/>
  <c r="F413" i="6"/>
  <c r="AD413" i="6" s="1"/>
  <c r="B414" i="6"/>
  <c r="F414" i="6"/>
  <c r="AD414" i="6" s="1"/>
  <c r="B415" i="6"/>
  <c r="F415" i="6"/>
  <c r="AD415" i="6" s="1"/>
  <c r="B416" i="6"/>
  <c r="F416" i="6"/>
  <c r="B417" i="6"/>
  <c r="F417" i="6"/>
  <c r="AD417" i="6" s="1"/>
  <c r="B418" i="6"/>
  <c r="F418" i="6"/>
  <c r="AD418" i="6" s="1"/>
  <c r="F419" i="6"/>
  <c r="AD419" i="6" s="1"/>
  <c r="B420" i="6"/>
  <c r="F420" i="6"/>
  <c r="AD420" i="6" s="1"/>
  <c r="B421" i="6"/>
  <c r="F421" i="6"/>
  <c r="AD421" i="6" s="1"/>
  <c r="B422" i="6"/>
  <c r="B423" i="6"/>
  <c r="F423" i="6"/>
  <c r="AD423" i="6" s="1"/>
  <c r="F424" i="6"/>
  <c r="B425" i="6"/>
  <c r="F425" i="6"/>
  <c r="AD425" i="6" s="1"/>
  <c r="B426" i="6"/>
  <c r="F426" i="6"/>
  <c r="AD426" i="6" s="1"/>
  <c r="B427" i="6"/>
  <c r="F427" i="6"/>
  <c r="AD427" i="6" s="1"/>
  <c r="B428" i="6"/>
  <c r="F428" i="6"/>
  <c r="B429" i="6"/>
  <c r="F429" i="6"/>
  <c r="B430" i="6"/>
  <c r="F430" i="6"/>
  <c r="AD430" i="6" s="1"/>
  <c r="B431" i="6"/>
  <c r="F431" i="6"/>
  <c r="B432" i="6"/>
  <c r="F432" i="6"/>
  <c r="B433" i="6"/>
  <c r="F433" i="6"/>
  <c r="B434" i="6"/>
  <c r="F434" i="6"/>
  <c r="AD434" i="6" s="1"/>
  <c r="B435" i="6"/>
  <c r="F435" i="6"/>
  <c r="B436" i="6"/>
  <c r="F436" i="6"/>
  <c r="B437" i="6"/>
  <c r="F437" i="6"/>
  <c r="AD437" i="6"/>
  <c r="B438" i="6"/>
  <c r="F438" i="6"/>
  <c r="AD438" i="6" s="1"/>
  <c r="B439" i="6"/>
  <c r="F439" i="6"/>
  <c r="AD439" i="6"/>
  <c r="B440" i="6"/>
  <c r="F440" i="6"/>
  <c r="AD440" i="6" s="1"/>
  <c r="B441" i="6"/>
  <c r="F441" i="6"/>
  <c r="AD441" i="6"/>
  <c r="B442" i="6"/>
  <c r="F442" i="6"/>
  <c r="AD442" i="6" s="1"/>
  <c r="B443" i="6"/>
  <c r="F443" i="6"/>
  <c r="AD443" i="6"/>
  <c r="B444" i="6"/>
  <c r="F444" i="6"/>
  <c r="AD444" i="6" s="1"/>
  <c r="B445" i="6"/>
  <c r="F445" i="6"/>
  <c r="AD445" i="6"/>
  <c r="B446" i="6"/>
  <c r="F446" i="6"/>
  <c r="AD446" i="6" s="1"/>
  <c r="B447" i="6"/>
  <c r="F447" i="6"/>
  <c r="AD447" i="6"/>
  <c r="B448" i="6"/>
  <c r="F448" i="6"/>
  <c r="AD448" i="6" s="1"/>
  <c r="B449" i="6"/>
  <c r="F449" i="6"/>
  <c r="AD449" i="6"/>
  <c r="B450" i="6"/>
  <c r="F450" i="6"/>
  <c r="AD450" i="6" s="1"/>
  <c r="B451" i="6"/>
  <c r="F451" i="6"/>
  <c r="AD451" i="6"/>
  <c r="B452" i="6"/>
  <c r="F452" i="6"/>
  <c r="AD452" i="6" s="1"/>
  <c r="B453" i="6"/>
  <c r="F453" i="6"/>
  <c r="AD453" i="6"/>
  <c r="B454" i="6"/>
  <c r="F454" i="6"/>
  <c r="AD454" i="6" s="1"/>
  <c r="B455" i="6"/>
  <c r="F455" i="6"/>
  <c r="AD455" i="6"/>
  <c r="B456" i="6"/>
  <c r="F456" i="6"/>
  <c r="AD456" i="6" s="1"/>
  <c r="B457" i="6"/>
  <c r="F457" i="6"/>
  <c r="AD457" i="6"/>
  <c r="B458" i="6"/>
  <c r="F458" i="6"/>
  <c r="AD458" i="6" s="1"/>
  <c r="B459" i="6"/>
  <c r="F459" i="6"/>
  <c r="AD459" i="6"/>
  <c r="B460" i="6"/>
  <c r="F460" i="6"/>
  <c r="AD460" i="6" s="1"/>
  <c r="B461" i="6"/>
  <c r="F461" i="6"/>
  <c r="AD461" i="6"/>
  <c r="B462" i="6"/>
  <c r="F462" i="6"/>
  <c r="AD462" i="6" s="1"/>
  <c r="B463" i="6"/>
  <c r="F463" i="6"/>
  <c r="AD463" i="6"/>
  <c r="B464" i="6"/>
  <c r="F464" i="6"/>
  <c r="AD464" i="6" s="1"/>
  <c r="B465" i="6"/>
  <c r="F465" i="6"/>
  <c r="AD465" i="6"/>
  <c r="B466" i="6"/>
  <c r="F466" i="6"/>
  <c r="AD466" i="6" s="1"/>
  <c r="B467" i="6"/>
  <c r="F467" i="6"/>
  <c r="AD467" i="6"/>
  <c r="B468" i="6"/>
  <c r="F468" i="6"/>
  <c r="AD468" i="6" s="1"/>
  <c r="B469" i="6"/>
  <c r="F469" i="6"/>
  <c r="AD469" i="6"/>
  <c r="B470" i="6"/>
  <c r="F470" i="6"/>
  <c r="AD470" i="6" s="1"/>
  <c r="B471" i="6"/>
  <c r="F471" i="6"/>
  <c r="AD471" i="6"/>
  <c r="B472" i="6"/>
  <c r="F472" i="6"/>
  <c r="AD472" i="6" s="1"/>
  <c r="B473" i="6"/>
  <c r="F473" i="6"/>
  <c r="AD473" i="6"/>
  <c r="B474" i="6"/>
  <c r="F474" i="6"/>
  <c r="AD474" i="6" s="1"/>
  <c r="B475" i="6"/>
  <c r="F475" i="6"/>
  <c r="AD475" i="6"/>
  <c r="B476" i="6"/>
  <c r="F476" i="6"/>
  <c r="AD476" i="6" s="1"/>
  <c r="B477" i="6"/>
  <c r="F477" i="6"/>
  <c r="AD477" i="6"/>
  <c r="B478" i="6"/>
  <c r="F478" i="6"/>
  <c r="AD478" i="6" s="1"/>
  <c r="B479" i="6"/>
  <c r="F479" i="6"/>
  <c r="AD479" i="6"/>
  <c r="B480" i="6"/>
  <c r="F480" i="6"/>
  <c r="AD480" i="6" s="1"/>
  <c r="B481" i="6"/>
  <c r="F481" i="6"/>
  <c r="AD481" i="6"/>
  <c r="B482" i="6"/>
  <c r="F482" i="6"/>
  <c r="AD482" i="6" s="1"/>
  <c r="B483" i="6"/>
  <c r="F483" i="6"/>
  <c r="AD483" i="6"/>
  <c r="B484" i="6"/>
  <c r="F484" i="6"/>
  <c r="AD484" i="6" s="1"/>
  <c r="B485" i="6"/>
  <c r="F485" i="6"/>
  <c r="AD485" i="6"/>
  <c r="B486" i="6"/>
  <c r="F486" i="6"/>
  <c r="AD486" i="6" s="1"/>
  <c r="B487" i="6"/>
  <c r="F487" i="6"/>
  <c r="AD487" i="6"/>
  <c r="B488" i="6"/>
  <c r="F488" i="6"/>
  <c r="AD488" i="6" s="1"/>
  <c r="B489" i="6"/>
  <c r="F489" i="6"/>
  <c r="AD489" i="6"/>
  <c r="B490" i="6"/>
  <c r="F490" i="6"/>
  <c r="AD490" i="6" s="1"/>
  <c r="B491" i="6"/>
  <c r="F491" i="6"/>
  <c r="AD491" i="6"/>
  <c r="B492" i="6"/>
  <c r="F492" i="6"/>
  <c r="AD492" i="6" s="1"/>
  <c r="B493" i="6"/>
  <c r="F493" i="6"/>
  <c r="AD493" i="6"/>
  <c r="B494" i="6"/>
  <c r="F494" i="6"/>
  <c r="AD494" i="6" s="1"/>
  <c r="B495" i="6"/>
  <c r="F495" i="6"/>
  <c r="AD495" i="6"/>
  <c r="B496" i="6"/>
  <c r="F496" i="6"/>
  <c r="AD496" i="6" s="1"/>
  <c r="B497" i="6"/>
  <c r="F497" i="6"/>
  <c r="AD497" i="6"/>
  <c r="B498" i="6"/>
  <c r="F498" i="6"/>
  <c r="AD498" i="6" s="1"/>
  <c r="B499" i="6"/>
  <c r="F499" i="6"/>
  <c r="AD499" i="6"/>
  <c r="B500" i="6"/>
  <c r="F500" i="6"/>
  <c r="AD500" i="6" s="1"/>
  <c r="B501" i="6"/>
  <c r="F501" i="6"/>
  <c r="AD501" i="6"/>
  <c r="B502" i="6"/>
  <c r="F502" i="6"/>
  <c r="AD502" i="6" s="1"/>
  <c r="B503" i="6"/>
  <c r="F503" i="6"/>
  <c r="AD503" i="6"/>
  <c r="B504" i="6"/>
  <c r="F504" i="6"/>
  <c r="AD504" i="6" s="1"/>
  <c r="B505" i="6"/>
  <c r="F505" i="6"/>
  <c r="AD505" i="6"/>
  <c r="B506" i="6"/>
  <c r="F506" i="6"/>
  <c r="AD506" i="6" s="1"/>
  <c r="B507" i="6"/>
  <c r="F507" i="6"/>
  <c r="AD507" i="6"/>
  <c r="B508" i="6"/>
  <c r="F508" i="6"/>
  <c r="AD508" i="6" s="1"/>
  <c r="B509" i="6"/>
  <c r="F509" i="6"/>
  <c r="AD509" i="6"/>
  <c r="B510" i="6"/>
  <c r="F510" i="6"/>
  <c r="AD510" i="6" s="1"/>
  <c r="B511" i="6"/>
  <c r="F511" i="6"/>
  <c r="AD511" i="6"/>
  <c r="B512" i="6"/>
  <c r="F512" i="6"/>
  <c r="AD512" i="6" s="1"/>
  <c r="B513" i="6"/>
  <c r="F513" i="6"/>
  <c r="AD513" i="6"/>
  <c r="B514" i="6"/>
  <c r="F514" i="6"/>
  <c r="AD514" i="6" s="1"/>
  <c r="B515" i="6"/>
  <c r="F515" i="6"/>
  <c r="AD515" i="6"/>
  <c r="B516" i="6"/>
  <c r="F516" i="6"/>
  <c r="AD516" i="6" s="1"/>
  <c r="B517" i="6"/>
  <c r="F517" i="6"/>
  <c r="AD517" i="6"/>
  <c r="B518" i="6"/>
  <c r="F518" i="6"/>
  <c r="AD518" i="6" s="1"/>
  <c r="B519" i="6"/>
  <c r="F519" i="6"/>
  <c r="AD519" i="6"/>
  <c r="B520" i="6"/>
  <c r="F520" i="6"/>
  <c r="AD520" i="6" s="1"/>
  <c r="B521" i="6"/>
  <c r="F521" i="6"/>
  <c r="AD521" i="6"/>
  <c r="B522" i="6"/>
  <c r="F522" i="6"/>
  <c r="AD522" i="6" s="1"/>
  <c r="B523" i="6"/>
  <c r="F523" i="6"/>
  <c r="AD523" i="6"/>
  <c r="B524" i="6"/>
  <c r="F524" i="6"/>
  <c r="AD524" i="6" s="1"/>
  <c r="B525" i="6"/>
  <c r="F525" i="6"/>
  <c r="AD525" i="6"/>
  <c r="B526" i="6"/>
  <c r="F526" i="6"/>
  <c r="AD526" i="6" s="1"/>
  <c r="B527" i="6"/>
  <c r="F527" i="6"/>
  <c r="AD527" i="6"/>
  <c r="B528" i="6"/>
  <c r="F528" i="6"/>
  <c r="AD528" i="6" s="1"/>
  <c r="B529" i="6"/>
  <c r="F529" i="6"/>
  <c r="AD529" i="6"/>
  <c r="B530" i="6"/>
  <c r="F530" i="6"/>
  <c r="AD530" i="6" s="1"/>
  <c r="B531" i="6"/>
  <c r="F531" i="6"/>
  <c r="AD531" i="6"/>
  <c r="B532" i="6"/>
  <c r="F532" i="6"/>
  <c r="AD532" i="6" s="1"/>
  <c r="B533" i="6"/>
  <c r="F533" i="6"/>
  <c r="AD533" i="6"/>
  <c r="B534" i="6"/>
  <c r="F534" i="6"/>
  <c r="AD534" i="6" s="1"/>
  <c r="B535" i="6"/>
  <c r="F535" i="6"/>
  <c r="AD535" i="6"/>
  <c r="B536" i="6"/>
  <c r="F536" i="6"/>
  <c r="AD536" i="6" s="1"/>
  <c r="B537" i="6"/>
  <c r="F537" i="6"/>
  <c r="AD537" i="6"/>
  <c r="B538" i="6"/>
  <c r="F538" i="6"/>
  <c r="AD538" i="6" s="1"/>
  <c r="B539" i="6"/>
  <c r="F539" i="6"/>
  <c r="AD539" i="6"/>
  <c r="B540" i="6"/>
  <c r="F540" i="6"/>
  <c r="AD540" i="6" s="1"/>
  <c r="B541" i="6"/>
  <c r="F541" i="6"/>
  <c r="AD541" i="6"/>
  <c r="B542" i="6"/>
  <c r="F542" i="6"/>
  <c r="AD542" i="6" s="1"/>
  <c r="B543" i="6"/>
  <c r="F543" i="6"/>
  <c r="AD543" i="6"/>
  <c r="B544" i="6"/>
  <c r="F544" i="6"/>
  <c r="AD544" i="6" s="1"/>
  <c r="B545" i="6"/>
  <c r="F545" i="6"/>
  <c r="AD545" i="6"/>
  <c r="B546" i="6"/>
  <c r="F546" i="6"/>
  <c r="AD546" i="6" s="1"/>
  <c r="B547" i="6"/>
  <c r="F547" i="6"/>
  <c r="AD547" i="6"/>
  <c r="B548" i="6"/>
  <c r="F548" i="6"/>
  <c r="AD548" i="6" s="1"/>
  <c r="B549" i="6"/>
  <c r="F549" i="6"/>
  <c r="AD549" i="6"/>
  <c r="B550" i="6"/>
  <c r="F550" i="6"/>
  <c r="AD550" i="6" s="1"/>
  <c r="B551" i="6"/>
  <c r="F551" i="6"/>
  <c r="AD551" i="6"/>
  <c r="B552" i="6"/>
  <c r="F552" i="6"/>
  <c r="AD552" i="6" s="1"/>
  <c r="B553" i="6"/>
  <c r="F553" i="6"/>
  <c r="AD553" i="6"/>
  <c r="B554" i="6"/>
  <c r="F554" i="6"/>
  <c r="AD554" i="6" s="1"/>
  <c r="B555" i="6"/>
  <c r="F555" i="6"/>
  <c r="AD555" i="6"/>
  <c r="B556" i="6"/>
  <c r="F556" i="6"/>
  <c r="AD556" i="6" s="1"/>
  <c r="B557" i="6"/>
  <c r="F557" i="6"/>
  <c r="AD557" i="6"/>
  <c r="B558" i="6"/>
  <c r="F558" i="6"/>
  <c r="AD558" i="6" s="1"/>
  <c r="B559" i="6"/>
  <c r="F559" i="6"/>
  <c r="AD559" i="6"/>
  <c r="B560" i="6"/>
  <c r="F560" i="6"/>
  <c r="AD560" i="6" s="1"/>
  <c r="B561" i="6"/>
  <c r="F561" i="6"/>
  <c r="AD561" i="6"/>
  <c r="B562" i="6"/>
  <c r="F562" i="6"/>
  <c r="AD562" i="6" s="1"/>
  <c r="B563" i="6"/>
  <c r="F563" i="6"/>
  <c r="AD563" i="6"/>
  <c r="B564" i="6"/>
  <c r="F564" i="6"/>
  <c r="AD564" i="6" s="1"/>
  <c r="B565" i="6"/>
  <c r="F565" i="6"/>
  <c r="AD565" i="6"/>
  <c r="B566" i="6"/>
  <c r="F566" i="6"/>
  <c r="AD566" i="6" s="1"/>
  <c r="B567" i="6"/>
  <c r="F567" i="6"/>
  <c r="AD567" i="6"/>
  <c r="B568" i="6"/>
  <c r="F568" i="6"/>
  <c r="AD568" i="6" s="1"/>
  <c r="B569" i="6"/>
  <c r="F569" i="6"/>
  <c r="AD569" i="6"/>
  <c r="B570" i="6"/>
  <c r="F570" i="6"/>
  <c r="AD570" i="6" s="1"/>
  <c r="B571" i="6"/>
  <c r="F571" i="6"/>
  <c r="AD571" i="6"/>
  <c r="B572" i="6"/>
  <c r="F572" i="6"/>
  <c r="AD572" i="6" s="1"/>
  <c r="B573" i="6"/>
  <c r="F573" i="6"/>
  <c r="AD573" i="6"/>
  <c r="B574" i="6"/>
  <c r="F574" i="6"/>
  <c r="AD574" i="6" s="1"/>
  <c r="B575" i="6"/>
  <c r="F575" i="6"/>
  <c r="AD575" i="6"/>
  <c r="B576" i="6"/>
  <c r="F576" i="6"/>
  <c r="AD576" i="6" s="1"/>
  <c r="B577" i="6"/>
  <c r="F577" i="6"/>
  <c r="AD577" i="6"/>
  <c r="B578" i="6"/>
  <c r="F578" i="6"/>
  <c r="AD578" i="6" s="1"/>
  <c r="B579" i="6"/>
  <c r="F579" i="6"/>
  <c r="AD579" i="6" s="1"/>
  <c r="B580" i="6"/>
  <c r="F580" i="6"/>
  <c r="AD580" i="6"/>
  <c r="B581" i="6"/>
  <c r="F581" i="6"/>
  <c r="AD581" i="6" s="1"/>
  <c r="B582" i="6"/>
  <c r="F582" i="6"/>
  <c r="AD582" i="6"/>
  <c r="B583" i="6"/>
  <c r="F583" i="6"/>
  <c r="AD583" i="6" s="1"/>
  <c r="B584" i="6"/>
  <c r="F584" i="6"/>
  <c r="AD584" i="6"/>
  <c r="B585" i="6"/>
  <c r="F585" i="6"/>
  <c r="AD585" i="6" s="1"/>
  <c r="B586" i="6"/>
  <c r="F586" i="6"/>
  <c r="AD586" i="6"/>
  <c r="B587" i="6"/>
  <c r="F587" i="6"/>
  <c r="AD587" i="6" s="1"/>
  <c r="B588" i="6"/>
  <c r="F588" i="6"/>
  <c r="AD588" i="6"/>
  <c r="B589" i="6"/>
  <c r="F589" i="6"/>
  <c r="AD589" i="6" s="1"/>
  <c r="B590" i="6"/>
  <c r="F590" i="6"/>
  <c r="AD590" i="6"/>
  <c r="B591" i="6"/>
  <c r="F591" i="6"/>
  <c r="AD591" i="6" s="1"/>
  <c r="B592" i="6"/>
  <c r="F592" i="6"/>
  <c r="AD592" i="6"/>
  <c r="B593" i="6"/>
  <c r="F593" i="6"/>
  <c r="AD593" i="6" s="1"/>
  <c r="B594" i="6"/>
  <c r="F594" i="6"/>
  <c r="AD594" i="6"/>
  <c r="B595" i="6"/>
  <c r="F595" i="6"/>
  <c r="AD595" i="6" s="1"/>
  <c r="B596" i="6"/>
  <c r="F596" i="6"/>
  <c r="AD596" i="6"/>
  <c r="B597" i="6"/>
  <c r="F597" i="6"/>
  <c r="AD597" i="6" s="1"/>
  <c r="B598" i="6"/>
  <c r="F598" i="6"/>
  <c r="AD598" i="6"/>
  <c r="B599" i="6"/>
  <c r="F599" i="6"/>
  <c r="AD599" i="6" s="1"/>
  <c r="B600" i="6"/>
  <c r="F600" i="6"/>
  <c r="AD600" i="6"/>
  <c r="B601" i="6"/>
  <c r="F601" i="6"/>
  <c r="AD601" i="6" s="1"/>
  <c r="B602" i="6"/>
  <c r="F602" i="6"/>
  <c r="AD602" i="6"/>
  <c r="B603" i="6"/>
  <c r="F603" i="6"/>
  <c r="AD603" i="6" s="1"/>
  <c r="B604" i="6"/>
  <c r="F604" i="6"/>
  <c r="AD604" i="6"/>
  <c r="B605" i="6"/>
  <c r="F605" i="6"/>
  <c r="AD605" i="6" s="1"/>
  <c r="B606" i="6"/>
  <c r="F606" i="6"/>
  <c r="AD606" i="6"/>
  <c r="B607" i="6"/>
  <c r="F607" i="6"/>
  <c r="AD607" i="6" s="1"/>
  <c r="B608" i="6"/>
  <c r="F608" i="6"/>
  <c r="AD608" i="6"/>
  <c r="B609" i="6"/>
  <c r="F609" i="6"/>
  <c r="AD609" i="6" s="1"/>
  <c r="B610" i="6"/>
  <c r="F610" i="6"/>
  <c r="AD610" i="6"/>
  <c r="B611" i="6"/>
  <c r="F611" i="6"/>
  <c r="AD611" i="6" s="1"/>
  <c r="B612" i="6"/>
  <c r="F612" i="6"/>
  <c r="AD612" i="6"/>
  <c r="B613" i="6"/>
  <c r="F613" i="6"/>
  <c r="AD613" i="6" s="1"/>
  <c r="B614" i="6"/>
  <c r="F614" i="6"/>
  <c r="AD614" i="6"/>
  <c r="B615" i="6"/>
  <c r="F615" i="6"/>
  <c r="AD615" i="6" s="1"/>
  <c r="B616" i="6"/>
  <c r="F616" i="6"/>
  <c r="AD616" i="6"/>
  <c r="B617" i="6"/>
  <c r="F617" i="6"/>
  <c r="AD617" i="6" s="1"/>
  <c r="B618" i="6"/>
  <c r="AD618" i="6" s="1"/>
  <c r="F618" i="6"/>
  <c r="B619" i="6"/>
  <c r="F619" i="6"/>
  <c r="AD619" i="6" s="1"/>
  <c r="B620" i="6"/>
  <c r="F620" i="6"/>
  <c r="AD620" i="6"/>
  <c r="B621" i="6"/>
  <c r="F621" i="6"/>
  <c r="AD621" i="6" s="1"/>
  <c r="B622" i="6"/>
  <c r="F622" i="6"/>
  <c r="AD622" i="6"/>
  <c r="B623" i="6"/>
  <c r="F623" i="6"/>
  <c r="AD623" i="6" s="1"/>
  <c r="B624" i="6"/>
  <c r="F624" i="6"/>
  <c r="AD624" i="6"/>
  <c r="B625" i="6"/>
  <c r="F625" i="6"/>
  <c r="AD625" i="6" s="1"/>
  <c r="B626" i="6"/>
  <c r="F626" i="6"/>
  <c r="AD626" i="6"/>
  <c r="B627" i="6"/>
  <c r="F627" i="6"/>
  <c r="AD627" i="6" s="1"/>
  <c r="B628" i="6"/>
  <c r="F628" i="6"/>
  <c r="AD628" i="6"/>
  <c r="B629" i="6"/>
  <c r="F629" i="6"/>
  <c r="AD629" i="6" s="1"/>
  <c r="B630" i="6"/>
  <c r="F630" i="6"/>
  <c r="AD630" i="6"/>
  <c r="B631" i="6"/>
  <c r="F631" i="6"/>
  <c r="AD631" i="6" s="1"/>
  <c r="B632" i="6"/>
  <c r="F632" i="6"/>
  <c r="AD632" i="6"/>
  <c r="B633" i="6"/>
  <c r="F633" i="6"/>
  <c r="AD633" i="6" s="1"/>
  <c r="B634" i="6"/>
  <c r="F634" i="6"/>
  <c r="AD634" i="6"/>
  <c r="B635" i="6"/>
  <c r="F635" i="6"/>
  <c r="AD635" i="6" s="1"/>
  <c r="B636" i="6"/>
  <c r="F636" i="6"/>
  <c r="AD636" i="6"/>
  <c r="B637" i="6"/>
  <c r="F637" i="6"/>
  <c r="AD637" i="6" s="1"/>
  <c r="B638" i="6"/>
  <c r="F638" i="6"/>
  <c r="AD638" i="6"/>
  <c r="B639" i="6"/>
  <c r="F639" i="6"/>
  <c r="AD639" i="6" s="1"/>
  <c r="B640" i="6"/>
  <c r="F640" i="6"/>
  <c r="AD640" i="6"/>
  <c r="B641" i="6"/>
  <c r="F641" i="6"/>
  <c r="AD641" i="6" s="1"/>
  <c r="B642" i="6"/>
  <c r="F642" i="6"/>
  <c r="AD642" i="6"/>
  <c r="B643" i="6"/>
  <c r="F643" i="6"/>
  <c r="AD643" i="6" s="1"/>
  <c r="B644" i="6"/>
  <c r="F644" i="6"/>
  <c r="AD644" i="6"/>
  <c r="B645" i="6"/>
  <c r="F645" i="6"/>
  <c r="AD645" i="6" s="1"/>
  <c r="B646" i="6"/>
  <c r="F646" i="6"/>
  <c r="AD646" i="6"/>
  <c r="B647" i="6"/>
  <c r="F647" i="6"/>
  <c r="AD647" i="6" s="1"/>
  <c r="B648" i="6"/>
  <c r="F648" i="6"/>
  <c r="AD648" i="6"/>
  <c r="B649" i="6"/>
  <c r="F649" i="6"/>
  <c r="AD649" i="6" s="1"/>
  <c r="B650" i="6"/>
  <c r="F650" i="6"/>
  <c r="AD650" i="6"/>
  <c r="B651" i="6"/>
  <c r="F651" i="6"/>
  <c r="AD651" i="6" s="1"/>
  <c r="B652" i="6"/>
  <c r="F652" i="6"/>
  <c r="AD652" i="6"/>
  <c r="B653" i="6"/>
  <c r="F653" i="6"/>
  <c r="AD653" i="6" s="1"/>
  <c r="B654" i="6"/>
  <c r="F654" i="6"/>
  <c r="AD654" i="6"/>
  <c r="B655" i="6"/>
  <c r="F655" i="6"/>
  <c r="AD655" i="6" s="1"/>
  <c r="B656" i="6"/>
  <c r="F656" i="6"/>
  <c r="AD656" i="6"/>
  <c r="B657" i="6"/>
  <c r="F657" i="6"/>
  <c r="AD657" i="6" s="1"/>
  <c r="B658" i="6"/>
  <c r="F658" i="6"/>
  <c r="AD658" i="6"/>
  <c r="B659" i="6"/>
  <c r="F659" i="6"/>
  <c r="AD659" i="6" s="1"/>
  <c r="B660" i="6"/>
  <c r="F660" i="6"/>
  <c r="AD660" i="6"/>
  <c r="B661" i="6"/>
  <c r="F661" i="6"/>
  <c r="AD661" i="6" s="1"/>
  <c r="B662" i="6"/>
  <c r="F662" i="6"/>
  <c r="AD662" i="6"/>
  <c r="B663" i="6"/>
  <c r="F663" i="6"/>
  <c r="AD663" i="6" s="1"/>
  <c r="B664" i="6"/>
  <c r="F664" i="6"/>
  <c r="AD664" i="6"/>
  <c r="B665" i="6"/>
  <c r="F665" i="6"/>
  <c r="AD665" i="6" s="1"/>
  <c r="B666" i="6"/>
  <c r="F666" i="6"/>
  <c r="AD666" i="6"/>
  <c r="B667" i="6"/>
  <c r="F667" i="6"/>
  <c r="AD667" i="6" s="1"/>
  <c r="B668" i="6"/>
  <c r="F668" i="6"/>
  <c r="AD668" i="6"/>
  <c r="B669" i="6"/>
  <c r="F669" i="6"/>
  <c r="AD669" i="6" s="1"/>
  <c r="B670" i="6"/>
  <c r="F670" i="6"/>
  <c r="AD670" i="6"/>
  <c r="B671" i="6"/>
  <c r="F671" i="6"/>
  <c r="AD671" i="6" s="1"/>
  <c r="B672" i="6"/>
  <c r="F672" i="6"/>
  <c r="AD672" i="6"/>
  <c r="B673" i="6"/>
  <c r="F673" i="6"/>
  <c r="AD673" i="6" s="1"/>
  <c r="B674" i="6"/>
  <c r="F674" i="6"/>
  <c r="AD674" i="6"/>
  <c r="B675" i="6"/>
  <c r="F675" i="6"/>
  <c r="AD675" i="6" s="1"/>
  <c r="B676" i="6"/>
  <c r="F676" i="6"/>
  <c r="AD676" i="6"/>
  <c r="B677" i="6"/>
  <c r="F677" i="6"/>
  <c r="AD677" i="6" s="1"/>
  <c r="B678" i="6"/>
  <c r="F678" i="6"/>
  <c r="AD678" i="6"/>
  <c r="B679" i="6"/>
  <c r="F679" i="6"/>
  <c r="AD679" i="6" s="1"/>
  <c r="B680" i="6"/>
  <c r="F680" i="6"/>
  <c r="AD680" i="6"/>
  <c r="B681" i="6"/>
  <c r="F681" i="6"/>
  <c r="AD681" i="6" s="1"/>
  <c r="B682" i="6"/>
  <c r="F682" i="6"/>
  <c r="AD682" i="6"/>
  <c r="B683" i="6"/>
  <c r="F683" i="6"/>
  <c r="AD683" i="6" s="1"/>
  <c r="B684" i="6"/>
  <c r="F684" i="6"/>
  <c r="AD684" i="6"/>
  <c r="B685" i="6"/>
  <c r="F685" i="6"/>
  <c r="AD685" i="6" s="1"/>
  <c r="B686" i="6"/>
  <c r="F686" i="6"/>
  <c r="AD686" i="6"/>
  <c r="B687" i="6"/>
  <c r="F687" i="6"/>
  <c r="AD687" i="6" s="1"/>
  <c r="B688" i="6"/>
  <c r="F688" i="6"/>
  <c r="AD688" i="6"/>
  <c r="B689" i="6"/>
  <c r="F689" i="6"/>
  <c r="AD689" i="6" s="1"/>
  <c r="B690" i="6"/>
  <c r="F690" i="6"/>
  <c r="AD690" i="6"/>
  <c r="B691" i="6"/>
  <c r="F691" i="6"/>
  <c r="AD691" i="6" s="1"/>
  <c r="B692" i="6"/>
  <c r="F692" i="6"/>
  <c r="AD692" i="6"/>
  <c r="B693" i="6"/>
  <c r="F693" i="6"/>
  <c r="AD693" i="6" s="1"/>
  <c r="B694" i="6"/>
  <c r="F694" i="6"/>
  <c r="AD694" i="6"/>
  <c r="F356" i="6"/>
  <c r="AD356" i="6" s="1"/>
  <c r="AD436" i="6" l="1"/>
  <c r="AD428" i="6"/>
  <c r="AD416" i="6"/>
  <c r="Y371" i="6"/>
  <c r="F372" i="6" l="1"/>
  <c r="F378" i="6"/>
  <c r="F379" i="6"/>
  <c r="F380" i="6"/>
  <c r="AD380" i="6" s="1"/>
  <c r="F381" i="6"/>
  <c r="F382" i="6"/>
  <c r="F384" i="6"/>
  <c r="F385" i="6"/>
  <c r="F386" i="6"/>
  <c r="F387" i="6"/>
  <c r="AD387" i="6" s="1"/>
  <c r="F388" i="6"/>
  <c r="F389" i="6"/>
  <c r="F390" i="6"/>
  <c r="F391" i="6"/>
  <c r="F392" i="6"/>
  <c r="AD392" i="6" s="1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AD407" i="6" s="1"/>
  <c r="F408" i="6"/>
  <c r="F409" i="6"/>
  <c r="F94" i="6"/>
  <c r="F95" i="6"/>
  <c r="F96" i="6"/>
  <c r="F93" i="6"/>
  <c r="AD93" i="6"/>
  <c r="C369" i="6"/>
  <c r="D369" i="6"/>
  <c r="V369" i="6"/>
  <c r="Y369" i="6"/>
  <c r="I369" i="6"/>
  <c r="Q368" i="6"/>
  <c r="V368" i="6"/>
  <c r="F370" i="6" l="1"/>
  <c r="V366" i="6" l="1"/>
  <c r="Y366" i="6"/>
  <c r="D365" i="6"/>
  <c r="O365" i="6"/>
  <c r="Y365" i="6"/>
  <c r="G365" i="6"/>
  <c r="Q365" i="6"/>
  <c r="I365" i="6"/>
  <c r="V365" i="6"/>
  <c r="I364" i="6"/>
  <c r="V364" i="6"/>
  <c r="Y363" i="6"/>
  <c r="V363" i="6"/>
  <c r="Q363" i="6"/>
  <c r="I363" i="6"/>
  <c r="L361" i="6"/>
  <c r="Q361" i="6"/>
  <c r="PJ8" i="10" l="1"/>
  <c r="PX8" i="10" s="1"/>
  <c r="PJ7" i="10"/>
  <c r="PX7" i="10" s="1"/>
  <c r="V359" i="6"/>
  <c r="I359" i="6"/>
  <c r="T359" i="6"/>
  <c r="Y359" i="6"/>
  <c r="Y358" i="6"/>
  <c r="G358" i="6"/>
  <c r="Q358" i="6"/>
  <c r="I358" i="6"/>
  <c r="C357" i="6"/>
  <c r="L357" i="6"/>
  <c r="I357" i="6"/>
  <c r="V356" i="6"/>
  <c r="Y356" i="6"/>
  <c r="I356" i="6"/>
  <c r="V355" i="6"/>
  <c r="C354" i="6" l="1"/>
  <c r="Q354" i="6"/>
  <c r="C351" i="6"/>
  <c r="AE350" i="6"/>
  <c r="L351" i="6"/>
  <c r="I351" i="6"/>
  <c r="G351" i="6"/>
  <c r="V351" i="6"/>
  <c r="Q351" i="6"/>
  <c r="J351" i="6"/>
  <c r="C349" i="6"/>
  <c r="V349" i="6"/>
  <c r="G349" i="6"/>
  <c r="L349" i="6"/>
  <c r="Q349" i="6"/>
  <c r="J349" i="6"/>
  <c r="W349" i="6"/>
  <c r="I349" i="6"/>
  <c r="Y348" i="6" l="1"/>
  <c r="I348" i="6"/>
  <c r="C347" i="6"/>
  <c r="B347" i="6"/>
  <c r="V347" i="6"/>
  <c r="Q347" i="6"/>
  <c r="L347" i="6"/>
  <c r="V344" i="6"/>
  <c r="L345" i="6"/>
  <c r="L327" i="6"/>
  <c r="C344" i="6"/>
  <c r="Y344" i="6"/>
  <c r="O344" i="6"/>
  <c r="G344" i="6"/>
  <c r="I344" i="6"/>
  <c r="Q344" i="6"/>
  <c r="L343" i="6"/>
  <c r="Y343" i="6"/>
  <c r="I343" i="6"/>
  <c r="V343" i="6"/>
  <c r="OR8" i="10"/>
  <c r="OR7" i="10"/>
  <c r="G342" i="6" l="1"/>
  <c r="Y342" i="6"/>
  <c r="V342" i="6"/>
  <c r="Q342" i="6"/>
  <c r="Y341" i="6"/>
  <c r="C341" i="6"/>
  <c r="I341" i="6"/>
  <c r="V341" i="6"/>
  <c r="O340" i="6"/>
  <c r="Q340" i="6"/>
  <c r="L340" i="6"/>
  <c r="Y338" i="6" l="1"/>
  <c r="Y337" i="6"/>
  <c r="M337" i="6"/>
  <c r="L337" i="6"/>
  <c r="O337" i="6"/>
  <c r="G337" i="6"/>
  <c r="I337" i="6"/>
  <c r="Q337" i="6"/>
  <c r="V337" i="6"/>
  <c r="F336" i="6"/>
  <c r="Y331" i="6" l="1"/>
  <c r="O335" i="6"/>
  <c r="G335" i="6"/>
  <c r="Y335" i="6"/>
  <c r="V335" i="6"/>
  <c r="V331" i="6"/>
  <c r="L331" i="6"/>
  <c r="L330" i="6"/>
  <c r="J330" i="6"/>
  <c r="I330" i="6"/>
  <c r="V330" i="6"/>
  <c r="W330" i="6"/>
  <c r="I329" i="6"/>
  <c r="L329" i="6"/>
  <c r="Y329" i="6"/>
  <c r="V329" i="6"/>
  <c r="AD327" i="6"/>
  <c r="Y327" i="6"/>
  <c r="V327" i="6"/>
  <c r="I327" i="6"/>
  <c r="AD326" i="6"/>
  <c r="D324" i="6"/>
  <c r="C324" i="6"/>
  <c r="I324" i="6"/>
  <c r="AD322" i="6"/>
  <c r="AD321" i="6"/>
  <c r="G321" i="6"/>
  <c r="I321" i="6"/>
  <c r="I320" i="6"/>
  <c r="Y321" i="6"/>
  <c r="C320" i="6"/>
  <c r="AD319" i="6"/>
  <c r="AD316" i="6"/>
  <c r="F318" i="6"/>
  <c r="I316" i="6"/>
  <c r="L316" i="6" l="1"/>
  <c r="Y316" i="6"/>
  <c r="Y315" i="6"/>
  <c r="I315" i="6"/>
  <c r="T315" i="6"/>
  <c r="V315" i="6"/>
  <c r="L315" i="6"/>
  <c r="Y314" i="6"/>
  <c r="Y312" i="6"/>
  <c r="V310" i="6" l="1"/>
  <c r="L310" i="6"/>
  <c r="AD307" i="6"/>
  <c r="V309" i="6"/>
  <c r="I309" i="6"/>
  <c r="I308" i="6"/>
  <c r="Y308" i="6"/>
  <c r="V308" i="6"/>
  <c r="V307" i="6" l="1"/>
  <c r="I307" i="6"/>
  <c r="V306" i="6" l="1"/>
  <c r="L305" i="6"/>
  <c r="V305" i="6"/>
  <c r="AD303" i="6"/>
  <c r="V303" i="6"/>
  <c r="Y302" i="6"/>
  <c r="I302" i="6"/>
  <c r="AD301" i="6" l="1"/>
  <c r="AD299" i="6"/>
  <c r="I301" i="6"/>
  <c r="L301" i="6"/>
  <c r="V301" i="6"/>
  <c r="AD300" i="6"/>
  <c r="AD294" i="6"/>
  <c r="AD295" i="6"/>
  <c r="AD296" i="6"/>
  <c r="AD297" i="6"/>
  <c r="AD298" i="6"/>
  <c r="Y300" i="6"/>
  <c r="L298" i="6"/>
  <c r="V295" i="6" l="1"/>
  <c r="I295" i="6"/>
  <c r="V293" i="6"/>
  <c r="I293" i="6"/>
  <c r="AD292" i="6"/>
  <c r="I292" i="6"/>
  <c r="L291" i="6"/>
  <c r="I289" i="6"/>
  <c r="L289" i="6"/>
  <c r="V289" i="6"/>
  <c r="Y288" i="6"/>
  <c r="I288" i="6"/>
  <c r="AD287" i="6"/>
  <c r="I287" i="6"/>
  <c r="V287" i="6"/>
  <c r="T287" i="6"/>
  <c r="C286" i="6" l="1"/>
  <c r="I286" i="6"/>
  <c r="U285" i="6"/>
  <c r="I285" i="6"/>
  <c r="T285" i="6"/>
  <c r="V285" i="6"/>
  <c r="AD283" i="6"/>
  <c r="I284" i="6"/>
  <c r="C282" i="6" l="1"/>
  <c r="B282" i="6"/>
  <c r="AD281" i="6"/>
  <c r="I282" i="6"/>
  <c r="T282" i="6"/>
  <c r="V281" i="6" l="1"/>
  <c r="I281" i="6"/>
  <c r="T280" i="6" l="1"/>
  <c r="I278" i="6" l="1"/>
  <c r="T278" i="6"/>
  <c r="C277" i="6" l="1"/>
  <c r="L277" i="6"/>
  <c r="C275" i="6"/>
  <c r="T275" i="6"/>
  <c r="V275" i="6"/>
  <c r="C273" i="6"/>
  <c r="V273" i="6"/>
  <c r="T271" i="6"/>
  <c r="O264" i="6"/>
  <c r="O263" i="6"/>
  <c r="I273" i="6" l="1"/>
  <c r="O272" i="6"/>
  <c r="AD272" i="6" l="1"/>
  <c r="V271" i="6"/>
  <c r="I271" i="6"/>
  <c r="P270" i="6"/>
  <c r="AD269" i="6"/>
  <c r="AD268" i="6"/>
  <c r="AD377" i="6"/>
  <c r="AD267" i="6"/>
  <c r="C268" i="6"/>
  <c r="V268" i="6"/>
  <c r="AD266" i="6"/>
  <c r="O267" i="6" l="1"/>
  <c r="I267" i="6"/>
  <c r="G267" i="6"/>
  <c r="Q267" i="6"/>
  <c r="LV7" i="10"/>
  <c r="V267" i="6"/>
  <c r="O265" i="6" l="1"/>
  <c r="G265" i="6"/>
  <c r="Q265" i="6"/>
  <c r="Y264" i="6" l="1"/>
  <c r="V264" i="6" l="1"/>
  <c r="P264" i="6"/>
  <c r="C62" i="13" l="1"/>
  <c r="L261" i="6"/>
  <c r="V260" i="6"/>
  <c r="I260" i="6"/>
  <c r="O251" i="6" l="1"/>
  <c r="G260" i="6"/>
  <c r="Y259" i="6"/>
  <c r="V259" i="6"/>
  <c r="O258" i="6" l="1"/>
  <c r="I258" i="6"/>
  <c r="T248" i="6" l="1"/>
  <c r="V256" i="6" l="1"/>
  <c r="AD253" i="6" l="1"/>
  <c r="V252" i="6" l="1"/>
  <c r="V247" i="6" l="1"/>
  <c r="AD246" i="6"/>
  <c r="T245" i="6"/>
  <c r="V245" i="6"/>
  <c r="AD244" i="6"/>
  <c r="T243" i="6"/>
  <c r="O243" i="6"/>
  <c r="P243" i="6"/>
  <c r="L243" i="6"/>
  <c r="V243" i="6"/>
  <c r="AD94" i="6" l="1"/>
  <c r="V239" i="6" l="1"/>
  <c r="V240" i="6"/>
  <c r="P239" i="6" l="1"/>
  <c r="O239" i="6"/>
  <c r="L239" i="6" l="1"/>
  <c r="P237" i="6" l="1"/>
  <c r="O237" i="6"/>
  <c r="V236" i="6"/>
  <c r="V233" i="6" l="1"/>
  <c r="V231" i="6"/>
  <c r="V230" i="6"/>
  <c r="Q230" i="6" l="1"/>
  <c r="F229" i="6" l="1"/>
  <c r="T226" i="6" l="1"/>
  <c r="V226" i="6"/>
  <c r="V224" i="6"/>
  <c r="L222" i="6" l="1"/>
  <c r="V222" i="6" l="1"/>
  <c r="AD221" i="6" l="1"/>
  <c r="V219" i="6" l="1"/>
  <c r="O214" i="6" l="1"/>
  <c r="AD213" i="6"/>
  <c r="AD212" i="6" l="1"/>
  <c r="V212" i="6"/>
  <c r="V210" i="6" l="1"/>
  <c r="AD208" i="6" l="1"/>
  <c r="C208" i="6"/>
  <c r="V208" i="6"/>
  <c r="Y208" i="6"/>
  <c r="D205" i="6" l="1"/>
  <c r="C205" i="6"/>
  <c r="AD200" i="6" l="1"/>
  <c r="AD204" i="6"/>
  <c r="V201" i="6"/>
  <c r="O201" i="6"/>
  <c r="V199" i="6" l="1"/>
  <c r="AD197" i="6"/>
  <c r="V198" i="6"/>
  <c r="AD198" i="6"/>
  <c r="D196" i="6"/>
  <c r="V196" i="6"/>
  <c r="Y196" i="6"/>
  <c r="Q196" i="6"/>
  <c r="AD193" i="6" l="1"/>
  <c r="Q190" i="6"/>
  <c r="V193" i="6"/>
  <c r="Y191" i="6" l="1"/>
  <c r="O190" i="6" l="1"/>
  <c r="D190" i="6"/>
  <c r="L189" i="6"/>
  <c r="Q188" i="6" l="1"/>
  <c r="V188" i="6"/>
  <c r="O187" i="6"/>
  <c r="P187" i="6"/>
  <c r="Q187" i="6"/>
  <c r="Q186" i="6"/>
  <c r="Q184" i="6" l="1"/>
  <c r="Q183" i="6" l="1"/>
  <c r="O183" i="6"/>
  <c r="G181" i="6"/>
  <c r="Q180" i="6"/>
  <c r="R180" i="6"/>
  <c r="O180" i="6" l="1"/>
  <c r="P180" i="6"/>
  <c r="AD176" i="6" l="1"/>
  <c r="Q173" i="6" l="1"/>
  <c r="Q170" i="6" l="1"/>
  <c r="V169" i="6" l="1"/>
  <c r="O166" i="6"/>
  <c r="Q154" i="6" l="1"/>
  <c r="Q152" i="6" l="1"/>
  <c r="Q149" i="6"/>
  <c r="Q147" i="6"/>
  <c r="Q84" i="6" l="1"/>
  <c r="Q91" i="6"/>
  <c r="Y91" i="6" l="1"/>
  <c r="IR17" i="10" l="1"/>
  <c r="IR11" i="10"/>
  <c r="IR8" i="10"/>
  <c r="IR9" i="10"/>
  <c r="IR10" i="10"/>
  <c r="IR7" i="10"/>
  <c r="IR6" i="10"/>
  <c r="I92" i="6" l="1"/>
  <c r="V91" i="6"/>
  <c r="I90" i="6"/>
  <c r="L90" i="6"/>
  <c r="V89" i="6" l="1"/>
  <c r="Y89" i="6"/>
  <c r="Q89" i="6"/>
  <c r="V88" i="6"/>
  <c r="L89" i="6"/>
  <c r="Q86" i="6" l="1"/>
  <c r="V86" i="6"/>
  <c r="V85" i="6"/>
  <c r="I83" i="6" l="1"/>
  <c r="C82" i="6" l="1"/>
  <c r="R82" i="6"/>
  <c r="Q82" i="6"/>
  <c r="V82" i="6"/>
  <c r="L79" i="6" l="1"/>
  <c r="M79" i="6"/>
  <c r="V79" i="6"/>
  <c r="C77" i="6" l="1"/>
  <c r="Y77" i="6"/>
  <c r="Q77" i="6"/>
  <c r="R77" i="6"/>
  <c r="L77" i="6" l="1"/>
  <c r="V77" i="6"/>
  <c r="Q75" i="6" l="1"/>
  <c r="R75" i="6"/>
  <c r="Y75" i="6"/>
  <c r="L75" i="6"/>
  <c r="V73" i="6" l="1"/>
  <c r="R72" i="6"/>
  <c r="Q72" i="6"/>
  <c r="L72" i="6" l="1"/>
  <c r="Q70" i="6" l="1"/>
  <c r="C70" i="6"/>
  <c r="D70" i="6"/>
  <c r="R70" i="6"/>
  <c r="L70" i="6" l="1"/>
  <c r="Y68" i="6"/>
  <c r="Q68" i="6"/>
  <c r="R68" i="6"/>
  <c r="V68" i="6"/>
  <c r="HL11" i="10" l="1"/>
  <c r="HL10" i="10"/>
  <c r="HL7" i="10"/>
  <c r="HL6" i="10"/>
  <c r="HL8" i="10" l="1"/>
  <c r="Y65" i="6" l="1"/>
  <c r="I64" i="6" l="1"/>
  <c r="V64" i="6" l="1"/>
  <c r="AC62" i="6" l="1"/>
  <c r="V62" i="6"/>
  <c r="I57" i="6" l="1"/>
  <c r="V57" i="6"/>
  <c r="L47" i="6" l="1"/>
  <c r="L54" i="6"/>
  <c r="V55" i="6" l="1"/>
  <c r="I55" i="6"/>
  <c r="Y54" i="6" l="1"/>
  <c r="V54" i="6"/>
  <c r="C53" i="6"/>
  <c r="D53" i="6"/>
  <c r="V53" i="6" l="1"/>
  <c r="V47" i="6" l="1"/>
  <c r="B51" i="6" l="1"/>
  <c r="V44" i="6" l="1"/>
  <c r="V40" i="6" l="1"/>
  <c r="Y40" i="6"/>
  <c r="V37" i="6" l="1"/>
  <c r="V39" i="6"/>
  <c r="L37" i="6" l="1"/>
  <c r="GH8" i="10" l="1"/>
  <c r="GH9" i="10"/>
  <c r="GH10" i="10"/>
  <c r="GH11" i="10"/>
  <c r="GH6" i="10"/>
  <c r="D36" i="6" l="1"/>
  <c r="V35" i="6"/>
  <c r="V19" i="6" l="1"/>
  <c r="L31" i="6" l="1"/>
  <c r="Y31" i="6"/>
  <c r="F29" i="6" l="1"/>
  <c r="Y28" i="6" l="1"/>
  <c r="F24" i="6" l="1"/>
  <c r="C23" i="6"/>
  <c r="L23" i="6"/>
  <c r="V23" i="6"/>
  <c r="Y23" i="6"/>
  <c r="Q21" i="6" l="1"/>
  <c r="Q16" i="6"/>
  <c r="Y19" i="6" l="1"/>
  <c r="I15" i="6" l="1"/>
  <c r="Y14" i="6" l="1"/>
  <c r="C10" i="6" l="1"/>
  <c r="D10" i="6"/>
  <c r="F9" i="6" l="1"/>
  <c r="F8" i="6" l="1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5" i="6"/>
  <c r="F26" i="6"/>
  <c r="F27" i="6"/>
  <c r="F28" i="6"/>
  <c r="F30" i="6"/>
  <c r="F31" i="6"/>
  <c r="F32" i="6"/>
  <c r="F33" i="6"/>
  <c r="F34" i="6"/>
  <c r="F35" i="6"/>
  <c r="F36" i="6"/>
  <c r="F37" i="6"/>
  <c r="F38" i="6"/>
  <c r="F39" i="6"/>
  <c r="F40" i="6"/>
  <c r="AD40" i="6" s="1"/>
  <c r="F41" i="6"/>
  <c r="F42" i="6"/>
  <c r="F43" i="6"/>
  <c r="AD43" i="6" s="1"/>
  <c r="F44" i="6"/>
  <c r="F45" i="6"/>
  <c r="F46" i="6"/>
  <c r="F47" i="6"/>
  <c r="F48" i="6"/>
  <c r="F49" i="6"/>
  <c r="F50" i="6"/>
  <c r="F51" i="6"/>
  <c r="AD51" i="6" s="1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4" i="6"/>
  <c r="F75" i="6"/>
  <c r="F76" i="6"/>
  <c r="F77" i="6"/>
  <c r="F78" i="6"/>
  <c r="F79" i="6"/>
  <c r="F81" i="6"/>
  <c r="F82" i="6"/>
  <c r="F83" i="6"/>
  <c r="F84" i="6"/>
  <c r="F85" i="6"/>
  <c r="F86" i="6"/>
  <c r="F88" i="6"/>
  <c r="F89" i="6"/>
  <c r="F90" i="6"/>
  <c r="F91" i="6"/>
  <c r="F92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AD191" i="6" s="1"/>
  <c r="F192" i="6"/>
  <c r="F193" i="6"/>
  <c r="F194" i="6"/>
  <c r="F195" i="6"/>
  <c r="F196" i="6"/>
  <c r="AD196" i="6" s="1"/>
  <c r="F197" i="6"/>
  <c r="F198" i="6"/>
  <c r="F199" i="6"/>
  <c r="AD199" i="6" s="1"/>
  <c r="F200" i="6"/>
  <c r="F201" i="6"/>
  <c r="AD201" i="6" s="1"/>
  <c r="F202" i="6"/>
  <c r="F203" i="6"/>
  <c r="AD203" i="6" s="1"/>
  <c r="F204" i="6"/>
  <c r="F205" i="6"/>
  <c r="AD205" i="6" s="1"/>
  <c r="F206" i="6"/>
  <c r="F207" i="6"/>
  <c r="F208" i="6"/>
  <c r="F209" i="6"/>
  <c r="F210" i="6"/>
  <c r="AD210" i="6" s="1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AD243" i="6" s="1"/>
  <c r="F244" i="6"/>
  <c r="F245" i="6"/>
  <c r="F246" i="6"/>
  <c r="F247" i="6"/>
  <c r="F248" i="6"/>
  <c r="F250" i="6"/>
  <c r="F251" i="6"/>
  <c r="F252" i="6"/>
  <c r="F253" i="6"/>
  <c r="F254" i="6"/>
  <c r="AD255" i="6"/>
  <c r="F256" i="6"/>
  <c r="AD256" i="6" s="1"/>
  <c r="F257" i="6"/>
  <c r="F258" i="6"/>
  <c r="AD258" i="6" s="1"/>
  <c r="F259" i="6"/>
  <c r="AD259" i="6" s="1"/>
  <c r="F260" i="6"/>
  <c r="AD260" i="6" s="1"/>
  <c r="F261" i="6"/>
  <c r="F262" i="6"/>
  <c r="F263" i="6"/>
  <c r="F264" i="6"/>
  <c r="F265" i="6"/>
  <c r="AD265" i="6" s="1"/>
  <c r="F266" i="6"/>
  <c r="F267" i="6"/>
  <c r="F268" i="6"/>
  <c r="F269" i="6"/>
  <c r="F270" i="6"/>
  <c r="AD270" i="6" s="1"/>
  <c r="F271" i="6"/>
  <c r="AD271" i="6" s="1"/>
  <c r="F272" i="6"/>
  <c r="F273" i="6"/>
  <c r="AD273" i="6" s="1"/>
  <c r="F274" i="6"/>
  <c r="F275" i="6"/>
  <c r="AD275" i="6" s="1"/>
  <c r="F276" i="6"/>
  <c r="F277" i="6"/>
  <c r="AD277" i="6" s="1"/>
  <c r="F278" i="6"/>
  <c r="F280" i="6"/>
  <c r="AD280" i="6" s="1"/>
  <c r="F281" i="6"/>
  <c r="F282" i="6"/>
  <c r="AD282" i="6" s="1"/>
  <c r="F284" i="6"/>
  <c r="AD284" i="6" s="1"/>
  <c r="F285" i="6"/>
  <c r="F286" i="6"/>
  <c r="AD286" i="6" s="1"/>
  <c r="F287" i="6"/>
  <c r="F288" i="6"/>
  <c r="F289" i="6"/>
  <c r="AD289" i="6" s="1"/>
  <c r="F291" i="6"/>
  <c r="F292" i="6"/>
  <c r="F293" i="6"/>
  <c r="F294" i="6"/>
  <c r="F295" i="6"/>
  <c r="F297" i="6"/>
  <c r="F298" i="6"/>
  <c r="F299" i="6"/>
  <c r="F300" i="6"/>
  <c r="F301" i="6"/>
  <c r="F302" i="6"/>
  <c r="AD302" i="6" s="1"/>
  <c r="F303" i="6"/>
  <c r="F304" i="6"/>
  <c r="F305" i="6"/>
  <c r="F306" i="6"/>
  <c r="AD306" i="6" s="1"/>
  <c r="F307" i="6"/>
  <c r="F308" i="6"/>
  <c r="AD308" i="6" s="1"/>
  <c r="F309" i="6"/>
  <c r="AD309" i="6" s="1"/>
  <c r="F310" i="6"/>
  <c r="F311" i="6"/>
  <c r="F312" i="6"/>
  <c r="F313" i="6"/>
  <c r="F314" i="6"/>
  <c r="F315" i="6"/>
  <c r="AD315" i="6" s="1"/>
  <c r="F316" i="6"/>
  <c r="F317" i="6"/>
  <c r="F319" i="6"/>
  <c r="F320" i="6"/>
  <c r="AD320" i="6" s="1"/>
  <c r="F321" i="6"/>
  <c r="F322" i="6"/>
  <c r="F323" i="6"/>
  <c r="F324" i="6"/>
  <c r="F325" i="6"/>
  <c r="F326" i="6"/>
  <c r="F327" i="6"/>
  <c r="F328" i="6"/>
  <c r="F329" i="6"/>
  <c r="AD329" i="6" s="1"/>
  <c r="F330" i="6"/>
  <c r="AD330" i="6" s="1"/>
  <c r="F331" i="6"/>
  <c r="AD331" i="6" s="1"/>
  <c r="F332" i="6"/>
  <c r="F333" i="6"/>
  <c r="F334" i="6"/>
  <c r="F335" i="6"/>
  <c r="F337" i="6"/>
  <c r="F338" i="6"/>
  <c r="F339" i="6"/>
  <c r="F340" i="6"/>
  <c r="F341" i="6"/>
  <c r="AD341" i="6" s="1"/>
  <c r="F342" i="6"/>
  <c r="F343" i="6"/>
  <c r="F344" i="6"/>
  <c r="AD344" i="6" s="1"/>
  <c r="F345" i="6"/>
  <c r="F346" i="6"/>
  <c r="F347" i="6"/>
  <c r="F348" i="6"/>
  <c r="F349" i="6"/>
  <c r="F350" i="6"/>
  <c r="AD350" i="6" s="1"/>
  <c r="F351" i="6"/>
  <c r="F352" i="6"/>
  <c r="F353" i="6"/>
  <c r="F354" i="6"/>
  <c r="AD354" i="6" s="1"/>
  <c r="F355" i="6"/>
  <c r="F357" i="6"/>
  <c r="F360" i="6"/>
  <c r="F362" i="6"/>
  <c r="F364" i="6"/>
  <c r="AD364" i="6" s="1"/>
  <c r="F366" i="6"/>
  <c r="F367" i="6"/>
  <c r="F368" i="6"/>
  <c r="F369" i="6"/>
  <c r="AD369" i="6" s="1"/>
  <c r="B6" i="6"/>
  <c r="F6" i="6"/>
  <c r="B7" i="6"/>
  <c r="AE7" i="6" s="1"/>
  <c r="B8" i="6" s="1"/>
  <c r="F7" i="6"/>
  <c r="FC10" i="10"/>
  <c r="FC8" i="10"/>
  <c r="AD8" i="6" l="1"/>
  <c r="AD7" i="6"/>
  <c r="AD6" i="6"/>
  <c r="FC6" i="10"/>
  <c r="DW10" i="10" l="1"/>
  <c r="DW8" i="10"/>
  <c r="DW9" i="10"/>
  <c r="DW6" i="10"/>
  <c r="CR4" i="10" l="1"/>
  <c r="CR5" i="10"/>
  <c r="CR6" i="10"/>
  <c r="CR10" i="10"/>
  <c r="CR9" i="10"/>
  <c r="CR8" i="10"/>
  <c r="BL4" i="10" l="1"/>
  <c r="BL5" i="10"/>
  <c r="BL8" i="10"/>
  <c r="BL6" i="10"/>
  <c r="AG9" i="10" l="1"/>
  <c r="AG5" i="10"/>
  <c r="AG4" i="10"/>
  <c r="AG6" i="10" l="1"/>
  <c r="AG8" i="10"/>
  <c r="B9" i="6" l="1"/>
  <c r="AD9" i="6" s="1"/>
  <c r="B10" i="6"/>
  <c r="B11" i="6" l="1"/>
  <c r="B12" i="6" l="1"/>
  <c r="AD12" i="6" s="1"/>
  <c r="AD10" i="6"/>
  <c r="B13" i="6" l="1"/>
  <c r="AD11" i="6"/>
  <c r="AD13" i="6" l="1"/>
  <c r="B14" i="6"/>
  <c r="AD14" i="6" s="1"/>
  <c r="B15" i="6" l="1"/>
  <c r="AD15" i="6" l="1"/>
  <c r="B16" i="6"/>
  <c r="AD16" i="6" l="1"/>
  <c r="AD17" i="6" l="1"/>
  <c r="B18" i="6"/>
  <c r="B19" i="6" l="1"/>
  <c r="AD19" i="6" s="1"/>
  <c r="B20" i="6" l="1"/>
  <c r="AD18" i="6"/>
  <c r="AD20" i="6" l="1"/>
  <c r="B21" i="6"/>
  <c r="AD21" i="6" l="1"/>
  <c r="B22" i="6"/>
  <c r="AD22" i="6" l="1"/>
  <c r="B23" i="6"/>
  <c r="B24" i="6" l="1"/>
  <c r="B25" i="6" l="1"/>
  <c r="AD23" i="6"/>
  <c r="B26" i="6" l="1"/>
  <c r="AD26" i="6" s="1"/>
  <c r="AD24" i="6"/>
  <c r="B27" i="6" l="1"/>
  <c r="AD25" i="6"/>
  <c r="B28" i="6" l="1"/>
  <c r="B29" i="6" l="1"/>
  <c r="AD29" i="6" s="1"/>
  <c r="AD27" i="6"/>
  <c r="B30" i="6" l="1"/>
  <c r="AD28" i="6"/>
  <c r="B31" i="6" l="1"/>
  <c r="AD31" i="6" s="1"/>
  <c r="B32" i="6" l="1"/>
  <c r="AD32" i="6" s="1"/>
  <c r="AD30" i="6"/>
  <c r="B33" i="6" l="1"/>
  <c r="B34" i="6" l="1"/>
  <c r="B35" i="6" l="1"/>
  <c r="AD33" i="6"/>
  <c r="B36" i="6" l="1"/>
  <c r="AD36" i="6" s="1"/>
  <c r="AD34" i="6"/>
  <c r="B37" i="6" l="1"/>
  <c r="AD35" i="6"/>
  <c r="B38" i="6" l="1"/>
  <c r="B39" i="6" l="1"/>
  <c r="AD37" i="6"/>
  <c r="AD39" i="6" l="1"/>
  <c r="AD38" i="6"/>
  <c r="B41" i="6" l="1"/>
  <c r="AD41" i="6" s="1"/>
  <c r="B42" i="6" l="1"/>
  <c r="AD42" i="6" s="1"/>
  <c r="B44" i="6" l="1"/>
  <c r="AD44" i="6" s="1"/>
  <c r="B46" i="6" l="1"/>
  <c r="B47" i="6" l="1"/>
  <c r="AD45" i="6"/>
  <c r="B48" i="6" l="1"/>
  <c r="AD46" i="6"/>
  <c r="AD48" i="6" l="1"/>
  <c r="B49" i="6"/>
  <c r="AD49" i="6" s="1"/>
  <c r="AD47" i="6"/>
  <c r="B50" i="6" l="1"/>
  <c r="AD50" i="6" l="1"/>
  <c r="B52" i="6" l="1"/>
  <c r="AD52" i="6" s="1"/>
  <c r="B53" i="6" l="1"/>
  <c r="AD53" i="6" l="1"/>
  <c r="B54" i="6"/>
  <c r="AD54" i="6" s="1"/>
  <c r="B55" i="6" l="1"/>
  <c r="AD55" i="6" l="1"/>
  <c r="B56" i="6"/>
  <c r="AD56" i="6" l="1"/>
  <c r="B57" i="6"/>
  <c r="AD57" i="6" l="1"/>
  <c r="B58" i="6"/>
  <c r="AD58" i="6" l="1"/>
  <c r="B60" i="6" l="1"/>
  <c r="AD60" i="6" l="1"/>
  <c r="B61" i="6"/>
  <c r="AD61" i="6" s="1"/>
  <c r="AD62" i="6" l="1"/>
  <c r="B63" i="6"/>
  <c r="AD63" i="6" l="1"/>
  <c r="B64" i="6"/>
  <c r="AD64" i="6" s="1"/>
  <c r="B65" i="6" l="1"/>
  <c r="B66" i="6" l="1"/>
  <c r="AD66" i="6" s="1"/>
  <c r="B67" i="6" l="1"/>
  <c r="AD67" i="6" s="1"/>
  <c r="AD65" i="6"/>
  <c r="B68" i="6" l="1"/>
  <c r="AD68" i="6" s="1"/>
  <c r="B69" i="6" l="1"/>
  <c r="B70" i="6" l="1"/>
  <c r="AD70" i="6" s="1"/>
  <c r="B71" i="6" l="1"/>
  <c r="AD69" i="6"/>
  <c r="AD71" i="6" l="1"/>
  <c r="B72" i="6"/>
  <c r="AD72" i="6" s="1"/>
  <c r="B73" i="6" l="1"/>
  <c r="B74" i="6" l="1"/>
  <c r="AD74" i="6" s="1"/>
  <c r="B75" i="6" l="1"/>
  <c r="AD75" i="6" s="1"/>
  <c r="B76" i="6" l="1"/>
  <c r="AD76" i="6" s="1"/>
  <c r="B77" i="6" l="1"/>
  <c r="AD77" i="6" s="1"/>
  <c r="B78" i="6" l="1"/>
  <c r="AD78" i="6" s="1"/>
  <c r="B79" i="6" l="1"/>
  <c r="AD79" i="6" s="1"/>
  <c r="B80" i="6" l="1"/>
  <c r="AD80" i="6" s="1"/>
  <c r="B81" i="6" l="1"/>
  <c r="AD81" i="6" s="1"/>
  <c r="B82" i="6" l="1"/>
  <c r="AD82" i="6" s="1"/>
  <c r="B83" i="6" l="1"/>
  <c r="AD83" i="6" s="1"/>
  <c r="B84" i="6" l="1"/>
  <c r="AD84" i="6" s="1"/>
  <c r="B85" i="6" l="1"/>
  <c r="AD85" i="6" s="1"/>
  <c r="B86" i="6" l="1"/>
  <c r="AD86" i="6" s="1"/>
  <c r="B87" i="6" l="1"/>
  <c r="AD87" i="6" s="1"/>
  <c r="B88" i="6" l="1"/>
  <c r="AD88" i="6" s="1"/>
  <c r="B89" i="6" l="1"/>
  <c r="AD89" i="6" s="1"/>
  <c r="B90" i="6" l="1"/>
  <c r="AD90" i="6" s="1"/>
  <c r="B91" i="6" l="1"/>
  <c r="AD91" i="6" s="1"/>
  <c r="B92" i="6" l="1"/>
  <c r="AD92" i="6" s="1"/>
  <c r="B93" i="6" l="1"/>
  <c r="B94" i="6" l="1"/>
  <c r="B95" i="6" l="1"/>
  <c r="AD95" i="6" s="1"/>
  <c r="B96" i="6" l="1"/>
  <c r="AD96" i="6" s="1"/>
  <c r="B97" i="6" l="1"/>
  <c r="AD97" i="6" s="1"/>
  <c r="B98" i="6" l="1"/>
  <c r="AD98" i="6" s="1"/>
  <c r="B99" i="6" l="1"/>
  <c r="AD99" i="6" s="1"/>
  <c r="B100" i="6" l="1"/>
  <c r="AD100" i="6" s="1"/>
  <c r="B101" i="6" l="1"/>
  <c r="AD101" i="6" s="1"/>
  <c r="B102" i="6" l="1"/>
  <c r="AD102" i="6" s="1"/>
  <c r="B103" i="6" l="1"/>
  <c r="AD103" i="6" s="1"/>
  <c r="B104" i="6" l="1"/>
  <c r="AD104" i="6" s="1"/>
  <c r="B105" i="6" l="1"/>
  <c r="AD105" i="6" s="1"/>
  <c r="B106" i="6" l="1"/>
  <c r="AD106" i="6" s="1"/>
  <c r="B107" i="6" l="1"/>
  <c r="AD107" i="6" s="1"/>
  <c r="B108" i="6" l="1"/>
  <c r="AD108" i="6" s="1"/>
  <c r="B109" i="6" l="1"/>
  <c r="AD109" i="6" s="1"/>
  <c r="B110" i="6" l="1"/>
  <c r="AD110" i="6" s="1"/>
  <c r="B111" i="6" l="1"/>
  <c r="AD111" i="6" s="1"/>
  <c r="B112" i="6" l="1"/>
  <c r="AD112" i="6" s="1"/>
  <c r="B113" i="6" l="1"/>
  <c r="AD113" i="6" s="1"/>
  <c r="B114" i="6" l="1"/>
  <c r="AD114" i="6" s="1"/>
  <c r="B115" i="6" l="1"/>
  <c r="AD115" i="6" s="1"/>
  <c r="B116" i="6" l="1"/>
  <c r="AD116" i="6" s="1"/>
  <c r="B117" i="6" l="1"/>
  <c r="AD117" i="6" s="1"/>
  <c r="B118" i="6" l="1"/>
  <c r="AD118" i="6" s="1"/>
  <c r="B119" i="6" l="1"/>
  <c r="AD119" i="6" s="1"/>
  <c r="B120" i="6" l="1"/>
  <c r="AD120" i="6" s="1"/>
  <c r="B121" i="6" l="1"/>
  <c r="AD121" i="6" s="1"/>
  <c r="B122" i="6" l="1"/>
  <c r="AD122" i="6" s="1"/>
  <c r="B123" i="6" l="1"/>
  <c r="AD123" i="6" s="1"/>
  <c r="B124" i="6" l="1"/>
  <c r="AD124" i="6" s="1"/>
  <c r="B125" i="6" l="1"/>
  <c r="AD125" i="6" s="1"/>
  <c r="B126" i="6" l="1"/>
  <c r="AD126" i="6" s="1"/>
  <c r="B127" i="6" l="1"/>
  <c r="AD127" i="6" s="1"/>
  <c r="B128" i="6" l="1"/>
  <c r="AD128" i="6" s="1"/>
  <c r="B129" i="6" l="1"/>
  <c r="AD129" i="6" s="1"/>
  <c r="B130" i="6" l="1"/>
  <c r="AD130" i="6" s="1"/>
  <c r="B131" i="6" l="1"/>
  <c r="AD131" i="6" s="1"/>
  <c r="B132" i="6" l="1"/>
  <c r="AD132" i="6" s="1"/>
  <c r="B133" i="6" l="1"/>
  <c r="AD133" i="6" s="1"/>
  <c r="B134" i="6" l="1"/>
  <c r="AD134" i="6" s="1"/>
  <c r="B135" i="6" l="1"/>
  <c r="AD135" i="6" s="1"/>
  <c r="B136" i="6" l="1"/>
  <c r="AD136" i="6" s="1"/>
  <c r="B137" i="6" l="1"/>
  <c r="AD137" i="6" s="1"/>
  <c r="B138" i="6" l="1"/>
  <c r="AD138" i="6" s="1"/>
  <c r="B139" i="6" l="1"/>
  <c r="AD139" i="6" s="1"/>
  <c r="B140" i="6" l="1"/>
  <c r="AD140" i="6" s="1"/>
  <c r="B141" i="6" l="1"/>
  <c r="AD141" i="6" s="1"/>
  <c r="B142" i="6" l="1"/>
  <c r="AD142" i="6" s="1"/>
  <c r="B143" i="6" l="1"/>
  <c r="AD143" i="6" s="1"/>
  <c r="B144" i="6" l="1"/>
  <c r="AD144" i="6" s="1"/>
  <c r="B145" i="6" l="1"/>
  <c r="AD145" i="6" s="1"/>
  <c r="B146" i="6" l="1"/>
  <c r="AD146" i="6" s="1"/>
  <c r="B147" i="6" l="1"/>
  <c r="AD147" i="6" s="1"/>
  <c r="B148" i="6" l="1"/>
  <c r="AD148" i="6" s="1"/>
  <c r="B149" i="6" l="1"/>
  <c r="AD149" i="6" s="1"/>
  <c r="B150" i="6" l="1"/>
  <c r="AD150" i="6" s="1"/>
  <c r="B151" i="6" l="1"/>
  <c r="AD151" i="6" s="1"/>
  <c r="B152" i="6" l="1"/>
  <c r="AD152" i="6" s="1"/>
  <c r="B153" i="6" l="1"/>
  <c r="AD153" i="6" s="1"/>
  <c r="B154" i="6" l="1"/>
  <c r="AD154" i="6" s="1"/>
  <c r="B155" i="6" l="1"/>
  <c r="AD155" i="6" s="1"/>
  <c r="B156" i="6" l="1"/>
  <c r="AD156" i="6" s="1"/>
  <c r="B157" i="6" l="1"/>
  <c r="AD157" i="6" s="1"/>
  <c r="B158" i="6" l="1"/>
  <c r="AD158" i="6" s="1"/>
  <c r="B159" i="6" l="1"/>
  <c r="AD159" i="6" s="1"/>
  <c r="B160" i="6" l="1"/>
  <c r="AD160" i="6" s="1"/>
  <c r="B161" i="6" l="1"/>
  <c r="AD161" i="6" s="1"/>
  <c r="B162" i="6" l="1"/>
  <c r="AD162" i="6" s="1"/>
  <c r="B163" i="6" l="1"/>
  <c r="AD163" i="6" s="1"/>
  <c r="B164" i="6" l="1"/>
  <c r="AD164" i="6" s="1"/>
  <c r="B165" i="6" l="1"/>
  <c r="AD165" i="6" s="1"/>
  <c r="B166" i="6" l="1"/>
  <c r="AD166" i="6" s="1"/>
  <c r="B167" i="6" l="1"/>
  <c r="AD167" i="6" s="1"/>
  <c r="B168" i="6" l="1"/>
  <c r="AD168" i="6" s="1"/>
  <c r="B169" i="6" l="1"/>
  <c r="AD169" i="6" s="1"/>
  <c r="B170" i="6" l="1"/>
  <c r="AD170" i="6" s="1"/>
  <c r="B171" i="6" l="1"/>
  <c r="AD171" i="6" s="1"/>
  <c r="B172" i="6" l="1"/>
  <c r="AD172" i="6" s="1"/>
  <c r="B173" i="6" l="1"/>
  <c r="AD173" i="6" s="1"/>
  <c r="B174" i="6" l="1"/>
  <c r="AD174" i="6" s="1"/>
  <c r="B175" i="6" l="1"/>
  <c r="AD175" i="6" s="1"/>
  <c r="B176" i="6" l="1"/>
  <c r="B177" i="6" l="1"/>
  <c r="AD177" i="6" s="1"/>
  <c r="B178" i="6" l="1"/>
  <c r="AD178" i="6" s="1"/>
  <c r="B179" i="6" l="1"/>
  <c r="AD179" i="6" s="1"/>
  <c r="B180" i="6" l="1"/>
  <c r="AD180" i="6" s="1"/>
  <c r="B181" i="6" l="1"/>
  <c r="AD181" i="6" s="1"/>
  <c r="B182" i="6" l="1"/>
  <c r="AD182" i="6" s="1"/>
  <c r="B183" i="6" l="1"/>
  <c r="AD183" i="6" s="1"/>
  <c r="B184" i="6" l="1"/>
  <c r="AD184" i="6" s="1"/>
  <c r="B185" i="6" l="1"/>
  <c r="AD185" i="6" s="1"/>
  <c r="B186" i="6" l="1"/>
  <c r="AD186" i="6" s="1"/>
  <c r="B187" i="6" l="1"/>
  <c r="AD187" i="6" s="1"/>
  <c r="B188" i="6" l="1"/>
  <c r="AD188" i="6" s="1"/>
  <c r="B189" i="6" l="1"/>
  <c r="AD189" i="6" s="1"/>
  <c r="B190" i="6" l="1"/>
  <c r="AD190" i="6" s="1"/>
  <c r="B191" i="6" l="1"/>
  <c r="B192" i="6" l="1"/>
  <c r="AD192" i="6" s="1"/>
  <c r="B193" i="6" l="1"/>
  <c r="B194" i="6" l="1"/>
  <c r="AD194" i="6" s="1"/>
  <c r="B195" i="6" l="1"/>
  <c r="AD195" i="6" s="1"/>
  <c r="B196" i="6" l="1"/>
  <c r="B197" i="6" l="1"/>
  <c r="B198" i="6" l="1"/>
  <c r="B199" i="6" l="1"/>
  <c r="B200" i="6" l="1"/>
  <c r="B201" i="6" l="1"/>
  <c r="B202" i="6" l="1"/>
  <c r="B203" i="6" l="1"/>
  <c r="B204" i="6" l="1"/>
  <c r="B205" i="6" l="1"/>
  <c r="B206" i="6" l="1"/>
  <c r="B207" i="6" l="1"/>
  <c r="AD207" i="6" s="1"/>
  <c r="B208" i="6" l="1"/>
  <c r="B209" i="6" l="1"/>
  <c r="AD209" i="6" s="1"/>
  <c r="B210" i="6" l="1"/>
  <c r="B211" i="6" l="1"/>
  <c r="AD211" i="6" s="1"/>
  <c r="B212" i="6" l="1"/>
  <c r="B213" i="6" l="1"/>
  <c r="B214" i="6" l="1"/>
  <c r="AD214" i="6" s="1"/>
  <c r="B215" i="6" l="1"/>
  <c r="AD215" i="6" s="1"/>
  <c r="B216" i="6" l="1"/>
  <c r="AD216" i="6" s="1"/>
  <c r="B217" i="6" l="1"/>
  <c r="AD217" i="6" s="1"/>
  <c r="B218" i="6" l="1"/>
  <c r="AD218" i="6" s="1"/>
  <c r="B219" i="6" l="1"/>
  <c r="AD219" i="6" s="1"/>
  <c r="B220" i="6" l="1"/>
  <c r="AD220" i="6" s="1"/>
  <c r="B221" i="6" l="1"/>
  <c r="B222" i="6" l="1"/>
  <c r="AD222" i="6" s="1"/>
  <c r="B223" i="6" l="1"/>
  <c r="AD223" i="6" s="1"/>
  <c r="B224" i="6" l="1"/>
  <c r="AD224" i="6" s="1"/>
  <c r="B225" i="6" l="1"/>
  <c r="AD225" i="6" s="1"/>
  <c r="B226" i="6" l="1"/>
  <c r="AD226" i="6" s="1"/>
  <c r="B227" i="6" l="1"/>
  <c r="AD227" i="6" s="1"/>
  <c r="B228" i="6" l="1"/>
  <c r="AD228" i="6" s="1"/>
  <c r="B229" i="6" l="1"/>
  <c r="AD229" i="6" s="1"/>
  <c r="B230" i="6" l="1"/>
  <c r="AD230" i="6" s="1"/>
  <c r="B231" i="6" l="1"/>
  <c r="AD231" i="6" s="1"/>
  <c r="B232" i="6" l="1"/>
  <c r="AD232" i="6" s="1"/>
  <c r="B233" i="6" l="1"/>
  <c r="AD233" i="6" s="1"/>
  <c r="B234" i="6" l="1"/>
  <c r="AD234" i="6" s="1"/>
  <c r="B235" i="6" l="1"/>
  <c r="AD235" i="6" s="1"/>
  <c r="B236" i="6" l="1"/>
  <c r="AD236" i="6" s="1"/>
  <c r="B237" i="6" l="1"/>
  <c r="B238" i="6" l="1"/>
  <c r="AD238" i="6" s="1"/>
  <c r="B239" i="6" l="1"/>
  <c r="AD239" i="6" s="1"/>
  <c r="B240" i="6" l="1"/>
  <c r="AD240" i="6" s="1"/>
  <c r="B241" i="6" l="1"/>
  <c r="B242" i="6" l="1"/>
  <c r="AD242" i="6" s="1"/>
  <c r="B243" i="6" l="1"/>
  <c r="B244" i="6" l="1"/>
  <c r="B245" i="6" l="1"/>
  <c r="AD245" i="6" s="1"/>
  <c r="B246" i="6" l="1"/>
  <c r="B247" i="6" l="1"/>
  <c r="AD247" i="6" s="1"/>
  <c r="B248" i="6" l="1"/>
  <c r="B249" i="6" l="1"/>
  <c r="B250" i="6" l="1"/>
  <c r="AD250" i="6" s="1"/>
  <c r="B251" i="6" l="1"/>
  <c r="AD251" i="6" s="1"/>
  <c r="B252" i="6" l="1"/>
  <c r="AD252" i="6" s="1"/>
  <c r="B253" i="6" l="1"/>
  <c r="B254" i="6" l="1"/>
  <c r="AD254" i="6" s="1"/>
  <c r="B255" i="6" l="1"/>
  <c r="B256" i="6" l="1"/>
  <c r="B257" i="6" l="1"/>
  <c r="AD257" i="6" s="1"/>
  <c r="B258" i="6" l="1"/>
  <c r="B259" i="6" l="1"/>
  <c r="B260" i="6" l="1"/>
  <c r="B261" i="6" l="1"/>
  <c r="AD261" i="6" s="1"/>
  <c r="B262" i="6" l="1"/>
  <c r="B263" i="6" l="1"/>
  <c r="B264" i="6" l="1"/>
  <c r="AD264" i="6" s="1"/>
  <c r="B265" i="6" l="1"/>
  <c r="B266" i="6" l="1"/>
  <c r="B267" i="6" l="1"/>
  <c r="B268" i="6" l="1"/>
  <c r="B269" i="6" l="1"/>
  <c r="B270" i="6" l="1"/>
  <c r="B271" i="6" l="1"/>
  <c r="B272" i="6" l="1"/>
  <c r="B273" i="6" l="1"/>
  <c r="B274" i="6" l="1"/>
  <c r="B275" i="6" l="1"/>
  <c r="B276" i="6" l="1"/>
  <c r="AD276" i="6" s="1"/>
  <c r="B277" i="6" l="1"/>
  <c r="B278" i="6" l="1"/>
  <c r="AD278" i="6" s="1"/>
  <c r="B279" i="6" l="1"/>
  <c r="AD279" i="6" s="1"/>
  <c r="B280" i="6" l="1"/>
  <c r="B281" i="6" l="1"/>
  <c r="B283" i="6" l="1"/>
  <c r="B284" i="6" l="1"/>
  <c r="B285" i="6" l="1"/>
  <c r="AD285" i="6" s="1"/>
  <c r="B286" i="6" l="1"/>
  <c r="B287" i="6" l="1"/>
  <c r="B288" i="6" l="1"/>
  <c r="AD288" i="6" s="1"/>
  <c r="B289" i="6" l="1"/>
  <c r="B290" i="6" l="1"/>
  <c r="B291" i="6" l="1"/>
  <c r="AD291" i="6" s="1"/>
  <c r="B292" i="6" l="1"/>
  <c r="B293" i="6" l="1"/>
  <c r="AD293" i="6" s="1"/>
  <c r="B294" i="6" l="1"/>
  <c r="B295" i="6" l="1"/>
  <c r="B296" i="6" l="1"/>
  <c r="B297" i="6" l="1"/>
  <c r="B298" i="6" l="1"/>
  <c r="B299" i="6" l="1"/>
  <c r="B300" i="6" l="1"/>
  <c r="B301" i="6" l="1"/>
  <c r="B302" i="6" l="1"/>
  <c r="B303" i="6" l="1"/>
  <c r="B304" i="6" l="1"/>
  <c r="AD304" i="6" s="1"/>
  <c r="B305" i="6" l="1"/>
  <c r="AD305" i="6" s="1"/>
  <c r="B306" i="6" l="1"/>
  <c r="B307" i="6" l="1"/>
  <c r="B308" i="6" l="1"/>
  <c r="B309" i="6" l="1"/>
  <c r="B310" i="6" l="1"/>
  <c r="AD310" i="6" s="1"/>
  <c r="B311" i="6" l="1"/>
  <c r="AD311" i="6" s="1"/>
  <c r="B312" i="6" l="1"/>
  <c r="AD312" i="6" s="1"/>
  <c r="B313" i="6" l="1"/>
  <c r="AD313" i="6" s="1"/>
  <c r="B314" i="6" l="1"/>
  <c r="AD314" i="6" s="1"/>
  <c r="B315" i="6" l="1"/>
  <c r="B316" i="6" l="1"/>
  <c r="B317" i="6" l="1"/>
  <c r="B318" i="6" l="1"/>
  <c r="B319" i="6" l="1"/>
  <c r="B320" i="6" l="1"/>
  <c r="B321" i="6" l="1"/>
  <c r="B322" i="6" l="1"/>
  <c r="B323" i="6" l="1"/>
  <c r="B324" i="6" l="1"/>
  <c r="AD324" i="6" s="1"/>
  <c r="B325" i="6" l="1"/>
  <c r="B326" i="6" l="1"/>
  <c r="B327" i="6" l="1"/>
  <c r="B328" i="6" l="1"/>
  <c r="AD328" i="6" s="1"/>
  <c r="B329" i="6" l="1"/>
  <c r="B330" i="6" l="1"/>
  <c r="B331" i="6" l="1"/>
  <c r="B332" i="6" l="1"/>
  <c r="AD332" i="6" s="1"/>
  <c r="B333" i="6" l="1"/>
  <c r="B334" i="6" l="1"/>
  <c r="B335" i="6" l="1"/>
  <c r="AD335" i="6" s="1"/>
  <c r="B336" i="6" l="1"/>
  <c r="B337" i="6" l="1"/>
  <c r="AD337" i="6" s="1"/>
  <c r="B338" i="6" l="1"/>
  <c r="AD338" i="6" s="1"/>
  <c r="B339" i="6" l="1"/>
  <c r="AD339" i="6" s="1"/>
  <c r="B340" i="6" l="1"/>
  <c r="AD340" i="6" s="1"/>
  <c r="B341" i="6" l="1"/>
  <c r="B342" i="6" l="1"/>
  <c r="AD342" i="6" s="1"/>
  <c r="B343" i="6" l="1"/>
  <c r="AD343" i="6" s="1"/>
  <c r="B344" i="6" l="1"/>
  <c r="B346" i="6" l="1"/>
  <c r="AD346" i="6" s="1"/>
  <c r="AD347" i="6" l="1"/>
  <c r="B348" i="6" l="1"/>
  <c r="AD348" i="6" s="1"/>
  <c r="B349" i="6" l="1"/>
  <c r="AD349" i="6" s="1"/>
  <c r="AD351" i="6" l="1"/>
  <c r="B352" i="6" l="1"/>
  <c r="B353" i="6" l="1"/>
  <c r="AD353" i="6" s="1"/>
  <c r="B355" i="6" l="1"/>
  <c r="B357" i="6" l="1"/>
  <c r="AD357" i="6" s="1"/>
  <c r="B358" i="6" l="1"/>
  <c r="B359" i="6" l="1"/>
  <c r="B360" i="6" l="1"/>
  <c r="B361" i="6" l="1"/>
  <c r="B362" i="6" l="1"/>
  <c r="AD362" i="6" s="1"/>
  <c r="B364" i="6" l="1"/>
  <c r="B365" i="6" l="1"/>
  <c r="B366" i="6" l="1"/>
  <c r="AD366" i="6" s="1"/>
  <c r="B367" i="6" l="1"/>
  <c r="B368" i="6" l="1"/>
  <c r="AD368" i="6" s="1"/>
  <c r="B369" i="6" l="1"/>
  <c r="B370" i="6" l="1"/>
  <c r="B371" i="6" l="1"/>
  <c r="B372" i="6" l="1"/>
  <c r="AD372" i="6" s="1"/>
  <c r="AD373" i="6" l="1"/>
  <c r="B375" i="6" l="1"/>
  <c r="AD375" i="6" s="1"/>
  <c r="B376" i="6" l="1"/>
  <c r="AD376" i="6" s="1"/>
  <c r="B378" i="6" l="1"/>
  <c r="AD378" i="6" s="1"/>
  <c r="B379" i="6" l="1"/>
  <c r="AD379" i="6" s="1"/>
  <c r="B380" i="6" l="1"/>
  <c r="B381" i="6" l="1"/>
  <c r="B382" i="6" l="1"/>
  <c r="AD382" i="6" s="1"/>
  <c r="B383" i="6" l="1"/>
  <c r="B384" i="6" l="1"/>
  <c r="B385" i="6" l="1"/>
  <c r="AD385" i="6" s="1"/>
  <c r="B386" i="6" l="1"/>
  <c r="B387" i="6" l="1"/>
  <c r="B388" i="6" l="1"/>
  <c r="B389" i="6" l="1"/>
  <c r="AD389" i="6" s="1"/>
  <c r="B390" i="6" l="1"/>
  <c r="AD390" i="6" s="1"/>
  <c r="B391" i="6" l="1"/>
  <c r="AD391" i="6" s="1"/>
  <c r="B392" i="6" l="1"/>
  <c r="B393" i="6" l="1"/>
  <c r="AD393" i="6" s="1"/>
  <c r="B394" i="6" l="1"/>
  <c r="B395" i="6" l="1"/>
  <c r="AD395" i="6" s="1"/>
  <c r="B396" i="6" l="1"/>
  <c r="AD396" i="6" s="1"/>
  <c r="B397" i="6" l="1"/>
  <c r="B398" i="6" l="1"/>
  <c r="B399" i="6" l="1"/>
  <c r="B400" i="6" l="1"/>
  <c r="B401" i="6" l="1"/>
  <c r="B402" i="6" l="1"/>
  <c r="B403" i="6" l="1"/>
  <c r="AD403" i="6" s="1"/>
  <c r="B404" i="6" l="1"/>
  <c r="AD404" i="6" s="1"/>
  <c r="B405" i="6" l="1"/>
  <c r="AD405" i="6" s="1"/>
  <c r="B406" i="6" l="1"/>
  <c r="B407" i="6" l="1"/>
  <c r="B408" i="6" l="1"/>
  <c r="AD408" i="6" s="1"/>
  <c r="B409" i="6" l="1"/>
  <c r="AD409" i="6" s="1"/>
  <c r="F361" i="6" l="1"/>
  <c r="AD361" i="6" s="1"/>
  <c r="F365" i="6"/>
  <c r="AD365" i="6" s="1"/>
  <c r="F359" i="6"/>
  <c r="AD359" i="6" s="1"/>
  <c r="F363" i="6"/>
  <c r="AD363" i="6" s="1"/>
  <c r="F358" i="6"/>
  <c r="AD358" i="6" s="1"/>
  <c r="AD435" i="6"/>
</calcChain>
</file>

<file path=xl/comments1.xml><?xml version="1.0" encoding="utf-8"?>
<comments xmlns="http://schemas.openxmlformats.org/spreadsheetml/2006/main">
  <authors>
    <author>User</author>
    <author>алексей</author>
    <author>Пользователь Windows</author>
  </authors>
  <commentList>
    <comment ref="Q1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групповые 3чел+Бешагина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групповые 3чел+Бешагина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отметить занятие в абонементе по Покидко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лис
</t>
        </r>
      </text>
    </comment>
    <comment ref="Y37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отметить в абонементе пос.</t>
        </r>
      </text>
    </comment>
    <comment ref="AB62" authorId="1" shapeId="0">
      <text>
        <r>
          <rPr>
            <b/>
            <sz val="9"/>
            <color indexed="81"/>
            <rFont val="Tahoma"/>
            <family val="2"/>
            <charset val="204"/>
          </rPr>
          <t>алексей:</t>
        </r>
        <r>
          <rPr>
            <sz val="9"/>
            <color indexed="81"/>
            <rFont val="Tahoma"/>
            <family val="2"/>
            <charset val="204"/>
          </rPr>
          <t xml:space="preserve">
перечислила Насте 5000руб.</t>
        </r>
      </text>
    </comment>
    <comment ref="N70" authorId="1" shapeId="0">
      <text>
        <r>
          <rPr>
            <b/>
            <sz val="9"/>
            <color indexed="81"/>
            <rFont val="Tahoma"/>
            <family val="2"/>
            <charset val="204"/>
          </rPr>
          <t>алексей:</t>
        </r>
        <r>
          <rPr>
            <sz val="9"/>
            <color indexed="81"/>
            <rFont val="Tahoma"/>
            <family val="2"/>
            <charset val="204"/>
          </rPr>
          <t xml:space="preserve">
Старцева-обнуление, опоздание</t>
        </r>
      </text>
    </comment>
    <comment ref="X89" authorId="2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Татаренкова, Иванова за 22.03.20
</t>
        </r>
      </text>
    </comment>
    <comment ref="O166" authorId="1" shapeId="0">
      <text>
        <r>
          <rPr>
            <b/>
            <sz val="9"/>
            <color indexed="81"/>
            <rFont val="Tahoma"/>
            <family val="2"/>
            <charset val="204"/>
          </rPr>
          <t>алексей:</t>
        </r>
        <r>
          <rPr>
            <sz val="9"/>
            <color indexed="81"/>
            <rFont val="Tahoma"/>
            <family val="2"/>
            <charset val="204"/>
          </rPr>
          <t xml:space="preserve">
питание 300+тренировка 300
</t>
        </r>
      </text>
    </comment>
    <comment ref="O168" authorId="1" shapeId="0">
      <text>
        <r>
          <rPr>
            <b/>
            <sz val="9"/>
            <color indexed="81"/>
            <rFont val="Tahoma"/>
            <family val="2"/>
            <charset val="204"/>
          </rPr>
          <t>алексей:</t>
        </r>
        <r>
          <rPr>
            <sz val="9"/>
            <color indexed="81"/>
            <rFont val="Tahoma"/>
            <family val="2"/>
            <charset val="204"/>
          </rPr>
          <t xml:space="preserve">
Галина</t>
        </r>
      </text>
    </comment>
    <comment ref="L196" authorId="2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прошлый раз недоплатила 50р.</t>
        </r>
      </text>
    </comment>
    <comment ref="V196" authorId="2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минус протеин.батончик</t>
        </r>
      </text>
    </comment>
    <comment ref="AC196" authorId="2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долг перед колей 50 р.</t>
        </r>
      </text>
    </comment>
    <comment ref="U198" authorId="2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прямой эфир</t>
        </r>
      </text>
    </comment>
    <comment ref="O201" authorId="2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Галя+эфир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прямой эфир</t>
        </r>
      </text>
    </comment>
    <comment ref="O238" authorId="2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Гичева</t>
        </r>
      </text>
    </comment>
    <comment ref="P258" authorId="2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4 гостевых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F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по факту посмотреть</t>
        </r>
      </text>
    </comment>
    <comment ref="ES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оплата 120р/час</t>
        </r>
      </text>
    </comment>
    <comment ref="FE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админ</t>
        </r>
      </text>
    </comment>
  </commentList>
</comments>
</file>

<file path=xl/sharedStrings.xml><?xml version="1.0" encoding="utf-8"?>
<sst xmlns="http://schemas.openxmlformats.org/spreadsheetml/2006/main" count="2698" uniqueCount="788">
  <si>
    <t>дата</t>
  </si>
  <si>
    <t>Гуцу</t>
  </si>
  <si>
    <t>Юферов</t>
  </si>
  <si>
    <t>Остаток на начало дня</t>
  </si>
  <si>
    <t>сумма, руб.</t>
  </si>
  <si>
    <t>Выплачено за тренировки</t>
  </si>
  <si>
    <t>сдано наличными, с учетом расходов</t>
  </si>
  <si>
    <t>Остаток на конец дня в кассе</t>
  </si>
  <si>
    <t>кол.</t>
  </si>
  <si>
    <t>Отв.лицо</t>
  </si>
  <si>
    <t xml:space="preserve"> руб.</t>
  </si>
  <si>
    <t>Тарабукина Суперскульпт</t>
  </si>
  <si>
    <t>Йога</t>
  </si>
  <si>
    <t>Движение денежных средств в кассе.</t>
  </si>
  <si>
    <t>Щепина Л.</t>
  </si>
  <si>
    <t>Седьюрова Е.</t>
  </si>
  <si>
    <t>Юферов Н.</t>
  </si>
  <si>
    <t>Кребс Д.</t>
  </si>
  <si>
    <t>Хоз.нужды</t>
  </si>
  <si>
    <t>содерж-е</t>
  </si>
  <si>
    <t>наименование</t>
  </si>
  <si>
    <t>Седьюрова Елена Алексеевна</t>
  </si>
  <si>
    <t>дата рождения</t>
  </si>
  <si>
    <t>контакт</t>
  </si>
  <si>
    <t>Руслан Валерьевич</t>
  </si>
  <si>
    <t>Юферов Николай Анатольевич</t>
  </si>
  <si>
    <t>Щепина Лариса Анатольевна</t>
  </si>
  <si>
    <t>Гуцу Ирина Робертовна</t>
  </si>
  <si>
    <t>Тарабукина Анастасия Алексеевна</t>
  </si>
  <si>
    <t>Иевлева Анастасия Васильевна</t>
  </si>
  <si>
    <t>Юлия Лихачева</t>
  </si>
  <si>
    <t>руб</t>
  </si>
  <si>
    <t>Драйлинг</t>
  </si>
  <si>
    <t>кол</t>
  </si>
  <si>
    <t>Железнова Елена</t>
  </si>
  <si>
    <t>Август</t>
  </si>
  <si>
    <t>дата-день недели</t>
  </si>
  <si>
    <t>ФИО</t>
  </si>
  <si>
    <t>чт</t>
  </si>
  <si>
    <t>пт</t>
  </si>
  <si>
    <t>сб</t>
  </si>
  <si>
    <t>вс</t>
  </si>
  <si>
    <t>пн</t>
  </si>
  <si>
    <t>вт</t>
  </si>
  <si>
    <t>ср</t>
  </si>
  <si>
    <t>В</t>
  </si>
  <si>
    <t>Н</t>
  </si>
  <si>
    <t>У</t>
  </si>
  <si>
    <t xml:space="preserve">вт, чт </t>
  </si>
  <si>
    <t>с 14 до 20</t>
  </si>
  <si>
    <t>с 16 до 22</t>
  </si>
  <si>
    <t>с 16 до 20</t>
  </si>
  <si>
    <t>О</t>
  </si>
  <si>
    <t>у</t>
  </si>
  <si>
    <t>итог</t>
  </si>
  <si>
    <t>периодичность</t>
  </si>
  <si>
    <t>каждую неделю</t>
  </si>
  <si>
    <t>стены большой зал для групповых</t>
  </si>
  <si>
    <t>двери (раздевалки)</t>
  </si>
  <si>
    <t xml:space="preserve">каждую неделю </t>
  </si>
  <si>
    <t>зеркала</t>
  </si>
  <si>
    <t>шкафчики муж (на верху и внутри)</t>
  </si>
  <si>
    <t>шкафчики жен (на верху и внутри)</t>
  </si>
  <si>
    <t>мячи (Седьюрова)</t>
  </si>
  <si>
    <t>Антон Юрганов</t>
  </si>
  <si>
    <t>электрик</t>
  </si>
  <si>
    <t>Настя Лис</t>
  </si>
  <si>
    <t>Юрганов</t>
  </si>
  <si>
    <t>Андрей Лисицков</t>
  </si>
  <si>
    <t>тренер</t>
  </si>
  <si>
    <t>массажист</t>
  </si>
  <si>
    <t>перс.тренер</t>
  </si>
  <si>
    <t>перс. и груп.тренер</t>
  </si>
  <si>
    <t>груп.тренер</t>
  </si>
  <si>
    <t>тренер по боксу</t>
  </si>
  <si>
    <t>администратор</t>
  </si>
  <si>
    <t>руководитель</t>
  </si>
  <si>
    <t>ПЕРСОНАЛЬНЫЕ ТРЕНЕРА</t>
  </si>
  <si>
    <t>ТСЖ</t>
  </si>
  <si>
    <t xml:space="preserve">Богословская Светлана Васильевна </t>
  </si>
  <si>
    <t>председатель ТСЖ</t>
  </si>
  <si>
    <t>Киверин Игорь Николаевич</t>
  </si>
  <si>
    <t>управляющий</t>
  </si>
  <si>
    <t>89129623371, 89042019633</t>
  </si>
  <si>
    <t>Попова Галина Николаевна</t>
  </si>
  <si>
    <t>бухгалтер</t>
  </si>
  <si>
    <t>Щепетев Иван</t>
  </si>
  <si>
    <t>Сергей</t>
  </si>
  <si>
    <t>89041089739, 89658602441</t>
  </si>
  <si>
    <t>сантехник</t>
  </si>
  <si>
    <t>Евгений</t>
  </si>
  <si>
    <t>Резникова Н.</t>
  </si>
  <si>
    <t>Андрей Гацуляк</t>
  </si>
  <si>
    <t>ремонтник</t>
  </si>
  <si>
    <t>Резникова Анастасия</t>
  </si>
  <si>
    <t>октябрь</t>
  </si>
  <si>
    <t>Исмагилова Лилия Кимовна</t>
  </si>
  <si>
    <t>Савинова Регина</t>
  </si>
  <si>
    <t xml:space="preserve">всего </t>
  </si>
  <si>
    <t>Папырина</t>
  </si>
  <si>
    <t xml:space="preserve">ноябрь </t>
  </si>
  <si>
    <t>декабрь</t>
  </si>
  <si>
    <t>итого</t>
  </si>
  <si>
    <t>ТТК</t>
  </si>
  <si>
    <t>Александр</t>
  </si>
  <si>
    <t>ттк задолженность</t>
  </si>
  <si>
    <t>ИП Седъюрова Виктория Юрьевна</t>
  </si>
  <si>
    <t>300-560</t>
  </si>
  <si>
    <r>
      <t xml:space="preserve">Паршакова
</t>
    </r>
    <r>
      <rPr>
        <b/>
        <sz val="11"/>
        <rFont val="Calibri"/>
        <family val="2"/>
        <charset val="204"/>
        <scheme val="minor"/>
      </rPr>
      <t xml:space="preserve">Кристина
</t>
    </r>
  </si>
  <si>
    <t>в  т.ч. НАЛ</t>
  </si>
  <si>
    <t>Брюшкова</t>
  </si>
  <si>
    <t>Костя</t>
  </si>
  <si>
    <t>Айсулу</t>
  </si>
  <si>
    <t>Богдан</t>
  </si>
  <si>
    <t xml:space="preserve">Папырина, </t>
  </si>
  <si>
    <t>Белоголова</t>
  </si>
  <si>
    <t>Головко, Папырина, Богдан</t>
  </si>
  <si>
    <t>Гусева</t>
  </si>
  <si>
    <t>Шулепова</t>
  </si>
  <si>
    <t>Головко</t>
  </si>
  <si>
    <t>Березина</t>
  </si>
  <si>
    <t>Покидко</t>
  </si>
  <si>
    <t>Охонская, Айсулу, Белоголова</t>
  </si>
  <si>
    <t>Головко,Папырина</t>
  </si>
  <si>
    <t>бешагина</t>
  </si>
  <si>
    <t>Папырина, Головко</t>
  </si>
  <si>
    <t>Папырина, Головко, Иванов</t>
  </si>
  <si>
    <t>бочка</t>
  </si>
  <si>
    <t>Охонская, Мария(Айсулу), Белоголова</t>
  </si>
  <si>
    <t>Бешагина, Покидко, Березина</t>
  </si>
  <si>
    <t>Иванов</t>
  </si>
  <si>
    <t>Рябоконь, Гусева, Мамонова</t>
  </si>
  <si>
    <t>Охонская, Шулепова</t>
  </si>
  <si>
    <t>Брюшкова, Березина</t>
  </si>
  <si>
    <t>Айсулу, Покидко О</t>
  </si>
  <si>
    <t>Головко, Иванов</t>
  </si>
  <si>
    <t>Ирина</t>
  </si>
  <si>
    <t xml:space="preserve">бочка </t>
  </si>
  <si>
    <t>Рябоконь, Гусева</t>
  </si>
  <si>
    <t>Марианна, Белоголова</t>
  </si>
  <si>
    <t>Марианна, Шулепова, Белоголова</t>
  </si>
  <si>
    <t>Иванов, Головко</t>
  </si>
  <si>
    <t>Брюшкова,Счастливцева</t>
  </si>
  <si>
    <t>Покидко Оксана</t>
  </si>
  <si>
    <t>Марианна, Охонская, Белоголова, Татаренкова</t>
  </si>
  <si>
    <t>Гусева, Мамонова</t>
  </si>
  <si>
    <t>Лариса(сертификат)</t>
  </si>
  <si>
    <t>январь</t>
  </si>
  <si>
    <t>Покидко,Счастливцева</t>
  </si>
  <si>
    <t>Марианна, Татаренкова, Айсулу, Охонская</t>
  </si>
  <si>
    <t>Юферов Н. - тренер</t>
  </si>
  <si>
    <t>Юферов Н. - админ</t>
  </si>
  <si>
    <t xml:space="preserve">итого </t>
  </si>
  <si>
    <t>март</t>
  </si>
  <si>
    <t>Марианна, Охонская, Эльза, Белоголова</t>
  </si>
  <si>
    <t>бочка, Коля</t>
  </si>
  <si>
    <t>Мамонова</t>
  </si>
  <si>
    <t>Кристина (сертификат), Татаренкова</t>
  </si>
  <si>
    <t>день недели</t>
  </si>
  <si>
    <t>стены уличный вход (по погоде)</t>
  </si>
  <si>
    <t>кардио тренажеры - пыль</t>
  </si>
  <si>
    <t>кухонный шкаф - пыль горизонт поверхности</t>
  </si>
  <si>
    <t>подоконники, столики,скамьи около столиков, стол в гардеробе</t>
  </si>
  <si>
    <t>тренажеры (нижние стойки, внутри)</t>
  </si>
  <si>
    <t>уборка окон (весна, осень)</t>
  </si>
  <si>
    <t>влажная уборка полов</t>
  </si>
  <si>
    <t>раковины, унитазы, подоконник в муж.раздевалке</t>
  </si>
  <si>
    <t>вынос мусора</t>
  </si>
  <si>
    <t>ежедневно</t>
  </si>
  <si>
    <t>вытряхнуть коврики от снега и грязи</t>
  </si>
  <si>
    <t>ПОДПИСЬ</t>
  </si>
  <si>
    <t>стены муж_раздевалка, плинтуса,трубы</t>
  </si>
  <si>
    <t>стены жен_раздевалка, плинтуса,трубы</t>
  </si>
  <si>
    <t>душевые -стены, перегородки</t>
  </si>
  <si>
    <t>стаканы вчерашнего дня в залах, на нишах и тд</t>
  </si>
  <si>
    <t>Марианна, Татаренкова, Белоголова</t>
  </si>
  <si>
    <t>Эльза</t>
  </si>
  <si>
    <t>Покидко Оксана, Охонсчкая</t>
  </si>
  <si>
    <t>Татаренкова</t>
  </si>
  <si>
    <t>Айсулу(сплит), Эльза, Покидко О.</t>
  </si>
  <si>
    <t>Марианна, Эльза, Белоголова</t>
  </si>
  <si>
    <t>Покидко Оксана,Писклич</t>
  </si>
  <si>
    <t>Татаренкова, Белоголова</t>
  </si>
  <si>
    <t>Папырина, 2_Сергей, Константин, Иванов</t>
  </si>
  <si>
    <t>Вика2, Холина Л., Мамонова</t>
  </si>
  <si>
    <t xml:space="preserve">Покидко Оксана, Эльза, </t>
  </si>
  <si>
    <t>обертывание</t>
  </si>
  <si>
    <t>Брюшкова, группа 5</t>
  </si>
  <si>
    <t>Татаренкова, Охонская</t>
  </si>
  <si>
    <t>Рябоконь,Юрьев,Гусева, Мамонова, минус Холина Елена</t>
  </si>
  <si>
    <t>Цирюлик</t>
  </si>
  <si>
    <t xml:space="preserve">молоко </t>
  </si>
  <si>
    <t>Покидко О, Татаренкова, Охонская</t>
  </si>
  <si>
    <t>Рябоконь</t>
  </si>
  <si>
    <t>Пунегова</t>
  </si>
  <si>
    <t>Папырина, Иванов</t>
  </si>
  <si>
    <t>Эльза, Белоголова</t>
  </si>
  <si>
    <t>Скрипка</t>
  </si>
  <si>
    <t>замки, магнезия</t>
  </si>
  <si>
    <t xml:space="preserve">Иванов </t>
  </si>
  <si>
    <t>Пунегова,Цирюлик</t>
  </si>
  <si>
    <t>Титова</t>
  </si>
  <si>
    <t>Эльза, Татаренкова</t>
  </si>
  <si>
    <t>Титова, Гусева, Савкина</t>
  </si>
  <si>
    <t>Айсулу, Белоголова</t>
  </si>
  <si>
    <t>Скрипка, Старцева, Покидко</t>
  </si>
  <si>
    <t>абонементы</t>
  </si>
  <si>
    <t>по согласованию</t>
  </si>
  <si>
    <t>Головко, Папырина</t>
  </si>
  <si>
    <t>Покидко О</t>
  </si>
  <si>
    <t>Старцева, Скрипка, Пылаева (2 раза), Брюшкова</t>
  </si>
  <si>
    <t>Эмилия</t>
  </si>
  <si>
    <t>Татаренкова, Эльза, Белоголова</t>
  </si>
  <si>
    <t>Пунегова, Шпагат, Рельеф</t>
  </si>
  <si>
    <t>Рябоконь, Гусева, Савкина</t>
  </si>
  <si>
    <t>Скрипка, Старцева, Эмилия</t>
  </si>
  <si>
    <t>Покидко О.</t>
  </si>
  <si>
    <t>Пунегова, Цирюлик, Шпагат3, Рельеф12(без гостевого)</t>
  </si>
  <si>
    <t>Эмилия, Старцева, Рочева</t>
  </si>
  <si>
    <t>Охонская, Рельеф(7)</t>
  </si>
  <si>
    <t>Покидко(обнуление), Попова, Татаренкова, Эльза,Иванова</t>
  </si>
  <si>
    <t>Рочева, Старцева</t>
  </si>
  <si>
    <t>Охонская, Цирюлик, Рельев(8)</t>
  </si>
  <si>
    <t>Торопов Иван, Айсулу, Татаренкова</t>
  </si>
  <si>
    <t>Савкина</t>
  </si>
  <si>
    <t>Кочанов</t>
  </si>
  <si>
    <t>Иванова, Покидко</t>
  </si>
  <si>
    <t>Рочева, Пылаева</t>
  </si>
  <si>
    <t>Пунегова+Шпагат(3)+Рельеф (8,1-беспл)</t>
  </si>
  <si>
    <t>массаж Фитнес весна, бочка</t>
  </si>
  <si>
    <t>Старцева, Карвонен</t>
  </si>
  <si>
    <t>гантели</t>
  </si>
  <si>
    <t>Татаренкова, Эльза.</t>
  </si>
  <si>
    <t>Сямптомова, Попова, Белоголова</t>
  </si>
  <si>
    <t>Эмилия, Скрипка, группа(4)</t>
  </si>
  <si>
    <t>Татаренкова,Иванова</t>
  </si>
  <si>
    <t>массаж Фитнес весна</t>
  </si>
  <si>
    <t>Покидко О, Айсулу</t>
  </si>
  <si>
    <t>Скрипка, Рочева</t>
  </si>
  <si>
    <t>Пунегова, Охонская,7(рельеф)</t>
  </si>
  <si>
    <t>Сямптомова, Попова, Старцева, Эльза, Белоголова</t>
  </si>
  <si>
    <t>Покидко, Татаренкова</t>
  </si>
  <si>
    <t>Рябоконь, Мамонова, Савкина</t>
  </si>
  <si>
    <t>Пылаева</t>
  </si>
  <si>
    <t>Иванова</t>
  </si>
  <si>
    <t>Пунегова, Цирюлик</t>
  </si>
  <si>
    <t>Айсулу, Попова, Татаренкова</t>
  </si>
  <si>
    <t>Старцева</t>
  </si>
  <si>
    <t>Пунегова, Охонская, 6(рельеф)</t>
  </si>
  <si>
    <t>массаж</t>
  </si>
  <si>
    <t>Купцова</t>
  </si>
  <si>
    <t>Покидко О, Иванова</t>
  </si>
  <si>
    <t>Пунегова,Охонская</t>
  </si>
  <si>
    <t>Скрипка, Старцева, Брюшкова</t>
  </si>
  <si>
    <t>Сямптомова, Айсулу, Попова, Белоголова, Татаренкова, Иванова</t>
  </si>
  <si>
    <t>Шушканова</t>
  </si>
  <si>
    <t>Савина</t>
  </si>
  <si>
    <t>Татаренкова, Покидко</t>
  </si>
  <si>
    <t>Брюшкова, Пылаева</t>
  </si>
  <si>
    <t>Головко, Иванов А</t>
  </si>
  <si>
    <t>Пунегова, Рельеф 5</t>
  </si>
  <si>
    <t>Савкина, Лобанов</t>
  </si>
  <si>
    <t>Иванов А</t>
  </si>
  <si>
    <t>Сямптомова,Белоголова, Татаренкова</t>
  </si>
  <si>
    <t>р рррррррр ро8рп/цй</t>
  </si>
  <si>
    <t>Охонская, Пунегова</t>
  </si>
  <si>
    <t>Иванов А.</t>
  </si>
  <si>
    <t xml:space="preserve"> </t>
  </si>
  <si>
    <t>Охонская</t>
  </si>
  <si>
    <t>Трифонова</t>
  </si>
  <si>
    <t>Татаренкова, Трифонова</t>
  </si>
  <si>
    <t>Адаменко</t>
  </si>
  <si>
    <t>Пунегова, Охонская</t>
  </si>
  <si>
    <t>Алина</t>
  </si>
  <si>
    <t>Андреев</t>
  </si>
  <si>
    <t>Фомина</t>
  </si>
  <si>
    <t>Алина, Охонская, Пунегова</t>
  </si>
  <si>
    <t>ЗП Резникова Н.</t>
  </si>
  <si>
    <t>Иванова, Марианна, Трифонова</t>
  </si>
  <si>
    <t>Пунегова, Охонская, Алина</t>
  </si>
  <si>
    <t>Пылаева, Брюшкова</t>
  </si>
  <si>
    <t>Пунегова, Гуцал</t>
  </si>
  <si>
    <t>Сямптомова</t>
  </si>
  <si>
    <t>Адаменко, Шустикова, Алеко</t>
  </si>
  <si>
    <t>Трифонова, Айсулу, Иванова</t>
  </si>
  <si>
    <t>Гуцал</t>
  </si>
  <si>
    <t>ЗП Коля</t>
  </si>
  <si>
    <t>ЗП Настя</t>
  </si>
  <si>
    <t>Шустикова</t>
  </si>
  <si>
    <t>Адаменко, Алеко</t>
  </si>
  <si>
    <t>Сямптомова, Трифонова</t>
  </si>
  <si>
    <t>Прямой эфир</t>
  </si>
  <si>
    <t>Сямптомова, трифонова</t>
  </si>
  <si>
    <t>Прямой эфир, Иванова, Карина</t>
  </si>
  <si>
    <t>Гуцал, пунегова</t>
  </si>
  <si>
    <t>Трифонова, Сямптомова</t>
  </si>
  <si>
    <t>Алеко</t>
  </si>
  <si>
    <t>Лушкова, Татаренкова, гость</t>
  </si>
  <si>
    <t>группа</t>
  </si>
  <si>
    <t>Валерия, Лушкова</t>
  </si>
  <si>
    <t>Лушкова, Айсулу, татаренкова, Гость</t>
  </si>
  <si>
    <t>Трифонова, Егорова</t>
  </si>
  <si>
    <t>Пунегова, Гуцал, Охонская, Ким</t>
  </si>
  <si>
    <t>Шустикова, Андреев</t>
  </si>
  <si>
    <t>Лушкова, Попова</t>
  </si>
  <si>
    <t>Покидко, Пылаева+шрамм</t>
  </si>
  <si>
    <t>Егорова, Трифонова, Татаренкова</t>
  </si>
  <si>
    <t>Ким, Пунегова, Гуцал, Загайнова</t>
  </si>
  <si>
    <t>Егорова, Мячина, Айсулу, Татаренкова</t>
  </si>
  <si>
    <t>Покидко, Пылаева</t>
  </si>
  <si>
    <t>Сямптомова, Попова, Трифонова</t>
  </si>
  <si>
    <t>Гуцал, Пунегова, Ким</t>
  </si>
  <si>
    <t>ЗП Настя, Чек Коля</t>
  </si>
  <si>
    <t>Ким, Охонская, Загайнова (сплит)</t>
  </si>
  <si>
    <t>Егорова, Мячина, Айсулу, татаренкова, гость</t>
  </si>
  <si>
    <t>Степанова</t>
  </si>
  <si>
    <t>Егорова, Сямптомова, Трифонова</t>
  </si>
  <si>
    <t>Егорова, Айсулу, Татаренкова</t>
  </si>
  <si>
    <t xml:space="preserve">Сямптомова, Паюсова </t>
  </si>
  <si>
    <t>Ким, Охонская, Пунегова</t>
  </si>
  <si>
    <t>Егорова</t>
  </si>
  <si>
    <t>сварка</t>
  </si>
  <si>
    <t>Егорова, Татаренкова, Трифонова</t>
  </si>
  <si>
    <t>Гуцал, Ким, Пунегова, Загайнова</t>
  </si>
  <si>
    <t>Айсулу, Сямптомова, Татаренкова</t>
  </si>
  <si>
    <t>Охонская, Ким, Пунегова</t>
  </si>
  <si>
    <t>Лушкова, татаренкова</t>
  </si>
  <si>
    <t>Скрипка, Пылаева+Шрамм</t>
  </si>
  <si>
    <t>ЗП настя</t>
  </si>
  <si>
    <t>Пунегова, Ким</t>
  </si>
  <si>
    <t>Егорова, Сямптомова, Паюсова, Лушкова</t>
  </si>
  <si>
    <t>Зайцева, Татаренкова, Трифонова</t>
  </si>
  <si>
    <t>Пылаева+Шрамм</t>
  </si>
  <si>
    <t>Сямптомова, Айсулу, Татаренкова, Трифонова</t>
  </si>
  <si>
    <t>Сямптомова, Егорова, Айсулу, Татаренкова</t>
  </si>
  <si>
    <t>Ким, Охонская</t>
  </si>
  <si>
    <t xml:space="preserve">ЗП Фомина </t>
  </si>
  <si>
    <t>Покидко, Шрамм+Пылаева</t>
  </si>
  <si>
    <t xml:space="preserve">ЗП Настя+доплата Антону(ошиблась 13.08 на 50р) </t>
  </si>
  <si>
    <t>Пунегова, Егорова, Татаренкова, Трифонова</t>
  </si>
  <si>
    <t>сентябрь</t>
  </si>
  <si>
    <t>Сямптомова, Айсулу, Трифонова</t>
  </si>
  <si>
    <t>Сямптомова, Попова, Егорова, Лушкова</t>
  </si>
  <si>
    <t>Скрипка, Покидко</t>
  </si>
  <si>
    <t xml:space="preserve">ЗП Настя </t>
  </si>
  <si>
    <t>Петришина, Егорова</t>
  </si>
  <si>
    <t>Сямптомова, Лушкова, Паюсова</t>
  </si>
  <si>
    <t>Савченко</t>
  </si>
  <si>
    <t>Покидко, Трифонова</t>
  </si>
  <si>
    <t>Лушкова</t>
  </si>
  <si>
    <t>Лушкова, Егорова</t>
  </si>
  <si>
    <t>Трифонова, Покидко</t>
  </si>
  <si>
    <t>Лыюров, инструктаж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</si>
  <si>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</si>
  <si>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</si>
  <si>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</si>
  <si>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</si>
  <si>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</si>
  <si>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</si>
  <si>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</si>
  <si>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9.00-10.00</t>
  </si>
  <si>
    <t>10.00-11.00</t>
  </si>
  <si>
    <t>11.00-12.00</t>
  </si>
  <si>
    <t>12.00-13.00</t>
  </si>
  <si>
    <t>13.00-14.00</t>
  </si>
  <si>
    <t>14.00-15.00</t>
  </si>
  <si>
    <t>15.00-16.00</t>
  </si>
  <si>
    <t>16.00-17.00</t>
  </si>
  <si>
    <t>17.00-18.00</t>
  </si>
  <si>
    <t>18.00-19.00</t>
  </si>
  <si>
    <t>19.00-20.00</t>
  </si>
  <si>
    <t>20.00-21.00</t>
  </si>
  <si>
    <t>9.00 Настя Матвеева, Фитбол (аренда)</t>
  </si>
  <si>
    <t>15.50-16.50-Лилия, Йога</t>
  </si>
  <si>
    <t>Детские танцы, Регина</t>
  </si>
  <si>
    <t xml:space="preserve"> Ирина Ордина, танцы (аренда)</t>
  </si>
  <si>
    <t>Bodyrelief, Катя Степанова</t>
  </si>
  <si>
    <t>Суперскульпт, Настя Тарабукина</t>
  </si>
  <si>
    <t>Йога, Ирина Гуцу</t>
  </si>
  <si>
    <t>18.00 - Пилатес</t>
  </si>
  <si>
    <t>18.00-Лилия, Йога (аренда)</t>
  </si>
  <si>
    <t>Гусева, инструктаж</t>
  </si>
  <si>
    <t>инструктаж</t>
  </si>
  <si>
    <t>Аверина, Скрипка</t>
  </si>
  <si>
    <t>Егорова, Покидко, Трифонова</t>
  </si>
  <si>
    <t>Шустикова, Инструктаж, Лыюров</t>
  </si>
  <si>
    <t>Гусева, инструктаж, Гичева</t>
  </si>
  <si>
    <t>Лушкова, Селезнева, Ким</t>
  </si>
  <si>
    <t>ЗП Тарабукина</t>
  </si>
  <si>
    <t>Аверина, Покидко</t>
  </si>
  <si>
    <t>Детский Кроссфит</t>
  </si>
  <si>
    <t>музычук</t>
  </si>
  <si>
    <t>Журин</t>
  </si>
  <si>
    <t xml:space="preserve">Покидко </t>
  </si>
  <si>
    <t>Лушкова+Ким</t>
  </si>
  <si>
    <t>Шустикова, Лыюров</t>
  </si>
  <si>
    <t>Аверина</t>
  </si>
  <si>
    <t>Зорина Елена</t>
  </si>
  <si>
    <t>Степанова Катя</t>
  </si>
  <si>
    <t>Гичева</t>
  </si>
  <si>
    <t>17.00-17.40, Танцы дети, Регина</t>
  </si>
  <si>
    <t>9.00 ФИТОБОЛ, Настя Матвеева</t>
  </si>
  <si>
    <t>9.00 ФИТБОЛ, Настя Матвеева</t>
  </si>
  <si>
    <t>10.30-11.30 ЙОГА, Лилия</t>
  </si>
  <si>
    <t>12.15-13.45 СТРИПДЕНС, Ирина Ордина</t>
  </si>
  <si>
    <t>15.50-16.50  ЙОГА, Лилия</t>
  </si>
  <si>
    <t>Пилатес, Елена Зорина</t>
  </si>
  <si>
    <t>ЙОГА, Лилия</t>
  </si>
  <si>
    <t>Сямптомова, Ким</t>
  </si>
  <si>
    <t>Гуляева, Гусева</t>
  </si>
  <si>
    <t>Егорова, Трифонова</t>
  </si>
  <si>
    <t>Монакова</t>
  </si>
  <si>
    <t xml:space="preserve">Гичева, Резникова Крупинский </t>
  </si>
  <si>
    <t>Резникова</t>
  </si>
  <si>
    <t>Гуляева, иснтруктаж</t>
  </si>
  <si>
    <t>Айсулу, Сямптомова, Лушкова, Ким</t>
  </si>
  <si>
    <t>инструктаж2, Гичева, Гусева</t>
  </si>
  <si>
    <t>Гуляева Савченко Резникова Крушинский</t>
  </si>
  <si>
    <t>Ким, Айсулу, Егорова, Лушкова</t>
  </si>
  <si>
    <t>безнал</t>
  </si>
  <si>
    <t>Кабанова</t>
  </si>
  <si>
    <t>инструктаж2, Гуляев, инструктаж, Гусева</t>
  </si>
  <si>
    <t>Галя,</t>
  </si>
  <si>
    <t>Айсулу Ким Егорова</t>
  </si>
  <si>
    <t>Лыюров</t>
  </si>
  <si>
    <t>Савченко Гичева крушинский</t>
  </si>
  <si>
    <t>егорова сямптомова лушкова трифонова</t>
  </si>
  <si>
    <t>ОКТЯБРЬ</t>
  </si>
  <si>
    <t>2</t>
  </si>
  <si>
    <t>10</t>
  </si>
  <si>
    <t>Кабанова, Гусева, группа</t>
  </si>
  <si>
    <t>Егорова Ким Покидко Пунегова</t>
  </si>
  <si>
    <t>Резникова, Чистоусова</t>
  </si>
  <si>
    <t>Савченко, Резникова</t>
  </si>
  <si>
    <t>Попова</t>
  </si>
  <si>
    <t>Айсулу, Сямптомова, Егорова</t>
  </si>
  <si>
    <t>Кабанова, Гуляева, Манакова, Торопова</t>
  </si>
  <si>
    <t>Савченко Гичева Гусева</t>
  </si>
  <si>
    <t>Егорова, Пунегова, Лушкова, Покидко</t>
  </si>
  <si>
    <t>Шрамм</t>
  </si>
  <si>
    <t>Тарабукина, Скрипка, Туркин, Кузнецова,инструктаж2, Канева, 3</t>
  </si>
  <si>
    <t>Савченко Гичева Гуляева Гусева</t>
  </si>
  <si>
    <t>Попова Лыюров</t>
  </si>
  <si>
    <t xml:space="preserve">Попова </t>
  </si>
  <si>
    <t>Михеева ким пунегова лушкова</t>
  </si>
  <si>
    <t>Скрипка кабанова манакова торопова</t>
  </si>
  <si>
    <t>Савченко Туркин</t>
  </si>
  <si>
    <t>Скрипка2 Канева2 покидко</t>
  </si>
  <si>
    <t>3,5</t>
  </si>
  <si>
    <t>Ким</t>
  </si>
  <si>
    <t>Гуляева, инструктаж2</t>
  </si>
  <si>
    <t>Кабанова2 гичева гусева</t>
  </si>
  <si>
    <t>пунегова егорова</t>
  </si>
  <si>
    <t>шустикова</t>
  </si>
  <si>
    <t>шраммпылаева</t>
  </si>
  <si>
    <t>Туркин</t>
  </si>
  <si>
    <t>Скрипка Канева</t>
  </si>
  <si>
    <t>Савченко гуляева гусева</t>
  </si>
  <si>
    <t>лушкова ким</t>
  </si>
  <si>
    <t>Вилданова 2</t>
  </si>
  <si>
    <t>Детские танцы, Регина-300р</t>
  </si>
  <si>
    <t>Аренда-Руслан, Александр Гончаров</t>
  </si>
  <si>
    <t>10.30-12.00, Лилия, Йога (аренда)</t>
  </si>
  <si>
    <t>Егорова, Борлакова</t>
  </si>
  <si>
    <t>Михеева</t>
  </si>
  <si>
    <t>скрипка2 канева2 покидко</t>
  </si>
  <si>
    <t xml:space="preserve">Кабанова Гуляева </t>
  </si>
  <si>
    <t>Варава</t>
  </si>
  <si>
    <t>Савченко гусева</t>
  </si>
  <si>
    <t>пунегова лушкова ким</t>
  </si>
  <si>
    <t>Попова Сидореня лыюров</t>
  </si>
  <si>
    <t>Сямптомова, Егорова</t>
  </si>
  <si>
    <t>Скрипка, Канева</t>
  </si>
  <si>
    <t>Танков,Елькин2,Юдина</t>
  </si>
  <si>
    <t xml:space="preserve">пунегова </t>
  </si>
  <si>
    <t>гуляева2 гусева</t>
  </si>
  <si>
    <t xml:space="preserve"> попова, лыюров, сидореня</t>
  </si>
  <si>
    <t>Айсулу, Егорова</t>
  </si>
  <si>
    <t>Туркин.Савченко.Кабанова.Вилданова</t>
  </si>
  <si>
    <t>Ким.Покидко</t>
  </si>
  <si>
    <t>сидореня</t>
  </si>
  <si>
    <t>Егорова попова</t>
  </si>
  <si>
    <t>покидко канева</t>
  </si>
  <si>
    <t>Айсулу, Пунегова, Сямптомова</t>
  </si>
  <si>
    <t>юдина дудина гичева савченко гусева</t>
  </si>
  <si>
    <t>покидко</t>
  </si>
  <si>
    <t>егорова лушкова ким</t>
  </si>
  <si>
    <t>Попова, покидко</t>
  </si>
  <si>
    <t>Лыюров, Сидореня</t>
  </si>
  <si>
    <t>Туркин, Кабанова, группа</t>
  </si>
  <si>
    <t>Савченко гусева Гуляева</t>
  </si>
  <si>
    <t>егорова пунегова Сямптомова ким</t>
  </si>
  <si>
    <t>скрипка покидко</t>
  </si>
  <si>
    <t>Михеева Покидко</t>
  </si>
  <si>
    <t>Туркин.Гичева.Юдина</t>
  </si>
  <si>
    <t xml:space="preserve"> сидореня лыюров</t>
  </si>
  <si>
    <t>Егорова Ким Попова</t>
  </si>
  <si>
    <t>Гуляева Юдина</t>
  </si>
  <si>
    <t>Никифоров Югансон</t>
  </si>
  <si>
    <t>Скрипка, Березина, Канева, Пылаева</t>
  </si>
  <si>
    <t>Айсулу, Пунегова, Лушкова, Покидко, Попова</t>
  </si>
  <si>
    <t>Кабанова, Манакова</t>
  </si>
  <si>
    <t>Лыюров, питание2</t>
  </si>
  <si>
    <t>туркин гуляева</t>
  </si>
  <si>
    <t>никифоров  югансон</t>
  </si>
  <si>
    <t xml:space="preserve"> Пунегова Ким</t>
  </si>
  <si>
    <t>Гичева Туркин Колышев</t>
  </si>
  <si>
    <t>Егорова.Попова.Покидко</t>
  </si>
  <si>
    <t>Березина.Канева</t>
  </si>
  <si>
    <t>Беляева</t>
  </si>
  <si>
    <t>Гуляева, Гусева,Гичева</t>
  </si>
  <si>
    <t>Никифоров, Югансон</t>
  </si>
  <si>
    <t>группа, Кабанова, Гичева,Гусева</t>
  </si>
  <si>
    <t>Березина Пылаева</t>
  </si>
  <si>
    <t>Егорова Попова</t>
  </si>
  <si>
    <t>Канева</t>
  </si>
  <si>
    <t>Габова</t>
  </si>
  <si>
    <t>Югансон, Никифоров</t>
  </si>
  <si>
    <t>Габова, Беляева</t>
  </si>
  <si>
    <t xml:space="preserve">Гусева Собакин Савченко Гуляева </t>
  </si>
  <si>
    <t>Попова Ким Егорова Сямптомова Пунегова</t>
  </si>
  <si>
    <t>Бергер</t>
  </si>
  <si>
    <t>Покидко Канева Пылаева канева</t>
  </si>
  <si>
    <t>17.00 - Пилатес</t>
  </si>
  <si>
    <t>09.00 Настя Матвеева, Фитбол (аренда)</t>
  </si>
  <si>
    <t>Лилия Терлецкая</t>
  </si>
  <si>
    <t>Гуляева, Гусева, группа, Скрипка</t>
  </si>
  <si>
    <t>Айсулу, Попова, Ковальчук, Пунегова</t>
  </si>
  <si>
    <t>Жакова, Сидореня,</t>
  </si>
  <si>
    <t>Собакин Савченко Бергер Гичева</t>
  </si>
  <si>
    <t>Попова Покидко Трифонова</t>
  </si>
  <si>
    <t>Егорова,Пунегова, Сямптомова</t>
  </si>
  <si>
    <t>Югансон, Никифоров, Пигулина</t>
  </si>
  <si>
    <t>Югансон, Никифоров, Пигулина, Сидореня</t>
  </si>
  <si>
    <t>Канева, Пылаева</t>
  </si>
  <si>
    <t>Манакова, Сутковой, Скрипка, Юдина</t>
  </si>
  <si>
    <t>Шахова, Жукова</t>
  </si>
  <si>
    <t>Гуляева, Гичева, Гусева, Фирсова, Куликова</t>
  </si>
  <si>
    <t>Валентина</t>
  </si>
  <si>
    <t>Мячин, Сямптомова, Ковальчук Ирина +1</t>
  </si>
  <si>
    <t>Покидко, Беляева</t>
  </si>
  <si>
    <t>Березина, Габова</t>
  </si>
  <si>
    <t>Егорова, инструктаж, Лобанова Любовь</t>
  </si>
  <si>
    <t>Сидореня</t>
  </si>
  <si>
    <t xml:space="preserve"> Савченко Бергер</t>
  </si>
  <si>
    <t xml:space="preserve"> Покидко Ким</t>
  </si>
  <si>
    <t>Трфонова</t>
  </si>
  <si>
    <t>Михеева Мячин Пунегова Ковальчук Ким</t>
  </si>
  <si>
    <t>Пылаева Беляева</t>
  </si>
  <si>
    <t xml:space="preserve"> Сидореня Пигулина ГРУППА</t>
  </si>
  <si>
    <t>Трифонова, Лушкова, Сплин Походько</t>
  </si>
  <si>
    <t>Гридин, Жакова</t>
  </si>
  <si>
    <t>Югансон2, Пигулина</t>
  </si>
  <si>
    <t xml:space="preserve"> Сидореня</t>
  </si>
  <si>
    <t>Сарасхасов Туркин группа</t>
  </si>
  <si>
    <t>Симптомова Егорова Мадина</t>
  </si>
  <si>
    <t>Гуляев Алексей, Гичева, Куликова, Фирсова</t>
  </si>
  <si>
    <t>Березина, Артеева+Беляева, Пылаева+Шрамм</t>
  </si>
  <si>
    <t>Скрипка, Осташова</t>
  </si>
  <si>
    <t>Валентина-аванс</t>
  </si>
  <si>
    <t>Югансон, Пигулина</t>
  </si>
  <si>
    <t>Туркин Бергер группа</t>
  </si>
  <si>
    <t>1+2</t>
  </si>
  <si>
    <t>Покидко+1</t>
  </si>
  <si>
    <t>Покидко, Канева+Федорчук, Березина</t>
  </si>
  <si>
    <t>Мячин, Сямптомова, Ковальчук, Трифонова</t>
  </si>
  <si>
    <t>Гуляева, Куликова, Фирсова, Манакова, Юдина</t>
  </si>
  <si>
    <t>Скрипка, Пигулина, Сидореня, Осташова</t>
  </si>
  <si>
    <t>Михеева, Покидко +1</t>
  </si>
  <si>
    <t>Югансон+Никифоров</t>
  </si>
  <si>
    <t>Сямптомова, Лушкова, Егорова</t>
  </si>
  <si>
    <t>Туркин, группа</t>
  </si>
  <si>
    <t>Пигулина, Сидореня</t>
  </si>
  <si>
    <t>Габова, Канева, Березина</t>
  </si>
  <si>
    <t>Гуляев Алексей,Гичева, Бергер, Фирсова+Куликова</t>
  </si>
  <si>
    <t>Сидореня,Осташова</t>
  </si>
  <si>
    <t>Артеева</t>
  </si>
  <si>
    <t>Югансон Никифоров Пигулина</t>
  </si>
  <si>
    <t>Новикова Пунегова Трифонова</t>
  </si>
  <si>
    <t xml:space="preserve">Манакова </t>
  </si>
  <si>
    <t>Бергер Туркин</t>
  </si>
  <si>
    <t>Федорчук, Канева Покидко М</t>
  </si>
  <si>
    <t>Лушкова, Покидко +1</t>
  </si>
  <si>
    <t>Гуляева, Фирсова, Куликова, Манакова, Юдина, Екимова</t>
  </si>
  <si>
    <t>Никифоров, Пигулина, Сидореня, Осташова</t>
  </si>
  <si>
    <t>Бергер, Гусева</t>
  </si>
  <si>
    <t>Югансон</t>
  </si>
  <si>
    <t>Егорова, Мячин+1, Пугегова, Ким, Матвеева</t>
  </si>
  <si>
    <t>Туркин группа</t>
  </si>
  <si>
    <t>Васильев Скрипка Пигулина Никифоров Сидореня</t>
  </si>
  <si>
    <t>Гуляев Алексей,Гусева Ольга, Фирсова, Куликова</t>
  </si>
  <si>
    <t>Ковальчук+1</t>
  </si>
  <si>
    <t>Осташова</t>
  </si>
  <si>
    <t>Артеева+ Беляева, Березина</t>
  </si>
  <si>
    <t>Никифоров Пигулина</t>
  </si>
  <si>
    <t>Васильев Сидореня</t>
  </si>
  <si>
    <t>Крушинский Туркин Бергер</t>
  </si>
  <si>
    <t>Канева+Федорчук</t>
  </si>
  <si>
    <t>Егорова, Сямптомова</t>
  </si>
  <si>
    <t>Покидко М.</t>
  </si>
  <si>
    <t>Скрипка, Никифоров, Пигулина</t>
  </si>
  <si>
    <t>Пылаева Березина</t>
  </si>
  <si>
    <t>Гичева, Гусева</t>
  </si>
  <si>
    <t>Югансон, Никифоров, Васильев</t>
  </si>
  <si>
    <t>Новикова, Пунегова, Покидко+1, Ким</t>
  </si>
  <si>
    <t>Туркин, Бергер</t>
  </si>
  <si>
    <t>Канева, Габова, Пылаева</t>
  </si>
  <si>
    <t>Гуляев Алексей, Гусева, Гичева</t>
  </si>
  <si>
    <t>Никифоров,Шустикова, Васильев,Осташова</t>
  </si>
  <si>
    <t>Скрипки Н и А, Никифоров, Югансон</t>
  </si>
  <si>
    <t>Бергер, Группа</t>
  </si>
  <si>
    <t>Дудина( инстр),Айсулу ,Егорова</t>
  </si>
  <si>
    <t>Сидорня Васильев</t>
  </si>
  <si>
    <t>Федорчук, Канева</t>
  </si>
  <si>
    <t>Дудина Егорова</t>
  </si>
  <si>
    <t>Скрипка Сидореня</t>
  </si>
  <si>
    <t>Туркин Гуляева Группа</t>
  </si>
  <si>
    <t>Бергер,Гусева</t>
  </si>
  <si>
    <t>Шустикова, Никифоров,Югансон, Васильев, Осташова</t>
  </si>
  <si>
    <t>Ченцова,Юдина</t>
  </si>
  <si>
    <t>Дудина, Новикова, Сямптомова</t>
  </si>
  <si>
    <t>Никифоров,Васильев</t>
  </si>
  <si>
    <t>Шустикова, Югансон</t>
  </si>
  <si>
    <t>Айсулу, Кристина, Трифонова</t>
  </si>
  <si>
    <t>Юдина</t>
  </si>
  <si>
    <t>Васильев  Сидореня</t>
  </si>
  <si>
    <t>Дудина, Кокарева,Покидко +1</t>
  </si>
  <si>
    <t>Бергер, Гуляева, Манакова, Юдина, Крушинский</t>
  </si>
  <si>
    <t>Никифоров, Сидореня</t>
  </si>
  <si>
    <t>Егорова, трифонова, Айсулу</t>
  </si>
  <si>
    <t>QR-код</t>
  </si>
  <si>
    <t xml:space="preserve"> Югансон Васильев</t>
  </si>
  <si>
    <t>Никифоров, Шустикова</t>
  </si>
  <si>
    <t>Итого</t>
  </si>
  <si>
    <t>Манакова, Юдина</t>
  </si>
  <si>
    <t>Никифоров Югансон Милюков</t>
  </si>
  <si>
    <t>Забоева</t>
  </si>
  <si>
    <t>Крушинский, Юдина</t>
  </si>
  <si>
    <t>Никифоров Югансон Шустикова</t>
  </si>
  <si>
    <t>Скрипка, Васильев, Пигулина,эфир</t>
  </si>
  <si>
    <t>Забоева, Юдина</t>
  </si>
  <si>
    <t>видео</t>
  </si>
  <si>
    <t>Арина, Васильев, Пигулина, Никифоров</t>
  </si>
  <si>
    <t>Покидко, Лушкова</t>
  </si>
  <si>
    <t>в</t>
  </si>
  <si>
    <t>Югансон,Милюков</t>
  </si>
  <si>
    <t>Дудина Сямптомова</t>
  </si>
  <si>
    <t>Грининг Скрипка</t>
  </si>
  <si>
    <t xml:space="preserve"> Пигулина</t>
  </si>
  <si>
    <t xml:space="preserve"> Габова Березина</t>
  </si>
  <si>
    <t>Некипелов</t>
  </si>
  <si>
    <t>Грининг,Никифоров+Югансон, Васильев</t>
  </si>
  <si>
    <t>Лушкова, Покидко +1, Егорова</t>
  </si>
  <si>
    <t xml:space="preserve"> Туркин группа</t>
  </si>
  <si>
    <t>Никифоров, Васильев</t>
  </si>
  <si>
    <t>Милюков,Гирнинг</t>
  </si>
  <si>
    <t>Заботина, группа</t>
  </si>
  <si>
    <t>Дудина,Покидко,Церп</t>
  </si>
  <si>
    <t>Васильев,Сидореня,Пигулина,группа</t>
  </si>
  <si>
    <t>анева+Федорчук, Березина</t>
  </si>
  <si>
    <t>Айсулу,Егорова</t>
  </si>
  <si>
    <t>Гуляева, группа</t>
  </si>
  <si>
    <t>Рочева,Пигулина, Осташова, Сидореня</t>
  </si>
  <si>
    <t>Дудина</t>
  </si>
  <si>
    <t>Грининг, Никифоров, Мишин, Васильев</t>
  </si>
  <si>
    <t>Булошева Инструктаж,Гусева, Краева, Туркин А и А</t>
  </si>
  <si>
    <t>19:00 - Детские танцы, Регина</t>
  </si>
  <si>
    <t>Аверина, Канева, Березина</t>
  </si>
  <si>
    <t>Шустикова, Пигулина, Сидореня, Осташова</t>
  </si>
  <si>
    <t>Юдина, Ченцова, Горват</t>
  </si>
  <si>
    <t>Головчанов Валерий Андреевич</t>
  </si>
  <si>
    <t>Домрачев Степан Николаевич</t>
  </si>
  <si>
    <t>Богданов Алексей Михайлович</t>
  </si>
  <si>
    <t>Железова,Краева, Гуляева Н+А, Гусева</t>
  </si>
  <si>
    <t>Грининг,мишев, Васильев</t>
  </si>
  <si>
    <t>Осташева</t>
  </si>
  <si>
    <t>Васильев,Сидорня</t>
  </si>
  <si>
    <t>Березина, Федорчук+Канева</t>
  </si>
  <si>
    <t>Рочева</t>
  </si>
  <si>
    <t>Краева,Гуляева,группа</t>
  </si>
  <si>
    <t>Гирнинг,Сидореня,Скрипка,Пигулина,Осташева,группа</t>
  </si>
  <si>
    <t>.14,5</t>
  </si>
  <si>
    <t>Рочева, Васильев</t>
  </si>
  <si>
    <t>Михеева, Георгиева, Егорова</t>
  </si>
  <si>
    <t>Туркины</t>
  </si>
  <si>
    <t>Канева,Березина</t>
  </si>
  <si>
    <t>Дудина,Ким,Покидко</t>
  </si>
  <si>
    <t>Тырина, Кириллова</t>
  </si>
  <si>
    <t xml:space="preserve">Гуляева Н+А, Гусева, Туркины </t>
  </si>
  <si>
    <t>Гирнинг,Никифоров, Мишин, Сидореня</t>
  </si>
  <si>
    <t>Свиридова</t>
  </si>
  <si>
    <t>Рочева, Пигулина+сын, Васильев</t>
  </si>
  <si>
    <t>Свиридова, Краева, Групппа Романцева и Бобрякова, группа</t>
  </si>
  <si>
    <t>,Гирнинг</t>
  </si>
  <si>
    <t>Лушкова,Айсулу</t>
  </si>
  <si>
    <t>Сидореня,Васильев,Югансон</t>
  </si>
  <si>
    <t>Шашкина</t>
  </si>
  <si>
    <t>Аверина,Березина</t>
  </si>
  <si>
    <t>Сидореня,Гирнинг</t>
  </si>
  <si>
    <t>Гуляева,группа</t>
  </si>
  <si>
    <t>Габова, Покидко Максим</t>
  </si>
  <si>
    <t>.3.5</t>
  </si>
  <si>
    <t xml:space="preserve">Гичева, Гусева, группа+группа, Туркины </t>
  </si>
  <si>
    <t>Мишев, Югансон, Пигулина+1, Васильев+ Охонская</t>
  </si>
  <si>
    <t>Тентюкова,Тырина</t>
  </si>
  <si>
    <t>,Канева</t>
  </si>
  <si>
    <t>Айсулу,Покидко</t>
  </si>
  <si>
    <t>Краева</t>
  </si>
  <si>
    <t>Пигулина,Гирнинг,Сидореня,Рочева</t>
  </si>
  <si>
    <t>Дудина, Сямптомова, Егорова</t>
  </si>
  <si>
    <t>Гуляева+сын, Гичева, Свиридова+ Гильмонова, Борбикова, Туркин+1</t>
  </si>
  <si>
    <t>ечайкина Инструктаж, Покидко+1, Березина</t>
  </si>
  <si>
    <t>Ким,Новикова,Егорова,Покидко</t>
  </si>
  <si>
    <t>Габова,Аверина</t>
  </si>
  <si>
    <t>Юдина,Каюкова,Витязева</t>
  </si>
  <si>
    <t>Никифоров,Югансон,Пигулина,Рочева</t>
  </si>
  <si>
    <t>Тентюкова,Некрасова</t>
  </si>
  <si>
    <t>Васильев, Сидореня, Гирнинг, Осташова</t>
  </si>
  <si>
    <t>Цофта+Суханова</t>
  </si>
  <si>
    <t>Осташева,Сидореня,Пигулина,Гирнинг</t>
  </si>
  <si>
    <t>.14.5</t>
  </si>
  <si>
    <t>Тырина, Покидко+1</t>
  </si>
  <si>
    <t>Гичева, Свиридова+ Гильмонова, Романцева+ Бобрецова, Туркин+1</t>
  </si>
  <si>
    <t>Цовта+Суханова, Васильев, Охонская</t>
  </si>
  <si>
    <t>Никифоров+Мишин, Цовта+Суханова, Югансон, Васильев, Охонская</t>
  </si>
  <si>
    <t>Канева,Аверина,Тентюкова,Габова</t>
  </si>
  <si>
    <t>Гирнинг,Пигулина,Сидорена,Осташева</t>
  </si>
  <si>
    <t>.1,5</t>
  </si>
  <si>
    <t>Никифоров+Югансон+Мишин, Цофта+суханова+Васильев, Охонская</t>
  </si>
  <si>
    <t>Покидко+1, Березина</t>
  </si>
  <si>
    <t>Гуляева+сын, Свиридова+Гильманова, Бобрикова, Гичева, Туркин+1</t>
  </si>
  <si>
    <t>Егорова,Георгиева,Михеева,Ким</t>
  </si>
  <si>
    <t>Шустикова, Гирнинг,Сидореня</t>
  </si>
  <si>
    <t>Юдина+Манакова</t>
  </si>
  <si>
    <t>Покидко,Лушкова</t>
  </si>
  <si>
    <t>Покидко,Тентюкова</t>
  </si>
  <si>
    <t>Охонская,Цовта+Суханова</t>
  </si>
  <si>
    <t>Краева, Романцова2, Ченцова2</t>
  </si>
  <si>
    <t>Гирнинг, Сидореня, Пигулина, Осташова</t>
  </si>
  <si>
    <t>Айсулу, Сямптомова, Евгения</t>
  </si>
  <si>
    <t>Руслан Павлов</t>
  </si>
  <si>
    <t>Руслан Павлов (19.02)</t>
  </si>
  <si>
    <t>Цовта+Суханова, Мишев, Никифоров, Васильев</t>
  </si>
  <si>
    <t>Аверина,Канева, Покидко</t>
  </si>
  <si>
    <t>Дудина, Фефелова, Лушкова, Егорова, Ким</t>
  </si>
  <si>
    <t>Георгиева, Покидко</t>
  </si>
  <si>
    <t>Соколова</t>
  </si>
  <si>
    <t>Гирнинг, Пигулина, Сидореня, Осташова</t>
  </si>
  <si>
    <t>Тентюкова, Покидко</t>
  </si>
  <si>
    <t>Краева, Гичева, Романцова, Бобрикова, Свиридова</t>
  </si>
  <si>
    <t>Ван</t>
  </si>
  <si>
    <t>Шустикова, Никифоров, Югансон, Мишев, Васильев, Охонская</t>
  </si>
  <si>
    <t>Туркин, Юдина</t>
  </si>
  <si>
    <t>Пигулина, Сидореня, Осташова</t>
  </si>
  <si>
    <t>Фефелова</t>
  </si>
  <si>
    <t>Разманова,Покидко,Аверина</t>
  </si>
  <si>
    <t>Васильев,Охонская</t>
  </si>
  <si>
    <t>Краева,Свиридова,Туркин</t>
  </si>
  <si>
    <t>Георгиева,Дудина, Покидко</t>
  </si>
  <si>
    <t>Березина, Тентюкова</t>
  </si>
  <si>
    <t>Сидореня, Охонская</t>
  </si>
  <si>
    <t>Краева, Гичева</t>
  </si>
  <si>
    <t>покидко, тырина</t>
  </si>
  <si>
    <t>Гирнинг,Васильев</t>
  </si>
  <si>
    <t>Георгиева,Лушкова, Михеева</t>
  </si>
  <si>
    <t>Ким, Попова, Покидко</t>
  </si>
  <si>
    <t>Разманова, Тентюкова, Канева, Березина</t>
  </si>
  <si>
    <t>Георгиева, Егорова</t>
  </si>
  <si>
    <t>Гуляев А, Гичева, Свиридова +1, Бобрецова+ Романцова, Туркин+1</t>
  </si>
  <si>
    <t>Никифоров,Мишев,Васильев, Гирнинг</t>
  </si>
  <si>
    <t>Пигулина,Югансон,Гирнинг</t>
  </si>
  <si>
    <t>Ким,Фефелова</t>
  </si>
  <si>
    <t>Сидореня,Охонская,Васильев</t>
  </si>
  <si>
    <t>Березина, Нечайкина,Канева+Федорчук</t>
  </si>
  <si>
    <t>Прохорова</t>
  </si>
  <si>
    <t>Гуляева Н., Фирсова, Куликова</t>
  </si>
  <si>
    <t>Пигулина, Сидореня, Охонская</t>
  </si>
  <si>
    <t>Гирнинг, Шустикова, Никифоров,Югансон,Прохорова,Васильев</t>
  </si>
  <si>
    <t xml:space="preserve">Гичева,Свиридова+Гильманова,Туркины </t>
  </si>
  <si>
    <t>Тентюкова,Разманова, Покидко М, Покидко В</t>
  </si>
  <si>
    <t>Фирсова, Куликова</t>
  </si>
  <si>
    <t>Фефелова, Ким, Покидко</t>
  </si>
  <si>
    <t>Нечайкина, Мишарин</t>
  </si>
  <si>
    <t>Георгиева</t>
  </si>
  <si>
    <t>Покидко В, Тырина</t>
  </si>
  <si>
    <t xml:space="preserve">. </t>
  </si>
  <si>
    <t>Суханова+Цофта, Васильев</t>
  </si>
  <si>
    <t>Гуляев, Гичева, Свиридова +Гильманова, Бобрикова+Романцова, Туркин+1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</si>
</sst>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/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0" xfId="0" applyProtection="1">
      <protection locked="0"/>
    </xf>
    <xf numFmtId="1" fontId="0" fillId="2" borderId="2" xfId="0" applyNumberFormat="1" applyFill="1" applyBorder="1" applyProtection="1"/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24" xfId="0" applyBorder="1" applyProtection="1">
      <protection locked="0"/>
    </xf>
    <xf numFmtId="1" fontId="0" fillId="2" borderId="23" xfId="0" applyNumberFormat="1" applyFill="1" applyBorder="1" applyProtection="1"/>
    <xf numFmtId="0" fontId="0" fillId="0" borderId="1" xfId="0" applyBorder="1"/>
    <xf numFmtId="0" fontId="0" fillId="4" borderId="1" xfId="0" applyFill="1" applyBorder="1"/>
    <xf numFmtId="14" fontId="0" fillId="0" borderId="1" xfId="0" applyNumberFormat="1" applyBorder="1"/>
    <xf numFmtId="1" fontId="0" fillId="2" borderId="31" xfId="0" applyNumberFormat="1" applyFill="1" applyBorder="1" applyProtection="1"/>
    <xf numFmtId="14" fontId="0" fillId="2" borderId="1" xfId="0" applyNumberFormat="1" applyFill="1" applyBorder="1" applyProtection="1"/>
    <xf numFmtId="0" fontId="0" fillId="2" borderId="1" xfId="0" applyFill="1" applyBorder="1" applyAlignment="1" applyProtection="1">
      <alignment vertical="top" wrapText="1"/>
      <protection locked="0"/>
    </xf>
    <xf numFmtId="1" fontId="0" fillId="2" borderId="15" xfId="0" applyNumberFormat="1" applyFill="1" applyBorder="1" applyProtection="1">
      <protection locked="0"/>
    </xf>
    <xf numFmtId="1" fontId="0" fillId="2" borderId="5" xfId="0" applyNumberFormat="1" applyFill="1" applyBorder="1" applyProtection="1">
      <protection locked="0"/>
    </xf>
    <xf numFmtId="1" fontId="0" fillId="2" borderId="6" xfId="0" applyNumberFormat="1" applyFill="1" applyBorder="1" applyProtection="1">
      <protection locked="0"/>
    </xf>
    <xf numFmtId="0" fontId="0" fillId="2" borderId="33" xfId="0" applyFill="1" applyBorder="1" applyAlignment="1" applyProtection="1">
      <protection locked="0"/>
    </xf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/>
    </xf>
    <xf numFmtId="0" fontId="0" fillId="7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7" fontId="0" fillId="0" borderId="34" xfId="0" applyNumberFormat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1" fontId="0" fillId="2" borderId="16" xfId="0" applyNumberFormat="1" applyFill="1" applyBorder="1" applyProtection="1">
      <protection locked="0"/>
    </xf>
    <xf numFmtId="0" fontId="0" fillId="2" borderId="10" xfId="0" applyFill="1" applyBorder="1" applyAlignment="1" applyProtection="1">
      <alignment vertical="top" wrapText="1"/>
      <protection locked="0"/>
    </xf>
    <xf numFmtId="0" fontId="0" fillId="2" borderId="10" xfId="0" applyFill="1" applyBorder="1" applyAlignment="1" applyProtection="1">
      <protection locked="0"/>
    </xf>
    <xf numFmtId="0" fontId="0" fillId="2" borderId="41" xfId="0" applyFill="1" applyBorder="1" applyAlignment="1" applyProtection="1">
      <protection locked="0"/>
    </xf>
    <xf numFmtId="2" fontId="0" fillId="0" borderId="1" xfId="0" applyNumberFormat="1" applyBorder="1"/>
    <xf numFmtId="0" fontId="0" fillId="4" borderId="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1" fontId="0" fillId="0" borderId="24" xfId="0" applyNumberFormat="1" applyBorder="1" applyProtection="1">
      <protection locked="0"/>
    </xf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3" borderId="12" xfId="0" applyFill="1" applyBorder="1" applyProtection="1">
      <protection locked="0"/>
    </xf>
    <xf numFmtId="0" fontId="0" fillId="3" borderId="13" xfId="0" applyFill="1" applyBorder="1" applyProtection="1">
      <protection locked="0"/>
    </xf>
    <xf numFmtId="0" fontId="0" fillId="3" borderId="14" xfId="0" applyFill="1" applyBorder="1" applyProtection="1">
      <protection locked="0"/>
    </xf>
    <xf numFmtId="0" fontId="0" fillId="3" borderId="42" xfId="0" applyFill="1" applyBorder="1" applyProtection="1">
      <protection locked="0"/>
    </xf>
    <xf numFmtId="0" fontId="0" fillId="3" borderId="28" xfId="0" applyFill="1" applyBorder="1" applyProtection="1">
      <protection locked="0"/>
    </xf>
    <xf numFmtId="0" fontId="0" fillId="3" borderId="31" xfId="0" applyFill="1" applyBorder="1" applyProtection="1">
      <protection locked="0"/>
    </xf>
    <xf numFmtId="0" fontId="0" fillId="3" borderId="37" xfId="0" applyFill="1" applyBorder="1" applyProtection="1">
      <protection locked="0"/>
    </xf>
    <xf numFmtId="0" fontId="0" fillId="3" borderId="39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0" fillId="3" borderId="11" xfId="0" applyFill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6" borderId="12" xfId="0" applyFill="1" applyBorder="1" applyProtection="1">
      <protection locked="0"/>
    </xf>
    <xf numFmtId="0" fontId="0" fillId="8" borderId="12" xfId="0" applyFill="1" applyBorder="1" applyProtection="1">
      <protection locked="0"/>
    </xf>
    <xf numFmtId="0" fontId="0" fillId="8" borderId="13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8" borderId="31" xfId="0" applyFill="1" applyBorder="1" applyProtection="1">
      <protection locked="0"/>
    </xf>
    <xf numFmtId="0" fontId="0" fillId="8" borderId="10" xfId="0" applyFill="1" applyBorder="1" applyProtection="1">
      <protection locked="0"/>
    </xf>
    <xf numFmtId="0" fontId="0" fillId="8" borderId="11" xfId="0" applyFill="1" applyBorder="1" applyProtection="1">
      <protection locked="0"/>
    </xf>
    <xf numFmtId="0" fontId="0" fillId="8" borderId="28" xfId="0" applyFill="1" applyBorder="1" applyProtection="1">
      <protection locked="0"/>
    </xf>
    <xf numFmtId="0" fontId="0" fillId="8" borderId="42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0" borderId="0" xfId="0" applyAlignment="1">
      <alignment horizontal="center"/>
    </xf>
    <xf numFmtId="0" fontId="0" fillId="4" borderId="4" xfId="0" applyFill="1" applyBorder="1"/>
    <xf numFmtId="0" fontId="0" fillId="3" borderId="2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14" fontId="0" fillId="0" borderId="1" xfId="0" applyNumberFormat="1" applyBorder="1" applyAlignment="1">
      <alignment textRotation="90"/>
    </xf>
    <xf numFmtId="0" fontId="0" fillId="0" borderId="0" xfId="0" applyAlignment="1">
      <alignment shrinkToFit="1"/>
    </xf>
    <xf numFmtId="14" fontId="0" fillId="0" borderId="1" xfId="0" applyNumberFormat="1" applyBorder="1" applyAlignment="1">
      <alignment textRotation="90" shrinkToFit="1"/>
    </xf>
    <xf numFmtId="0" fontId="0" fillId="0" borderId="1" xfId="0" applyBorder="1" applyAlignment="1">
      <alignment shrinkToFit="1"/>
    </xf>
    <xf numFmtId="0" fontId="0" fillId="9" borderId="12" xfId="0" applyFill="1" applyBorder="1" applyProtection="1">
      <protection locked="0"/>
    </xf>
    <xf numFmtId="0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11" borderId="12" xfId="0" applyFill="1" applyBorder="1" applyProtection="1">
      <protection locked="0"/>
    </xf>
    <xf numFmtId="0" fontId="0" fillId="9" borderId="28" xfId="0" applyFill="1" applyBorder="1" applyProtection="1">
      <protection locked="0"/>
    </xf>
    <xf numFmtId="3" fontId="0" fillId="0" borderId="1" xfId="0" applyNumberFormat="1" applyBorder="1" applyAlignment="1">
      <alignment horizontal="center"/>
    </xf>
    <xf numFmtId="0" fontId="0" fillId="9" borderId="1" xfId="0" applyFill="1" applyBorder="1"/>
    <xf numFmtId="0" fontId="10" fillId="3" borderId="10" xfId="0" applyFont="1" applyFill="1" applyBorder="1" applyProtection="1">
      <protection locked="0"/>
    </xf>
    <xf numFmtId="0" fontId="0" fillId="6" borderId="28" xfId="0" applyFill="1" applyBorder="1" applyProtection="1">
      <protection locked="0"/>
    </xf>
    <xf numFmtId="0" fontId="0" fillId="2" borderId="28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0" fillId="4" borderId="28" xfId="0" applyFill="1" applyBorder="1" applyProtection="1">
      <protection locked="0"/>
    </xf>
    <xf numFmtId="0" fontId="0" fillId="11" borderId="28" xfId="0" applyFill="1" applyBorder="1" applyProtection="1">
      <protection locked="0"/>
    </xf>
    <xf numFmtId="0" fontId="0" fillId="0" borderId="34" xfId="0" applyBorder="1" applyAlignment="1">
      <alignment horizontal="center"/>
    </xf>
    <xf numFmtId="0" fontId="0" fillId="6" borderId="1" xfId="0" applyFill="1" applyBorder="1"/>
    <xf numFmtId="0" fontId="0" fillId="3" borderId="0" xfId="0" applyFill="1" applyBorder="1" applyAlignment="1"/>
    <xf numFmtId="0" fontId="0" fillId="3" borderId="1" xfId="0" applyFill="1" applyBorder="1" applyAlignme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2" borderId="11" xfId="0" applyFill="1" applyBorder="1" applyProtection="1">
      <protection locked="0"/>
    </xf>
    <xf numFmtId="14" fontId="0" fillId="0" borderId="0" xfId="0" applyNumberFormat="1"/>
    <xf numFmtId="0" fontId="0" fillId="2" borderId="13" xfId="0" applyFill="1" applyBorder="1" applyProtection="1">
      <protection locked="0"/>
    </xf>
    <xf numFmtId="0" fontId="0" fillId="2" borderId="1" xfId="0" applyFill="1" applyBorder="1"/>
    <xf numFmtId="0" fontId="0" fillId="2" borderId="1" xfId="0" applyNumberFormat="1" applyFill="1" applyBorder="1"/>
    <xf numFmtId="0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/>
    <xf numFmtId="0" fontId="0" fillId="3" borderId="1" xfId="0" applyNumberFormat="1" applyFill="1" applyBorder="1"/>
    <xf numFmtId="164" fontId="0" fillId="2" borderId="1" xfId="0" applyNumberFormat="1" applyFill="1" applyBorder="1"/>
    <xf numFmtId="0" fontId="0" fillId="0" borderId="34" xfId="0" applyBorder="1" applyAlignment="1">
      <alignment horizontal="center"/>
    </xf>
    <xf numFmtId="2" fontId="0" fillId="0" borderId="2" xfId="0" applyNumberFormat="1" applyBorder="1"/>
    <xf numFmtId="2" fontId="0" fillId="3" borderId="2" xfId="0" applyNumberFormat="1" applyFill="1" applyBorder="1"/>
    <xf numFmtId="0" fontId="0" fillId="2" borderId="2" xfId="0" applyNumberFormat="1" applyFill="1" applyBorder="1"/>
    <xf numFmtId="0" fontId="0" fillId="3" borderId="2" xfId="0" applyNumberFormat="1" applyFill="1" applyBorder="1"/>
    <xf numFmtId="0" fontId="0" fillId="12" borderId="1" xfId="0" applyFill="1" applyBorder="1" applyAlignment="1">
      <alignment vertical="top" wrapText="1"/>
    </xf>
    <xf numFmtId="0" fontId="0" fillId="0" borderId="10" xfId="0" applyFill="1" applyBorder="1" applyProtection="1">
      <protection locked="0"/>
    </xf>
    <xf numFmtId="0" fontId="4" fillId="2" borderId="1" xfId="0" applyFont="1" applyFill="1" applyBorder="1"/>
    <xf numFmtId="0" fontId="0" fillId="0" borderId="31" xfId="0" applyBorder="1" applyProtection="1">
      <protection locked="0"/>
    </xf>
    <xf numFmtId="0" fontId="0" fillId="0" borderId="1" xfId="0" applyFill="1" applyBorder="1" applyAlignment="1">
      <alignment vertical="top" wrapText="1"/>
    </xf>
    <xf numFmtId="0" fontId="8" fillId="0" borderId="0" xfId="0" applyFont="1" applyProtection="1">
      <protection locked="0"/>
    </xf>
    <xf numFmtId="16" fontId="0" fillId="0" borderId="1" xfId="0" applyNumberFormat="1" applyBorder="1"/>
    <xf numFmtId="164" fontId="0" fillId="0" borderId="1" xfId="0" applyNumberFormat="1" applyBorder="1"/>
    <xf numFmtId="0" fontId="1" fillId="0" borderId="0" xfId="0" applyFont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 vertical="top" wrapText="1"/>
    </xf>
    <xf numFmtId="0" fontId="0" fillId="2" borderId="17" xfId="0" applyFill="1" applyBorder="1" applyAlignment="1" applyProtection="1">
      <alignment horizontal="center" vertical="top" wrapText="1"/>
    </xf>
    <xf numFmtId="0" fontId="5" fillId="2" borderId="27" xfId="0" applyFont="1" applyFill="1" applyBorder="1" applyAlignment="1" applyProtection="1">
      <alignment horizontal="center" vertical="top" wrapText="1"/>
    </xf>
    <xf numFmtId="0" fontId="5" fillId="2" borderId="7" xfId="0" applyFont="1" applyFill="1" applyBorder="1" applyAlignment="1" applyProtection="1">
      <alignment horizontal="center" vertical="top" wrapText="1"/>
    </xf>
    <xf numFmtId="0" fontId="6" fillId="2" borderId="25" xfId="0" applyFont="1" applyFill="1" applyBorder="1" applyAlignment="1" applyProtection="1">
      <alignment horizontal="center" vertical="top" wrapText="1"/>
      <protection locked="0"/>
    </xf>
    <xf numFmtId="0" fontId="6" fillId="2" borderId="17" xfId="0" applyFont="1" applyFill="1" applyBorder="1" applyAlignment="1" applyProtection="1">
      <alignment horizontal="center" vertical="top" wrapText="1"/>
      <protection locked="0"/>
    </xf>
    <xf numFmtId="0" fontId="6" fillId="2" borderId="26" xfId="0" applyFont="1" applyFill="1" applyBorder="1" applyAlignment="1" applyProtection="1">
      <alignment horizontal="center" vertical="top" wrapText="1"/>
      <protection locked="0"/>
    </xf>
    <xf numFmtId="0" fontId="6" fillId="2" borderId="4" xfId="0" applyFont="1" applyFill="1" applyBorder="1" applyAlignment="1" applyProtection="1">
      <alignment horizontal="center" vertical="top" wrapText="1"/>
      <protection locked="0"/>
    </xf>
    <xf numFmtId="0" fontId="6" fillId="2" borderId="27" xfId="0" applyFont="1" applyFill="1" applyBorder="1" applyAlignment="1" applyProtection="1">
      <alignment horizontal="center" vertical="top" wrapText="1"/>
      <protection locked="0"/>
    </xf>
    <xf numFmtId="0" fontId="6" fillId="2" borderId="7" xfId="0" applyFont="1" applyFill="1" applyBorder="1" applyAlignment="1" applyProtection="1">
      <alignment horizontal="center" vertical="top" wrapText="1"/>
      <protection locked="0"/>
    </xf>
    <xf numFmtId="0" fontId="4" fillId="2" borderId="37" xfId="0" applyFont="1" applyFill="1" applyBorder="1" applyAlignment="1" applyProtection="1">
      <alignment horizontal="center" vertical="top" wrapText="1"/>
      <protection locked="0"/>
    </xf>
    <xf numFmtId="0" fontId="4" fillId="2" borderId="39" xfId="0" applyFont="1" applyFill="1" applyBorder="1" applyAlignment="1" applyProtection="1">
      <alignment horizontal="center" vertical="top" wrapText="1"/>
      <protection locked="0"/>
    </xf>
    <xf numFmtId="0" fontId="4" fillId="2" borderId="10" xfId="0" applyFont="1" applyFill="1" applyBorder="1" applyAlignment="1" applyProtection="1">
      <alignment horizontal="center" vertical="top" wrapText="1"/>
      <protection locked="0"/>
    </xf>
    <xf numFmtId="0" fontId="4" fillId="2" borderId="11" xfId="0" applyFont="1" applyFill="1" applyBorder="1" applyAlignment="1" applyProtection="1">
      <alignment horizontal="center" vertical="top" wrapText="1"/>
      <protection locked="0"/>
    </xf>
    <xf numFmtId="0" fontId="0" fillId="2" borderId="37" xfId="0" applyFill="1" applyBorder="1" applyAlignment="1" applyProtection="1">
      <alignment horizontal="center"/>
      <protection locked="0"/>
    </xf>
    <xf numFmtId="0" fontId="0" fillId="2" borderId="38" xfId="0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 vertical="top" wrapText="1"/>
      <protection locked="0"/>
    </xf>
    <xf numFmtId="0" fontId="0" fillId="2" borderId="1" xfId="0" applyFill="1" applyBorder="1" applyAlignment="1" applyProtection="1">
      <alignment horizontal="center" vertical="top" wrapText="1"/>
      <protection locked="0"/>
    </xf>
    <xf numFmtId="0" fontId="0" fillId="2" borderId="21" xfId="0" applyFill="1" applyBorder="1" applyAlignment="1" applyProtection="1">
      <alignment horizontal="center" vertical="top" wrapText="1"/>
      <protection locked="0"/>
    </xf>
    <xf numFmtId="0" fontId="0" fillId="2" borderId="22" xfId="0" applyFill="1" applyBorder="1" applyAlignment="1" applyProtection="1">
      <alignment horizontal="center" vertical="top" wrapText="1"/>
      <protection locked="0"/>
    </xf>
    <xf numFmtId="0" fontId="0" fillId="2" borderId="21" xfId="0" applyFill="1" applyBorder="1" applyAlignment="1" applyProtection="1">
      <alignment horizontal="center" vertical="top" wrapText="1"/>
    </xf>
    <xf numFmtId="0" fontId="0" fillId="2" borderId="22" xfId="0" applyFill="1" applyBorder="1" applyAlignment="1" applyProtection="1">
      <alignment horizontal="center" vertical="top" wrapText="1"/>
    </xf>
    <xf numFmtId="0" fontId="0" fillId="2" borderId="29" xfId="0" applyFill="1" applyBorder="1" applyAlignment="1" applyProtection="1">
      <alignment horizontal="center" vertical="top" wrapText="1"/>
      <protection locked="0"/>
    </xf>
    <xf numFmtId="0" fontId="0" fillId="2" borderId="20" xfId="0" applyFill="1" applyBorder="1" applyAlignment="1" applyProtection="1">
      <alignment horizontal="center" vertical="top" wrapText="1"/>
      <protection locked="0"/>
    </xf>
    <xf numFmtId="0" fontId="6" fillId="2" borderId="46" xfId="0" applyFont="1" applyFill="1" applyBorder="1" applyAlignment="1" applyProtection="1">
      <alignment horizontal="center" vertical="top" wrapText="1"/>
      <protection locked="0"/>
    </xf>
    <xf numFmtId="0" fontId="4" fillId="2" borderId="36" xfId="0" applyFont="1" applyFill="1" applyBorder="1" applyAlignment="1" applyProtection="1">
      <alignment horizontal="center" vertical="top" wrapText="1"/>
      <protection locked="0"/>
    </xf>
    <xf numFmtId="0" fontId="4" fillId="2" borderId="29" xfId="0" applyFont="1" applyFill="1" applyBorder="1" applyAlignment="1" applyProtection="1">
      <alignment horizontal="center" vertical="top" wrapText="1"/>
      <protection locked="0"/>
    </xf>
    <xf numFmtId="0" fontId="4" fillId="2" borderId="20" xfId="0" applyFont="1" applyFill="1" applyBorder="1" applyAlignment="1" applyProtection="1">
      <alignment horizontal="center" vertical="top" wrapText="1"/>
      <protection locked="0"/>
    </xf>
    <xf numFmtId="0" fontId="4" fillId="2" borderId="40" xfId="0" applyFont="1" applyFill="1" applyBorder="1" applyAlignment="1" applyProtection="1">
      <alignment horizontal="center" vertical="top" wrapText="1"/>
      <protection locked="0"/>
    </xf>
    <xf numFmtId="0" fontId="4" fillId="2" borderId="34" xfId="0" applyFont="1" applyFill="1" applyBorder="1" applyAlignment="1" applyProtection="1">
      <alignment horizontal="center" vertical="top" wrapText="1"/>
      <protection locked="0"/>
    </xf>
    <xf numFmtId="0" fontId="4" fillId="2" borderId="33" xfId="0" applyFont="1" applyFill="1" applyBorder="1" applyAlignment="1" applyProtection="1">
      <alignment horizontal="center" vertical="top" wrapText="1"/>
      <protection locked="0"/>
    </xf>
    <xf numFmtId="0" fontId="9" fillId="2" borderId="36" xfId="0" applyFont="1" applyFill="1" applyBorder="1" applyAlignment="1" applyProtection="1">
      <alignment horizontal="center" vertical="top" wrapText="1"/>
      <protection locked="0"/>
    </xf>
    <xf numFmtId="0" fontId="0" fillId="2" borderId="3" xfId="0" applyFill="1" applyBorder="1" applyAlignment="1" applyProtection="1">
      <alignment horizontal="center" vertical="top" wrapText="1"/>
      <protection locked="0"/>
    </xf>
    <xf numFmtId="0" fontId="0" fillId="2" borderId="30" xfId="0" applyFill="1" applyBorder="1" applyAlignment="1" applyProtection="1">
      <alignment horizontal="center" vertical="top" wrapText="1"/>
      <protection locked="0"/>
    </xf>
    <xf numFmtId="0" fontId="0" fillId="2" borderId="16" xfId="0" applyFill="1" applyBorder="1" applyAlignment="1" applyProtection="1">
      <alignment horizontal="center" vertical="top" textRotation="90" wrapText="1"/>
      <protection locked="0"/>
    </xf>
    <xf numFmtId="0" fontId="0" fillId="2" borderId="18" xfId="0" applyFill="1" applyBorder="1" applyAlignment="1" applyProtection="1">
      <alignment horizontal="center" vertical="top" textRotation="90" wrapText="1"/>
      <protection locked="0"/>
    </xf>
    <xf numFmtId="0" fontId="0" fillId="2" borderId="43" xfId="0" applyFill="1" applyBorder="1" applyAlignment="1" applyProtection="1">
      <alignment horizontal="center" vertical="top" wrapText="1"/>
      <protection locked="0"/>
    </xf>
    <xf numFmtId="0" fontId="0" fillId="2" borderId="44" xfId="0" applyFill="1" applyBorder="1" applyAlignment="1" applyProtection="1">
      <alignment horizontal="center" vertical="top" wrapText="1"/>
      <protection locked="0"/>
    </xf>
    <xf numFmtId="0" fontId="0" fillId="2" borderId="45" xfId="0" applyFill="1" applyBorder="1" applyAlignment="1" applyProtection="1">
      <alignment horizontal="center" vertical="top" wrapText="1"/>
      <protection locked="0"/>
    </xf>
    <xf numFmtId="0" fontId="0" fillId="2" borderId="36" xfId="0" applyFill="1" applyBorder="1" applyAlignment="1" applyProtection="1">
      <alignment horizontal="center" vertical="top"/>
      <protection locked="0"/>
    </xf>
    <xf numFmtId="0" fontId="0" fillId="2" borderId="29" xfId="0" applyFill="1" applyBorder="1" applyAlignment="1" applyProtection="1">
      <alignment horizontal="center" vertical="top"/>
      <protection locked="0"/>
    </xf>
    <xf numFmtId="0" fontId="0" fillId="2" borderId="20" xfId="0" applyFill="1" applyBorder="1" applyAlignment="1" applyProtection="1">
      <alignment horizontal="center" vertical="top"/>
      <protection locked="0"/>
    </xf>
    <xf numFmtId="0" fontId="0" fillId="2" borderId="40" xfId="0" applyFill="1" applyBorder="1" applyAlignment="1" applyProtection="1">
      <alignment horizontal="center" vertical="top"/>
      <protection locked="0"/>
    </xf>
    <xf numFmtId="0" fontId="0" fillId="2" borderId="34" xfId="0" applyFill="1" applyBorder="1" applyAlignment="1" applyProtection="1">
      <alignment horizontal="center" vertical="top"/>
      <protection locked="0"/>
    </xf>
    <xf numFmtId="0" fontId="0" fillId="2" borderId="33" xfId="0" applyFill="1" applyBorder="1" applyAlignment="1" applyProtection="1">
      <alignment horizontal="center" vertical="top"/>
      <protection locked="0"/>
    </xf>
    <xf numFmtId="0" fontId="1" fillId="2" borderId="36" xfId="0" applyFont="1" applyFill="1" applyBorder="1" applyAlignment="1" applyProtection="1">
      <alignment horizontal="center"/>
      <protection locked="0"/>
    </xf>
    <xf numFmtId="0" fontId="1" fillId="2" borderId="29" xfId="0" applyFont="1" applyFill="1" applyBorder="1" applyAlignment="1" applyProtection="1">
      <alignment horizontal="center"/>
      <protection locked="0"/>
    </xf>
    <xf numFmtId="0" fontId="1" fillId="2" borderId="40" xfId="0" applyFont="1" applyFill="1" applyBorder="1" applyAlignment="1" applyProtection="1">
      <alignment horizontal="center"/>
      <protection locked="0"/>
    </xf>
    <xf numFmtId="0" fontId="1" fillId="2" borderId="34" xfId="0" applyFont="1" applyFill="1" applyBorder="1" applyAlignment="1" applyProtection="1">
      <alignment horizontal="center"/>
      <protection locked="0"/>
    </xf>
    <xf numFmtId="0" fontId="0" fillId="2" borderId="32" xfId="0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1" fontId="0" fillId="2" borderId="16" xfId="0" applyNumberFormat="1" applyFill="1" applyBorder="1" applyAlignment="1" applyProtection="1">
      <alignment horizontal="center"/>
      <protection locked="0"/>
    </xf>
    <xf numFmtId="1" fontId="0" fillId="2" borderId="19" xfId="0" applyNumberFormat="1" applyFill="1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7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454"/>
  <sheetViews>
    <sheetView tabSelected="1" zoomScale="96" zoomScaleNormal="96" workbookViewId="0">
      <pane ySplit="5" topLeftCell="A430" activePane="bottomLeft" state="frozenSplit"/>
      <selection pane="bottomLeft" activeCell="R437" sqref="R437"/>
    </sheetView>
  </sheetViews>
  <sheetFormatPr defaultRowHeight="15"/>
  <cols>
    <col min="1" max="1" width="10.42578125" style="1" customWidth="1"/>
    <col min="2" max="2" width="5.7109375" style="1" customWidth="1"/>
    <col min="3" max="3" width="9.5703125" style="1" customWidth="1"/>
    <col min="4" max="5" width="7.140625" style="1" customWidth="1"/>
    <col min="6" max="6" width="7.42578125" style="1" customWidth="1"/>
    <col min="7" max="7" width="6" style="1" customWidth="1"/>
    <col min="8" max="8" width="4.5703125" style="1" customWidth="1"/>
    <col min="9" max="9" width="4.85546875" style="1" customWidth="1"/>
    <col min="10" max="10" width="4" style="1" customWidth="1"/>
    <col min="11" max="11" width="12" style="1" customWidth="1"/>
    <col min="12" max="12" width="4.85546875" style="1" customWidth="1"/>
    <col min="13" max="13" width="4.42578125" style="1" customWidth="1"/>
    <col min="14" max="14" width="6" style="1" customWidth="1"/>
    <col min="15" max="15" width="5.42578125" style="1" customWidth="1"/>
    <col min="16" max="16" width="4.140625" style="1" customWidth="1"/>
    <col min="17" max="17" width="5" style="1" customWidth="1"/>
    <col min="18" max="18" width="4.28515625" style="1" customWidth="1"/>
    <col min="19" max="19" width="7.5703125" style="1" hidden="1" customWidth="1"/>
    <col min="20" max="20" width="6.140625" style="1" customWidth="1"/>
    <col min="21" max="21" width="4.5703125" style="1" customWidth="1"/>
    <col min="22" max="22" width="5.85546875" style="1" customWidth="1"/>
    <col min="23" max="23" width="4.28515625" style="1" customWidth="1"/>
    <col min="24" max="24" width="10" style="1" customWidth="1"/>
    <col min="25" max="25" width="5.28515625" style="1" customWidth="1"/>
    <col min="26" max="26" width="3.7109375" style="1" customWidth="1"/>
    <col min="27" max="27" width="9.7109375" style="1" customWidth="1"/>
    <col min="28" max="28" width="7" style="1" customWidth="1"/>
    <col min="29" max="29" width="5.42578125" style="1" customWidth="1"/>
    <col min="30" max="30" width="8" style="1" customWidth="1"/>
    <col min="31" max="31" width="5.140625" style="1" customWidth="1"/>
    <col min="32" max="32" width="12.42578125" style="1" customWidth="1"/>
    <col min="33" max="33" width="9.140625" style="1"/>
    <col min="34" max="34" width="16.85546875" style="1" customWidth="1"/>
    <col min="35" max="16384" width="9.140625" style="1"/>
  </cols>
  <sheetData>
    <row r="1" spans="1:34" ht="15.75" thickBot="1">
      <c r="A1" s="129" t="s">
        <v>13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</row>
    <row r="2" spans="1:34" ht="45" customHeight="1" thickBot="1">
      <c r="A2" s="130" t="s">
        <v>0</v>
      </c>
      <c r="B2" s="132" t="s">
        <v>3</v>
      </c>
      <c r="C2" s="134" t="s">
        <v>98</v>
      </c>
      <c r="D2" s="136" t="s">
        <v>419</v>
      </c>
      <c r="E2" s="136" t="s">
        <v>630</v>
      </c>
      <c r="F2" s="138" t="s">
        <v>109</v>
      </c>
      <c r="G2" s="166" t="s">
        <v>5</v>
      </c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8"/>
      <c r="AB2" s="152" t="s">
        <v>18</v>
      </c>
      <c r="AC2" s="153"/>
      <c r="AD2" s="150" t="s">
        <v>6</v>
      </c>
      <c r="AE2" s="148" t="s">
        <v>7</v>
      </c>
      <c r="AF2" s="148" t="s">
        <v>9</v>
      </c>
    </row>
    <row r="3" spans="1:34" ht="15" customHeight="1">
      <c r="A3" s="131"/>
      <c r="B3" s="133"/>
      <c r="C3" s="135"/>
      <c r="D3" s="137"/>
      <c r="E3" s="137"/>
      <c r="F3" s="139"/>
      <c r="G3" s="144" t="s">
        <v>1</v>
      </c>
      <c r="H3" s="145"/>
      <c r="I3" s="179" t="s">
        <v>2</v>
      </c>
      <c r="J3" s="180"/>
      <c r="K3" s="181"/>
      <c r="L3" s="175" t="s">
        <v>67</v>
      </c>
      <c r="M3" s="176"/>
      <c r="N3" s="176"/>
      <c r="O3" s="140" t="s">
        <v>11</v>
      </c>
      <c r="P3" s="141"/>
      <c r="Q3" s="161" t="s">
        <v>397</v>
      </c>
      <c r="R3" s="156"/>
      <c r="S3" s="157"/>
      <c r="T3" s="155" t="s">
        <v>398</v>
      </c>
      <c r="U3" s="157"/>
      <c r="V3" s="155" t="s">
        <v>108</v>
      </c>
      <c r="W3" s="156"/>
      <c r="X3" s="157"/>
      <c r="Y3" s="169" t="s">
        <v>68</v>
      </c>
      <c r="Z3" s="170"/>
      <c r="AA3" s="171"/>
      <c r="AB3" s="162" t="s">
        <v>19</v>
      </c>
      <c r="AC3" s="164" t="s">
        <v>4</v>
      </c>
      <c r="AD3" s="151"/>
      <c r="AE3" s="149"/>
      <c r="AF3" s="149"/>
      <c r="AH3" s="1" t="s">
        <v>16</v>
      </c>
    </row>
    <row r="4" spans="1:34" ht="44.25" customHeight="1">
      <c r="A4" s="131"/>
      <c r="B4" s="133"/>
      <c r="C4" s="135"/>
      <c r="D4" s="137"/>
      <c r="E4" s="137"/>
      <c r="F4" s="139"/>
      <c r="G4" s="146" t="s">
        <v>12</v>
      </c>
      <c r="H4" s="147"/>
      <c r="I4" s="42" t="s">
        <v>10</v>
      </c>
      <c r="J4" s="12" t="s">
        <v>8</v>
      </c>
      <c r="K4" s="182" t="s">
        <v>37</v>
      </c>
      <c r="L4" s="177"/>
      <c r="M4" s="178"/>
      <c r="N4" s="178"/>
      <c r="O4" s="142"/>
      <c r="P4" s="143"/>
      <c r="Q4" s="158"/>
      <c r="R4" s="159"/>
      <c r="S4" s="160"/>
      <c r="T4" s="158"/>
      <c r="U4" s="160"/>
      <c r="V4" s="158"/>
      <c r="W4" s="159"/>
      <c r="X4" s="160"/>
      <c r="Y4" s="172"/>
      <c r="Z4" s="173"/>
      <c r="AA4" s="174"/>
      <c r="AB4" s="162"/>
      <c r="AC4" s="165"/>
      <c r="AD4" s="151"/>
      <c r="AE4" s="149"/>
      <c r="AF4" s="149"/>
      <c r="AH4" s="1" t="s">
        <v>91</v>
      </c>
    </row>
    <row r="5" spans="1:34" ht="15.75" thickBot="1">
      <c r="A5" s="131"/>
      <c r="B5" s="133"/>
      <c r="C5" s="135"/>
      <c r="D5" s="137"/>
      <c r="E5" s="154"/>
      <c r="F5" s="139"/>
      <c r="G5" s="13" t="s">
        <v>10</v>
      </c>
      <c r="H5" s="14" t="s">
        <v>8</v>
      </c>
      <c r="I5" s="13" t="s">
        <v>10</v>
      </c>
      <c r="J5" s="14" t="s">
        <v>8</v>
      </c>
      <c r="K5" s="183"/>
      <c r="L5" s="13" t="s">
        <v>10</v>
      </c>
      <c r="M5" s="14" t="s">
        <v>8</v>
      </c>
      <c r="N5" s="14" t="s">
        <v>37</v>
      </c>
      <c r="O5" s="13" t="s">
        <v>10</v>
      </c>
      <c r="P5" s="41" t="s">
        <v>8</v>
      </c>
      <c r="Q5" s="13" t="s">
        <v>31</v>
      </c>
      <c r="R5" s="15" t="s">
        <v>8</v>
      </c>
      <c r="S5" s="41" t="s">
        <v>37</v>
      </c>
      <c r="T5" s="13" t="s">
        <v>31</v>
      </c>
      <c r="U5" s="15" t="s">
        <v>8</v>
      </c>
      <c r="V5" s="13" t="s">
        <v>10</v>
      </c>
      <c r="W5" s="15" t="s">
        <v>8</v>
      </c>
      <c r="X5" s="41" t="s">
        <v>37</v>
      </c>
      <c r="Y5" s="43" t="s">
        <v>31</v>
      </c>
      <c r="Z5" s="16" t="s">
        <v>33</v>
      </c>
      <c r="AA5" s="44" t="s">
        <v>37</v>
      </c>
      <c r="AB5" s="163"/>
      <c r="AC5" s="165"/>
      <c r="AD5" s="151"/>
      <c r="AE5" s="149"/>
      <c r="AF5" s="149"/>
      <c r="AH5" s="1" t="s">
        <v>15</v>
      </c>
    </row>
    <row r="6" spans="1:34" ht="15.75" thickBot="1">
      <c r="A6" s="11">
        <v>43830</v>
      </c>
      <c r="B6" s="2" t="e">
        <f>#REF!</f>
        <v>#REF!</v>
      </c>
      <c r="C6" s="3">
        <v>1530</v>
      </c>
      <c r="D6" s="4">
        <v>1100</v>
      </c>
      <c r="E6" s="124"/>
      <c r="F6" s="10">
        <f>C6-D6</f>
        <v>430</v>
      </c>
      <c r="G6" s="3"/>
      <c r="H6" s="4"/>
      <c r="I6" s="52"/>
      <c r="J6" s="53"/>
      <c r="K6" s="54"/>
      <c r="L6" s="52"/>
      <c r="M6" s="53"/>
      <c r="N6" s="53"/>
      <c r="O6" s="73"/>
      <c r="P6" s="54"/>
      <c r="Q6" s="52"/>
      <c r="R6" s="53"/>
      <c r="S6" s="57"/>
      <c r="T6" s="58"/>
      <c r="U6" s="59"/>
      <c r="V6" s="56"/>
      <c r="W6" s="54"/>
      <c r="X6" s="54"/>
      <c r="Y6" s="52"/>
      <c r="Z6" s="54"/>
      <c r="AA6" s="55"/>
      <c r="AB6" s="56"/>
      <c r="AC6" s="54"/>
      <c r="AD6" s="6" t="e">
        <f>B6+F6-G6-#REF!-I6-#REF!-AE6-AC6-V6</f>
        <v>#REF!</v>
      </c>
      <c r="AE6" s="5">
        <v>10</v>
      </c>
      <c r="AF6" s="5" t="s">
        <v>91</v>
      </c>
    </row>
    <row r="7" spans="1:34" ht="15.75" thickBot="1">
      <c r="A7" s="11">
        <v>43831</v>
      </c>
      <c r="B7" s="2">
        <f>AE6</f>
        <v>10</v>
      </c>
      <c r="C7" s="3"/>
      <c r="D7" s="4"/>
      <c r="E7" s="124"/>
      <c r="F7" s="10">
        <f>C7-D7</f>
        <v>0</v>
      </c>
      <c r="G7" s="3"/>
      <c r="H7" s="4"/>
      <c r="I7" s="52"/>
      <c r="J7" s="53"/>
      <c r="K7" s="54"/>
      <c r="L7" s="73"/>
      <c r="M7" s="53"/>
      <c r="N7" s="53"/>
      <c r="O7" s="73"/>
      <c r="P7" s="54"/>
      <c r="Q7" s="52"/>
      <c r="R7" s="53"/>
      <c r="S7" s="57"/>
      <c r="T7" s="60"/>
      <c r="U7" s="61"/>
      <c r="V7" s="56"/>
      <c r="W7" s="54"/>
      <c r="X7" s="54"/>
      <c r="Y7" s="52"/>
      <c r="Z7" s="54"/>
      <c r="AA7" s="55"/>
      <c r="AB7" s="56"/>
      <c r="AC7" s="54"/>
      <c r="AD7" s="6">
        <f>B7+F7-G7-I7-V7-AC7-AE7</f>
        <v>0</v>
      </c>
      <c r="AE7" s="49">
        <f>B7+F7-G7-I7-V7-AC7</f>
        <v>10</v>
      </c>
      <c r="AF7" s="5" t="s">
        <v>15</v>
      </c>
    </row>
    <row r="8" spans="1:34" ht="15.75" thickBot="1">
      <c r="A8" s="11">
        <v>43832</v>
      </c>
      <c r="B8" s="2">
        <f t="shared" ref="B8:B71" si="0">AE7</f>
        <v>10</v>
      </c>
      <c r="C8" s="3">
        <v>4623</v>
      </c>
      <c r="D8" s="4">
        <v>2320</v>
      </c>
      <c r="E8" s="124"/>
      <c r="F8" s="10">
        <f t="shared" ref="F8:F71" si="1">C8-D8</f>
        <v>2303</v>
      </c>
      <c r="G8" s="3"/>
      <c r="H8" s="4"/>
      <c r="I8" s="52"/>
      <c r="J8" s="53"/>
      <c r="K8" s="54"/>
      <c r="L8" s="73"/>
      <c r="M8" s="53"/>
      <c r="N8" s="53"/>
      <c r="O8" s="73"/>
      <c r="P8" s="54"/>
      <c r="Q8" s="52"/>
      <c r="R8" s="53"/>
      <c r="S8" s="57"/>
      <c r="T8" s="62"/>
      <c r="U8" s="63"/>
      <c r="V8" s="56"/>
      <c r="W8" s="54"/>
      <c r="X8" s="54"/>
      <c r="Y8" s="73">
        <v>300</v>
      </c>
      <c r="Z8" s="54">
        <v>1</v>
      </c>
      <c r="AA8" s="55" t="s">
        <v>99</v>
      </c>
      <c r="AB8" s="56"/>
      <c r="AC8" s="54"/>
      <c r="AD8" s="6">
        <f>B8+F8-G8-I8-V8-AC8-AE8</f>
        <v>2300</v>
      </c>
      <c r="AE8" s="49">
        <v>13</v>
      </c>
      <c r="AF8" s="5" t="s">
        <v>15</v>
      </c>
    </row>
    <row r="9" spans="1:34" ht="15.75" thickBot="1">
      <c r="A9" s="11">
        <v>43833</v>
      </c>
      <c r="B9" s="2">
        <f t="shared" si="0"/>
        <v>13</v>
      </c>
      <c r="C9" s="3">
        <v>7400</v>
      </c>
      <c r="D9" s="4">
        <v>1323</v>
      </c>
      <c r="E9" s="124"/>
      <c r="F9" s="10">
        <f t="shared" si="1"/>
        <v>6077</v>
      </c>
      <c r="G9" s="3"/>
      <c r="H9" s="4"/>
      <c r="I9" s="52"/>
      <c r="J9" s="53"/>
      <c r="K9" s="54"/>
      <c r="L9" s="73"/>
      <c r="M9" s="53"/>
      <c r="N9" s="53"/>
      <c r="O9" s="73"/>
      <c r="P9" s="54"/>
      <c r="Q9" s="52"/>
      <c r="R9" s="53"/>
      <c r="S9" s="57"/>
      <c r="T9" s="60"/>
      <c r="U9" s="61"/>
      <c r="V9" s="56">
        <v>250</v>
      </c>
      <c r="W9" s="54">
        <v>1</v>
      </c>
      <c r="X9" s="54"/>
      <c r="Y9" s="73"/>
      <c r="Z9" s="54"/>
      <c r="AA9" s="55"/>
      <c r="AB9" s="56"/>
      <c r="AC9" s="54"/>
      <c r="AD9" s="6">
        <f>B9+F9-G9-I9-V9-AC9-AE9</f>
        <v>5770</v>
      </c>
      <c r="AE9" s="49">
        <v>70</v>
      </c>
      <c r="AF9" s="5" t="s">
        <v>16</v>
      </c>
    </row>
    <row r="10" spans="1:34" ht="15.75" thickBot="1">
      <c r="A10" s="11">
        <v>43834</v>
      </c>
      <c r="B10" s="2">
        <f t="shared" si="0"/>
        <v>70</v>
      </c>
      <c r="C10" s="3">
        <f>7910+360</f>
        <v>8270</v>
      </c>
      <c r="D10" s="4">
        <f>6170+340</f>
        <v>6510</v>
      </c>
      <c r="E10" s="124"/>
      <c r="F10" s="10">
        <f t="shared" si="1"/>
        <v>1760</v>
      </c>
      <c r="G10" s="3"/>
      <c r="H10" s="4"/>
      <c r="I10" s="52"/>
      <c r="J10" s="53"/>
      <c r="K10" s="54"/>
      <c r="L10" s="73">
        <v>250</v>
      </c>
      <c r="M10" s="53">
        <v>1</v>
      </c>
      <c r="N10" s="53" t="s">
        <v>110</v>
      </c>
      <c r="O10" s="73"/>
      <c r="P10" s="54"/>
      <c r="Q10" s="52"/>
      <c r="R10" s="53"/>
      <c r="S10" s="57"/>
      <c r="T10" s="60"/>
      <c r="U10" s="61"/>
      <c r="V10" s="56"/>
      <c r="W10" s="54"/>
      <c r="X10" s="54"/>
      <c r="Y10" s="73"/>
      <c r="Z10" s="54"/>
      <c r="AA10" s="55"/>
      <c r="AB10" s="56"/>
      <c r="AC10" s="54"/>
      <c r="AD10" s="6">
        <f t="shared" ref="AD10:AD71" si="2">B10+F10-G10-I10-V10-AC10-AE10</f>
        <v>1700</v>
      </c>
      <c r="AE10" s="49">
        <v>130</v>
      </c>
      <c r="AF10" s="5" t="s">
        <v>15</v>
      </c>
    </row>
    <row r="11" spans="1:34" ht="15.75" thickBot="1">
      <c r="A11" s="11">
        <v>43835</v>
      </c>
      <c r="B11" s="2">
        <f t="shared" si="0"/>
        <v>130</v>
      </c>
      <c r="C11" s="3">
        <v>6730</v>
      </c>
      <c r="D11" s="4">
        <v>3380</v>
      </c>
      <c r="E11" s="124"/>
      <c r="F11" s="10">
        <f t="shared" si="1"/>
        <v>3350</v>
      </c>
      <c r="G11" s="3"/>
      <c r="H11" s="4"/>
      <c r="I11" s="52"/>
      <c r="J11" s="53"/>
      <c r="K11" s="54"/>
      <c r="L11" s="73"/>
      <c r="M11" s="53"/>
      <c r="N11" s="53"/>
      <c r="O11" s="73"/>
      <c r="P11" s="54"/>
      <c r="Q11" s="52"/>
      <c r="R11" s="53"/>
      <c r="S11" s="57"/>
      <c r="T11" s="60"/>
      <c r="U11" s="61"/>
      <c r="V11" s="56">
        <v>250</v>
      </c>
      <c r="W11" s="54">
        <v>1</v>
      </c>
      <c r="X11" s="54" t="s">
        <v>112</v>
      </c>
      <c r="Y11" s="73">
        <v>300</v>
      </c>
      <c r="Z11" s="54">
        <v>1</v>
      </c>
      <c r="AA11" s="55" t="s">
        <v>114</v>
      </c>
      <c r="AB11" s="56" t="s">
        <v>111</v>
      </c>
      <c r="AC11" s="54">
        <v>30</v>
      </c>
      <c r="AD11" s="6">
        <f t="shared" si="2"/>
        <v>3000</v>
      </c>
      <c r="AE11" s="49">
        <v>200</v>
      </c>
      <c r="AF11" s="5" t="s">
        <v>91</v>
      </c>
    </row>
    <row r="12" spans="1:34" ht="15.75" thickBot="1">
      <c r="A12" s="11">
        <v>43836</v>
      </c>
      <c r="B12" s="2">
        <f t="shared" si="0"/>
        <v>200</v>
      </c>
      <c r="C12" s="3">
        <v>11740</v>
      </c>
      <c r="D12" s="4">
        <v>4910</v>
      </c>
      <c r="E12" s="124"/>
      <c r="F12" s="10">
        <f t="shared" si="1"/>
        <v>6830</v>
      </c>
      <c r="G12" s="3"/>
      <c r="H12" s="4"/>
      <c r="I12" s="52"/>
      <c r="J12" s="53"/>
      <c r="K12" s="54"/>
      <c r="L12" s="73"/>
      <c r="M12" s="53"/>
      <c r="N12" s="53"/>
      <c r="O12" s="73"/>
      <c r="P12" s="54"/>
      <c r="Q12" s="52"/>
      <c r="R12" s="53"/>
      <c r="S12" s="57"/>
      <c r="T12" s="60"/>
      <c r="U12" s="61"/>
      <c r="V12" s="56"/>
      <c r="W12" s="54"/>
      <c r="X12" s="54"/>
      <c r="Y12" s="73">
        <v>350</v>
      </c>
      <c r="Z12" s="54">
        <v>1</v>
      </c>
      <c r="AA12" s="55" t="s">
        <v>113</v>
      </c>
      <c r="AB12" s="56"/>
      <c r="AC12" s="54"/>
      <c r="AD12" s="6">
        <f>B12+F12-G12-I12-V12-AC12-AE12</f>
        <v>7000</v>
      </c>
      <c r="AE12" s="49">
        <v>30</v>
      </c>
      <c r="AF12" s="5" t="s">
        <v>15</v>
      </c>
    </row>
    <row r="13" spans="1:34" ht="15.75" thickBot="1">
      <c r="A13" s="11">
        <v>43837</v>
      </c>
      <c r="B13" s="2">
        <f t="shared" si="0"/>
        <v>30</v>
      </c>
      <c r="C13" s="3">
        <v>5770</v>
      </c>
      <c r="D13" s="4">
        <v>4890</v>
      </c>
      <c r="E13" s="124"/>
      <c r="F13" s="10">
        <f t="shared" si="1"/>
        <v>880</v>
      </c>
      <c r="G13" s="3"/>
      <c r="H13" s="4"/>
      <c r="I13" s="52"/>
      <c r="J13" s="53"/>
      <c r="K13" s="54"/>
      <c r="L13" s="73">
        <v>250</v>
      </c>
      <c r="M13" s="53">
        <v>1</v>
      </c>
      <c r="N13" s="53" t="s">
        <v>110</v>
      </c>
      <c r="O13" s="73"/>
      <c r="P13" s="54"/>
      <c r="Q13" s="52"/>
      <c r="R13" s="53"/>
      <c r="S13" s="57"/>
      <c r="T13" s="60"/>
      <c r="U13" s="61"/>
      <c r="V13" s="56"/>
      <c r="W13" s="54"/>
      <c r="X13" s="54"/>
      <c r="Y13" s="73"/>
      <c r="Z13" s="54"/>
      <c r="AA13" s="55"/>
      <c r="AB13" s="56"/>
      <c r="AC13" s="54"/>
      <c r="AD13" s="6">
        <f t="shared" si="2"/>
        <v>850</v>
      </c>
      <c r="AE13" s="49">
        <v>60</v>
      </c>
      <c r="AF13" s="5" t="s">
        <v>91</v>
      </c>
    </row>
    <row r="14" spans="1:34" ht="15.75" thickBot="1">
      <c r="A14" s="11">
        <v>43838</v>
      </c>
      <c r="B14" s="2">
        <f t="shared" si="0"/>
        <v>60</v>
      </c>
      <c r="C14" s="3">
        <v>29990</v>
      </c>
      <c r="D14" s="4">
        <v>22840</v>
      </c>
      <c r="E14" s="124"/>
      <c r="F14" s="10">
        <f t="shared" si="1"/>
        <v>7150</v>
      </c>
      <c r="G14" s="3"/>
      <c r="H14" s="4"/>
      <c r="I14" s="52"/>
      <c r="J14" s="53"/>
      <c r="K14" s="54"/>
      <c r="L14" s="73"/>
      <c r="M14" s="53"/>
      <c r="N14" s="53"/>
      <c r="O14" s="73"/>
      <c r="P14" s="54"/>
      <c r="Q14" s="64">
        <v>240</v>
      </c>
      <c r="R14" s="53">
        <v>3</v>
      </c>
      <c r="S14" s="57"/>
      <c r="T14" s="60"/>
      <c r="U14" s="61"/>
      <c r="V14" s="56">
        <v>315</v>
      </c>
      <c r="W14" s="54">
        <v>1</v>
      </c>
      <c r="X14" s="54" t="s">
        <v>115</v>
      </c>
      <c r="Y14" s="73">
        <f>1220+350</f>
        <v>1570</v>
      </c>
      <c r="Z14" s="54">
        <v>3</v>
      </c>
      <c r="AA14" s="55" t="s">
        <v>116</v>
      </c>
      <c r="AB14" s="56"/>
      <c r="AC14" s="54"/>
      <c r="AD14" s="6">
        <f>B14+F14-G14-I14-AC14-AE14</f>
        <v>7150</v>
      </c>
      <c r="AE14" s="49">
        <v>60</v>
      </c>
      <c r="AF14" s="5" t="s">
        <v>91</v>
      </c>
    </row>
    <row r="15" spans="1:34" ht="15.75" thickBot="1">
      <c r="A15" s="11">
        <v>43839</v>
      </c>
      <c r="B15" s="2">
        <f t="shared" si="0"/>
        <v>60</v>
      </c>
      <c r="C15" s="3">
        <v>10240</v>
      </c>
      <c r="D15" s="4">
        <v>9270</v>
      </c>
      <c r="E15" s="124"/>
      <c r="F15" s="10">
        <f t="shared" si="1"/>
        <v>970</v>
      </c>
      <c r="G15" s="3"/>
      <c r="H15" s="4"/>
      <c r="I15" s="52">
        <f>300+250</f>
        <v>550</v>
      </c>
      <c r="J15" s="53">
        <v>1</v>
      </c>
      <c r="K15" s="54" t="s">
        <v>117</v>
      </c>
      <c r="L15" s="73"/>
      <c r="M15" s="53"/>
      <c r="N15" s="53"/>
      <c r="O15" s="73">
        <v>560</v>
      </c>
      <c r="P15" s="54">
        <v>7</v>
      </c>
      <c r="Q15" s="64"/>
      <c r="R15" s="53"/>
      <c r="S15" s="57"/>
      <c r="T15" s="60"/>
      <c r="U15" s="61"/>
      <c r="V15" s="56">
        <v>315</v>
      </c>
      <c r="W15" s="54">
        <v>1</v>
      </c>
      <c r="X15" s="54" t="s">
        <v>118</v>
      </c>
      <c r="Y15" s="73"/>
      <c r="Z15" s="54"/>
      <c r="AA15" s="55"/>
      <c r="AB15" s="56"/>
      <c r="AC15" s="54"/>
      <c r="AD15" s="6">
        <f t="shared" si="2"/>
        <v>100</v>
      </c>
      <c r="AE15" s="49">
        <v>65</v>
      </c>
      <c r="AF15" s="5" t="s">
        <v>15</v>
      </c>
    </row>
    <row r="16" spans="1:34" ht="15.75" thickBot="1">
      <c r="A16" s="11">
        <v>43840</v>
      </c>
      <c r="B16" s="2">
        <f t="shared" si="0"/>
        <v>65</v>
      </c>
      <c r="C16" s="3">
        <v>10730</v>
      </c>
      <c r="D16" s="4">
        <v>6730</v>
      </c>
      <c r="E16" s="124"/>
      <c r="F16" s="10">
        <f t="shared" si="1"/>
        <v>4000</v>
      </c>
      <c r="G16" s="3"/>
      <c r="H16" s="4"/>
      <c r="I16" s="52"/>
      <c r="J16" s="53"/>
      <c r="K16" s="54"/>
      <c r="L16" s="73"/>
      <c r="M16" s="53"/>
      <c r="N16" s="53"/>
      <c r="O16" s="73"/>
      <c r="P16" s="54"/>
      <c r="Q16" s="64">
        <f>240+300</f>
        <v>540</v>
      </c>
      <c r="R16" s="53">
        <v>3</v>
      </c>
      <c r="S16" s="57" t="s">
        <v>124</v>
      </c>
      <c r="T16" s="60"/>
      <c r="U16" s="61"/>
      <c r="V16" s="56">
        <v>300</v>
      </c>
      <c r="W16" s="54">
        <v>1</v>
      </c>
      <c r="X16" s="54" t="s">
        <v>115</v>
      </c>
      <c r="Y16" s="73">
        <v>460</v>
      </c>
      <c r="Z16" s="54">
        <v>1</v>
      </c>
      <c r="AA16" s="55" t="s">
        <v>119</v>
      </c>
      <c r="AB16" s="56"/>
      <c r="AC16" s="54"/>
      <c r="AD16" s="6">
        <f t="shared" si="2"/>
        <v>3700</v>
      </c>
      <c r="AE16" s="49">
        <v>65</v>
      </c>
      <c r="AF16" s="5" t="s">
        <v>91</v>
      </c>
    </row>
    <row r="17" spans="1:32" ht="15.75" thickBot="1">
      <c r="A17" s="11">
        <v>43841</v>
      </c>
      <c r="B17" s="2">
        <v>5</v>
      </c>
      <c r="C17" s="3">
        <v>3240</v>
      </c>
      <c r="D17" s="4">
        <v>1620</v>
      </c>
      <c r="E17" s="124"/>
      <c r="F17" s="10">
        <f t="shared" si="1"/>
        <v>1620</v>
      </c>
      <c r="H17" s="4"/>
      <c r="I17" s="52"/>
      <c r="J17" s="53"/>
      <c r="K17" s="54"/>
      <c r="L17" s="73">
        <v>325</v>
      </c>
      <c r="M17" s="53">
        <v>1</v>
      </c>
      <c r="N17" s="53" t="s">
        <v>120</v>
      </c>
      <c r="O17" s="73"/>
      <c r="P17" s="54"/>
      <c r="Q17" s="64"/>
      <c r="R17" s="53"/>
      <c r="S17" s="57"/>
      <c r="T17" s="60"/>
      <c r="U17" s="61"/>
      <c r="V17" s="56"/>
      <c r="W17" s="54"/>
      <c r="X17" s="54"/>
      <c r="Y17" s="73"/>
      <c r="Z17" s="54"/>
      <c r="AA17" s="55"/>
      <c r="AB17" s="56"/>
      <c r="AC17" s="54"/>
      <c r="AD17" s="6">
        <f>B17+F17-G31-I17-V17-AC17-AE17</f>
        <v>1600</v>
      </c>
      <c r="AE17" s="49">
        <v>25</v>
      </c>
      <c r="AF17" s="5" t="s">
        <v>15</v>
      </c>
    </row>
    <row r="18" spans="1:32" ht="15.75" thickBot="1">
      <c r="A18" s="11">
        <v>43842</v>
      </c>
      <c r="B18" s="2">
        <f t="shared" si="0"/>
        <v>25</v>
      </c>
      <c r="C18" s="3">
        <v>5830</v>
      </c>
      <c r="D18" s="4">
        <v>1850</v>
      </c>
      <c r="E18" s="124"/>
      <c r="F18" s="10">
        <f t="shared" si="1"/>
        <v>3980</v>
      </c>
      <c r="G18" s="3"/>
      <c r="H18" s="4"/>
      <c r="I18" s="52"/>
      <c r="J18" s="53"/>
      <c r="K18" s="54"/>
      <c r="L18" s="73">
        <v>325</v>
      </c>
      <c r="M18" s="53">
        <v>1</v>
      </c>
      <c r="N18" s="53" t="s">
        <v>121</v>
      </c>
      <c r="O18" s="73">
        <v>240</v>
      </c>
      <c r="P18" s="54">
        <v>3</v>
      </c>
      <c r="Q18" s="64"/>
      <c r="R18" s="53"/>
      <c r="S18" s="57"/>
      <c r="T18" s="60"/>
      <c r="U18" s="61"/>
      <c r="V18" s="56">
        <v>330</v>
      </c>
      <c r="W18" s="54">
        <v>1</v>
      </c>
      <c r="X18" s="54" t="s">
        <v>118</v>
      </c>
      <c r="Y18" s="73">
        <v>300</v>
      </c>
      <c r="Z18" s="54">
        <v>1</v>
      </c>
      <c r="AA18" s="55" t="s">
        <v>99</v>
      </c>
      <c r="AB18" s="56"/>
      <c r="AC18" s="54"/>
      <c r="AD18" s="6">
        <f t="shared" si="2"/>
        <v>3650</v>
      </c>
      <c r="AE18" s="49">
        <v>25</v>
      </c>
      <c r="AF18" s="5" t="s">
        <v>91</v>
      </c>
    </row>
    <row r="19" spans="1:32" ht="15.75" thickBot="1">
      <c r="A19" s="11">
        <v>43843</v>
      </c>
      <c r="B19" s="2">
        <f t="shared" si="0"/>
        <v>25</v>
      </c>
      <c r="C19" s="3">
        <v>22640</v>
      </c>
      <c r="D19" s="4">
        <v>7000</v>
      </c>
      <c r="E19" s="124"/>
      <c r="F19" s="10">
        <f t="shared" si="1"/>
        <v>15640</v>
      </c>
      <c r="G19" s="3"/>
      <c r="H19" s="4"/>
      <c r="I19" s="52"/>
      <c r="J19" s="53"/>
      <c r="K19" s="54"/>
      <c r="L19" s="73"/>
      <c r="M19" s="53"/>
      <c r="N19" s="53"/>
      <c r="O19" s="73"/>
      <c r="P19" s="54"/>
      <c r="Q19" s="64">
        <v>480</v>
      </c>
      <c r="R19" s="53">
        <v>6</v>
      </c>
      <c r="S19" s="57"/>
      <c r="T19" s="60"/>
      <c r="U19" s="61"/>
      <c r="V19" s="56">
        <f>325+350+325</f>
        <v>1000</v>
      </c>
      <c r="W19" s="54">
        <v>2</v>
      </c>
      <c r="X19" s="54" t="s">
        <v>122</v>
      </c>
      <c r="Y19" s="73">
        <f>460+300</f>
        <v>760</v>
      </c>
      <c r="Z19" s="54">
        <v>2</v>
      </c>
      <c r="AA19" s="55" t="s">
        <v>123</v>
      </c>
      <c r="AB19" s="56"/>
      <c r="AC19" s="54"/>
      <c r="AD19" s="6">
        <f>B19+F19-G19-I19-V19-AC19-AE19</f>
        <v>14650</v>
      </c>
      <c r="AE19" s="49">
        <v>15</v>
      </c>
      <c r="AF19" s="5" t="s">
        <v>15</v>
      </c>
    </row>
    <row r="20" spans="1:32" ht="15.75" thickBot="1">
      <c r="A20" s="11">
        <v>43844</v>
      </c>
      <c r="B20" s="2">
        <f t="shared" si="0"/>
        <v>15</v>
      </c>
      <c r="C20" s="3">
        <v>17410</v>
      </c>
      <c r="D20" s="4">
        <v>9320</v>
      </c>
      <c r="E20" s="124"/>
      <c r="F20" s="10">
        <f t="shared" si="1"/>
        <v>8090</v>
      </c>
      <c r="G20" s="3">
        <v>720</v>
      </c>
      <c r="H20" s="4">
        <v>9</v>
      </c>
      <c r="I20" s="52"/>
      <c r="J20" s="53"/>
      <c r="K20" s="54"/>
      <c r="L20" s="73"/>
      <c r="M20" s="53"/>
      <c r="N20" s="53"/>
      <c r="O20" s="73">
        <v>400</v>
      </c>
      <c r="P20" s="54">
        <v>5</v>
      </c>
      <c r="Q20" s="64"/>
      <c r="R20" s="53"/>
      <c r="S20" s="57"/>
      <c r="T20" s="60"/>
      <c r="U20" s="61"/>
      <c r="V20" s="56"/>
      <c r="W20" s="54"/>
      <c r="X20" s="54"/>
      <c r="Y20" s="73"/>
      <c r="Z20" s="54"/>
      <c r="AA20" s="55"/>
      <c r="AB20" s="56"/>
      <c r="AC20" s="54"/>
      <c r="AD20" s="6">
        <f t="shared" si="2"/>
        <v>7350</v>
      </c>
      <c r="AE20" s="49">
        <v>35</v>
      </c>
      <c r="AF20" s="5" t="s">
        <v>91</v>
      </c>
    </row>
    <row r="21" spans="1:32" ht="15.75" thickBot="1">
      <c r="A21" s="11">
        <v>43845</v>
      </c>
      <c r="B21" s="2">
        <f t="shared" si="0"/>
        <v>35</v>
      </c>
      <c r="C21" s="3">
        <v>18380</v>
      </c>
      <c r="D21" s="4">
        <v>14430</v>
      </c>
      <c r="E21" s="124"/>
      <c r="F21" s="10">
        <f t="shared" si="1"/>
        <v>3950</v>
      </c>
      <c r="G21" s="3"/>
      <c r="H21" s="4"/>
      <c r="I21" s="52"/>
      <c r="J21" s="53"/>
      <c r="K21" s="54"/>
      <c r="L21" s="73">
        <v>325</v>
      </c>
      <c r="M21" s="53">
        <v>1</v>
      </c>
      <c r="N21" s="53" t="s">
        <v>121</v>
      </c>
      <c r="O21" s="73"/>
      <c r="P21" s="54"/>
      <c r="Q21" s="64">
        <f>240+300</f>
        <v>540</v>
      </c>
      <c r="R21" s="53">
        <v>3</v>
      </c>
      <c r="S21" s="57" t="s">
        <v>124</v>
      </c>
      <c r="T21" s="60"/>
      <c r="U21" s="61"/>
      <c r="V21" s="56">
        <v>330</v>
      </c>
      <c r="W21" s="54">
        <v>1</v>
      </c>
      <c r="X21" s="54" t="s">
        <v>118</v>
      </c>
      <c r="Y21" s="73">
        <v>1110</v>
      </c>
      <c r="Z21" s="54">
        <v>3</v>
      </c>
      <c r="AA21" s="55" t="s">
        <v>126</v>
      </c>
      <c r="AB21" s="56"/>
      <c r="AC21" s="54"/>
      <c r="AD21" s="6">
        <f t="shared" si="2"/>
        <v>3650</v>
      </c>
      <c r="AE21" s="49">
        <v>5</v>
      </c>
      <c r="AF21" s="5" t="s">
        <v>91</v>
      </c>
    </row>
    <row r="22" spans="1:32" ht="15.75" thickBot="1">
      <c r="A22" s="11">
        <v>43846</v>
      </c>
      <c r="B22" s="2">
        <f t="shared" si="0"/>
        <v>5</v>
      </c>
      <c r="C22" s="3">
        <v>6860</v>
      </c>
      <c r="D22" s="4">
        <v>1160</v>
      </c>
      <c r="E22" s="124"/>
      <c r="F22" s="10">
        <f t="shared" si="1"/>
        <v>5700</v>
      </c>
      <c r="G22" s="3"/>
      <c r="H22" s="4"/>
      <c r="I22" s="52">
        <v>300</v>
      </c>
      <c r="J22" s="53">
        <v>1</v>
      </c>
      <c r="K22" s="54" t="s">
        <v>117</v>
      </c>
      <c r="L22" s="73"/>
      <c r="M22" s="53"/>
      <c r="N22" s="53"/>
      <c r="O22" s="73">
        <v>240</v>
      </c>
      <c r="P22" s="54">
        <v>3</v>
      </c>
      <c r="Q22" s="64"/>
      <c r="R22" s="53"/>
      <c r="S22" s="57"/>
      <c r="T22" s="60"/>
      <c r="U22" s="61"/>
      <c r="V22" s="56"/>
      <c r="W22" s="54"/>
      <c r="X22" s="54"/>
      <c r="Y22" s="73"/>
      <c r="Z22" s="54"/>
      <c r="AA22" s="55"/>
      <c r="AB22" s="56"/>
      <c r="AC22" s="54"/>
      <c r="AD22" s="6">
        <f t="shared" si="2"/>
        <v>5400</v>
      </c>
      <c r="AE22" s="49">
        <v>5</v>
      </c>
      <c r="AF22" s="5" t="s">
        <v>15</v>
      </c>
    </row>
    <row r="23" spans="1:32" ht="15.75" thickBot="1">
      <c r="A23" s="11">
        <v>43847</v>
      </c>
      <c r="B23" s="2">
        <f t="shared" si="0"/>
        <v>5</v>
      </c>
      <c r="C23" s="3">
        <f>11418+150</f>
        <v>11568</v>
      </c>
      <c r="D23" s="4">
        <v>6460</v>
      </c>
      <c r="E23" s="124"/>
      <c r="F23" s="10">
        <f t="shared" si="1"/>
        <v>5108</v>
      </c>
      <c r="G23" s="3"/>
      <c r="H23" s="4"/>
      <c r="I23" s="52"/>
      <c r="J23" s="53"/>
      <c r="K23" s="54"/>
      <c r="L23" s="73">
        <f>300+325+325</f>
        <v>950</v>
      </c>
      <c r="M23" s="53">
        <v>1</v>
      </c>
      <c r="N23" s="53" t="s">
        <v>129</v>
      </c>
      <c r="O23" s="73"/>
      <c r="P23" s="54"/>
      <c r="Q23" s="64">
        <v>400</v>
      </c>
      <c r="R23" s="53">
        <v>5</v>
      </c>
      <c r="S23" s="57"/>
      <c r="T23" s="60"/>
      <c r="U23" s="61"/>
      <c r="V23" s="56">
        <f>325+300+315</f>
        <v>940</v>
      </c>
      <c r="W23" s="54">
        <v>1</v>
      </c>
      <c r="X23" s="54" t="s">
        <v>128</v>
      </c>
      <c r="Y23" s="73">
        <f>300+460</f>
        <v>760</v>
      </c>
      <c r="Z23" s="54">
        <v>1</v>
      </c>
      <c r="AA23" s="55" t="s">
        <v>125</v>
      </c>
      <c r="AB23" s="56" t="s">
        <v>127</v>
      </c>
      <c r="AC23" s="54">
        <v>150</v>
      </c>
      <c r="AD23" s="6">
        <f t="shared" si="2"/>
        <v>4000</v>
      </c>
      <c r="AE23" s="49">
        <v>23</v>
      </c>
      <c r="AF23" s="5" t="s">
        <v>15</v>
      </c>
    </row>
    <row r="24" spans="1:32" ht="15.75" thickBot="1">
      <c r="A24" s="11">
        <v>43848</v>
      </c>
      <c r="B24" s="2">
        <f t="shared" si="0"/>
        <v>23</v>
      </c>
      <c r="C24" s="3">
        <v>10730</v>
      </c>
      <c r="D24" s="4">
        <v>7640</v>
      </c>
      <c r="E24" s="124"/>
      <c r="F24" s="10">
        <f t="shared" si="1"/>
        <v>3090</v>
      </c>
      <c r="G24" s="3"/>
      <c r="H24" s="4"/>
      <c r="I24" s="52"/>
      <c r="J24" s="53"/>
      <c r="K24" s="54"/>
      <c r="L24" s="73"/>
      <c r="M24" s="53"/>
      <c r="N24" s="53"/>
      <c r="O24" s="73"/>
      <c r="P24" s="54"/>
      <c r="Q24" s="64"/>
      <c r="R24" s="53"/>
      <c r="S24" s="57"/>
      <c r="T24" s="60"/>
      <c r="U24" s="61"/>
      <c r="V24" s="56"/>
      <c r="W24" s="54"/>
      <c r="X24" s="54"/>
      <c r="Y24" s="73">
        <v>325</v>
      </c>
      <c r="Z24" s="54">
        <v>1</v>
      </c>
      <c r="AA24" s="55" t="s">
        <v>130</v>
      </c>
      <c r="AB24" s="56"/>
      <c r="AC24" s="54"/>
      <c r="AD24" s="6">
        <f t="shared" si="2"/>
        <v>3000</v>
      </c>
      <c r="AE24" s="49">
        <v>113</v>
      </c>
      <c r="AF24" s="5" t="s">
        <v>15</v>
      </c>
    </row>
    <row r="25" spans="1:32" ht="15.75" thickBot="1">
      <c r="A25" s="11">
        <v>43849</v>
      </c>
      <c r="B25" s="2">
        <f t="shared" si="0"/>
        <v>113</v>
      </c>
      <c r="C25" s="3">
        <v>10000</v>
      </c>
      <c r="D25" s="4">
        <v>8340</v>
      </c>
      <c r="E25" s="124"/>
      <c r="F25" s="10">
        <f t="shared" si="1"/>
        <v>1660</v>
      </c>
      <c r="G25" s="3"/>
      <c r="H25" s="4"/>
      <c r="I25" s="52"/>
      <c r="J25" s="53"/>
      <c r="K25" s="54"/>
      <c r="L25" s="73">
        <v>250</v>
      </c>
      <c r="M25" s="53">
        <v>1</v>
      </c>
      <c r="N25" s="53" t="s">
        <v>110</v>
      </c>
      <c r="O25" s="73">
        <v>240</v>
      </c>
      <c r="P25" s="54">
        <v>3</v>
      </c>
      <c r="Q25" s="64"/>
      <c r="R25" s="53"/>
      <c r="S25" s="57"/>
      <c r="T25" s="60"/>
      <c r="U25" s="61"/>
      <c r="V25" s="56"/>
      <c r="W25" s="54"/>
      <c r="X25" s="54"/>
      <c r="Y25" s="73">
        <v>450</v>
      </c>
      <c r="Z25" s="54">
        <v>1</v>
      </c>
      <c r="AA25" s="55" t="s">
        <v>113</v>
      </c>
      <c r="AB25" s="56"/>
      <c r="AC25" s="54"/>
      <c r="AD25" s="6">
        <f t="shared" si="2"/>
        <v>1750</v>
      </c>
      <c r="AE25" s="49">
        <v>23</v>
      </c>
      <c r="AF25" s="5" t="s">
        <v>91</v>
      </c>
    </row>
    <row r="26" spans="1:32" ht="15.75" thickBot="1">
      <c r="A26" s="11">
        <v>43850</v>
      </c>
      <c r="B26" s="2">
        <f t="shared" si="0"/>
        <v>23</v>
      </c>
      <c r="C26" s="3">
        <v>20110</v>
      </c>
      <c r="D26" s="4">
        <v>13520</v>
      </c>
      <c r="E26" s="124"/>
      <c r="F26" s="10">
        <f t="shared" si="1"/>
        <v>6590</v>
      </c>
      <c r="G26" s="3"/>
      <c r="H26" s="4"/>
      <c r="I26" s="52"/>
      <c r="J26" s="53"/>
      <c r="K26" s="54"/>
      <c r="L26" s="73">
        <v>325</v>
      </c>
      <c r="M26" s="53">
        <v>1</v>
      </c>
      <c r="N26" s="53" t="s">
        <v>121</v>
      </c>
      <c r="O26" s="73"/>
      <c r="P26" s="54"/>
      <c r="Q26" s="64">
        <v>480</v>
      </c>
      <c r="R26" s="53">
        <v>6</v>
      </c>
      <c r="S26" s="57"/>
      <c r="T26" s="60"/>
      <c r="U26" s="61"/>
      <c r="V26" s="56">
        <v>600</v>
      </c>
      <c r="W26" s="54">
        <v>2</v>
      </c>
      <c r="X26" s="54" t="s">
        <v>139</v>
      </c>
      <c r="Y26" s="73">
        <v>460</v>
      </c>
      <c r="Z26" s="54">
        <v>1</v>
      </c>
      <c r="AA26" s="55" t="s">
        <v>119</v>
      </c>
      <c r="AB26" s="56"/>
      <c r="AC26" s="54"/>
      <c r="AD26" s="6">
        <f t="shared" si="2"/>
        <v>4100</v>
      </c>
      <c r="AE26" s="49">
        <v>1913</v>
      </c>
      <c r="AF26" s="5" t="s">
        <v>15</v>
      </c>
    </row>
    <row r="27" spans="1:32" ht="15.75" thickBot="1">
      <c r="A27" s="11">
        <v>43851</v>
      </c>
      <c r="B27" s="2">
        <f t="shared" si="0"/>
        <v>1913</v>
      </c>
      <c r="C27" s="3">
        <v>14220</v>
      </c>
      <c r="D27" s="4">
        <v>13650</v>
      </c>
      <c r="E27" s="124"/>
      <c r="F27" s="10">
        <f t="shared" si="1"/>
        <v>570</v>
      </c>
      <c r="G27" s="3">
        <v>560</v>
      </c>
      <c r="H27" s="4">
        <v>7</v>
      </c>
      <c r="I27" s="52">
        <v>800</v>
      </c>
      <c r="J27" s="53">
        <v>3</v>
      </c>
      <c r="K27" s="54" t="s">
        <v>131</v>
      </c>
      <c r="L27" s="73">
        <v>575</v>
      </c>
      <c r="M27" s="53">
        <v>2</v>
      </c>
      <c r="N27" s="53" t="s">
        <v>133</v>
      </c>
      <c r="O27" s="73">
        <v>400</v>
      </c>
      <c r="P27" s="54">
        <v>5</v>
      </c>
      <c r="Q27" s="64"/>
      <c r="R27" s="53"/>
      <c r="S27" s="57"/>
      <c r="T27" s="60"/>
      <c r="U27" s="61"/>
      <c r="V27" s="56">
        <v>650</v>
      </c>
      <c r="W27" s="54">
        <v>2</v>
      </c>
      <c r="X27" s="54" t="s">
        <v>132</v>
      </c>
      <c r="Y27" s="73"/>
      <c r="Z27" s="54"/>
      <c r="AA27" s="55"/>
      <c r="AB27" s="56"/>
      <c r="AC27" s="54"/>
      <c r="AD27" s="6">
        <f t="shared" si="2"/>
        <v>100</v>
      </c>
      <c r="AE27" s="49">
        <v>373</v>
      </c>
      <c r="AF27" s="5" t="s">
        <v>91</v>
      </c>
    </row>
    <row r="28" spans="1:32" ht="15.75" thickBot="1">
      <c r="A28" s="11">
        <v>43852</v>
      </c>
      <c r="B28" s="2">
        <f t="shared" si="0"/>
        <v>373</v>
      </c>
      <c r="C28" s="3">
        <v>20930</v>
      </c>
      <c r="D28" s="4">
        <v>12337</v>
      </c>
      <c r="E28" s="124"/>
      <c r="F28" s="10">
        <f t="shared" si="1"/>
        <v>8593</v>
      </c>
      <c r="G28" s="3"/>
      <c r="H28" s="4"/>
      <c r="I28" s="52"/>
      <c r="J28" s="53"/>
      <c r="K28" s="54"/>
      <c r="L28" s="73"/>
      <c r="M28" s="53"/>
      <c r="N28" s="53"/>
      <c r="O28" s="73"/>
      <c r="P28" s="54"/>
      <c r="Q28" s="64"/>
      <c r="R28" s="53"/>
      <c r="S28" s="57"/>
      <c r="T28" s="60"/>
      <c r="U28" s="61"/>
      <c r="V28" s="56">
        <v>810</v>
      </c>
      <c r="W28" s="54">
        <v>2</v>
      </c>
      <c r="X28" s="54" t="s">
        <v>134</v>
      </c>
      <c r="Y28" s="73">
        <f>460+325</f>
        <v>785</v>
      </c>
      <c r="Z28" s="54">
        <v>2</v>
      </c>
      <c r="AA28" s="55" t="s">
        <v>135</v>
      </c>
      <c r="AB28" s="56"/>
      <c r="AC28" s="54"/>
      <c r="AD28" s="6">
        <f t="shared" si="2"/>
        <v>7750</v>
      </c>
      <c r="AE28" s="49">
        <v>406</v>
      </c>
      <c r="AF28" s="5" t="s">
        <v>15</v>
      </c>
    </row>
    <row r="29" spans="1:32" ht="15.75" thickBot="1">
      <c r="A29" s="11">
        <v>43853</v>
      </c>
      <c r="B29" s="2">
        <f t="shared" si="0"/>
        <v>406</v>
      </c>
      <c r="C29" s="3">
        <v>12845</v>
      </c>
      <c r="D29" s="4">
        <v>11174</v>
      </c>
      <c r="E29" s="124"/>
      <c r="F29" s="10">
        <f t="shared" si="1"/>
        <v>1671</v>
      </c>
      <c r="G29" s="3">
        <v>480</v>
      </c>
      <c r="H29" s="4">
        <v>6</v>
      </c>
      <c r="I29" s="52">
        <v>500</v>
      </c>
      <c r="J29" s="53">
        <v>2</v>
      </c>
      <c r="K29" s="54" t="s">
        <v>138</v>
      </c>
      <c r="L29" s="73"/>
      <c r="M29" s="53"/>
      <c r="N29" s="53"/>
      <c r="O29" s="73">
        <v>160</v>
      </c>
      <c r="P29" s="54">
        <v>2</v>
      </c>
      <c r="Q29" s="64"/>
      <c r="R29" s="53"/>
      <c r="S29" s="57"/>
      <c r="T29" s="60">
        <v>320</v>
      </c>
      <c r="U29" s="61">
        <v>4</v>
      </c>
      <c r="V29" s="56">
        <v>300</v>
      </c>
      <c r="W29" s="54">
        <v>1</v>
      </c>
      <c r="X29" s="54" t="s">
        <v>136</v>
      </c>
      <c r="Y29" s="73"/>
      <c r="Z29" s="54"/>
      <c r="AA29" s="55"/>
      <c r="AB29" s="56" t="s">
        <v>137</v>
      </c>
      <c r="AC29" s="54">
        <v>150</v>
      </c>
      <c r="AD29" s="6">
        <f>B29+F29-G29-I29-V29-AC29-AE29</f>
        <v>250</v>
      </c>
      <c r="AE29" s="49">
        <v>397</v>
      </c>
      <c r="AF29" s="5" t="s">
        <v>15</v>
      </c>
    </row>
    <row r="30" spans="1:32" ht="15.75" thickBot="1">
      <c r="A30" s="11">
        <v>43854</v>
      </c>
      <c r="B30" s="2">
        <f t="shared" si="0"/>
        <v>397</v>
      </c>
      <c r="C30" s="3">
        <v>13020</v>
      </c>
      <c r="D30" s="4">
        <v>8900</v>
      </c>
      <c r="E30" s="124"/>
      <c r="F30" s="10">
        <f t="shared" si="1"/>
        <v>4120</v>
      </c>
      <c r="G30" s="3"/>
      <c r="H30" s="4"/>
      <c r="I30" s="52"/>
      <c r="J30" s="53"/>
      <c r="K30" s="54"/>
      <c r="L30" s="73">
        <v>325</v>
      </c>
      <c r="M30" s="53">
        <v>1</v>
      </c>
      <c r="N30" s="53" t="s">
        <v>121</v>
      </c>
      <c r="O30" s="73"/>
      <c r="P30" s="54"/>
      <c r="Q30" s="64">
        <v>480</v>
      </c>
      <c r="R30" s="53">
        <v>6</v>
      </c>
      <c r="S30" s="57"/>
      <c r="T30" s="60"/>
      <c r="U30" s="61"/>
      <c r="V30" s="56">
        <v>930</v>
      </c>
      <c r="W30" s="54">
        <v>3</v>
      </c>
      <c r="X30" s="54" t="s">
        <v>140</v>
      </c>
      <c r="Y30" s="73">
        <v>300</v>
      </c>
      <c r="Z30" s="54">
        <v>1</v>
      </c>
      <c r="AA30" s="55" t="s">
        <v>99</v>
      </c>
      <c r="AB30" s="56"/>
      <c r="AC30" s="54"/>
      <c r="AD30" s="6">
        <f t="shared" si="2"/>
        <v>3300</v>
      </c>
      <c r="AE30" s="49">
        <v>287</v>
      </c>
      <c r="AF30" s="5" t="s">
        <v>15</v>
      </c>
    </row>
    <row r="31" spans="1:32" ht="15.75" thickBot="1">
      <c r="A31" s="11">
        <v>43855</v>
      </c>
      <c r="B31" s="2">
        <f t="shared" si="0"/>
        <v>287</v>
      </c>
      <c r="C31" s="3">
        <v>9900</v>
      </c>
      <c r="D31" s="4">
        <v>7125</v>
      </c>
      <c r="E31" s="124"/>
      <c r="F31" s="10">
        <f t="shared" si="1"/>
        <v>2775</v>
      </c>
      <c r="G31" s="3"/>
      <c r="H31" s="4"/>
      <c r="I31" s="52"/>
      <c r="J31" s="53"/>
      <c r="K31" s="54"/>
      <c r="L31" s="73">
        <f>250+325</f>
        <v>575</v>
      </c>
      <c r="M31" s="53">
        <v>2</v>
      </c>
      <c r="N31" s="53" t="s">
        <v>142</v>
      </c>
      <c r="O31" s="73"/>
      <c r="P31" s="54"/>
      <c r="Q31" s="88"/>
      <c r="R31" s="53"/>
      <c r="S31" s="57"/>
      <c r="T31" s="60"/>
      <c r="U31" s="61"/>
      <c r="V31" s="56"/>
      <c r="W31" s="54"/>
      <c r="X31" s="54"/>
      <c r="Y31" s="73">
        <f>325+460</f>
        <v>785</v>
      </c>
      <c r="Z31" s="54">
        <v>2</v>
      </c>
      <c r="AA31" s="55" t="s">
        <v>141</v>
      </c>
      <c r="AB31" s="56"/>
      <c r="AC31" s="54"/>
      <c r="AD31" s="6">
        <f t="shared" si="2"/>
        <v>2850</v>
      </c>
      <c r="AE31" s="49">
        <v>212</v>
      </c>
      <c r="AF31" s="5" t="s">
        <v>15</v>
      </c>
    </row>
    <row r="32" spans="1:32" ht="15.75" thickBot="1">
      <c r="A32" s="11">
        <v>43856</v>
      </c>
      <c r="B32" s="2">
        <f t="shared" si="0"/>
        <v>212</v>
      </c>
      <c r="C32" s="3">
        <v>11630</v>
      </c>
      <c r="D32" s="4">
        <v>7570</v>
      </c>
      <c r="E32" s="124"/>
      <c r="F32" s="10">
        <f t="shared" si="1"/>
        <v>4060</v>
      </c>
      <c r="G32" s="3"/>
      <c r="H32" s="4"/>
      <c r="I32" s="52"/>
      <c r="J32" s="53"/>
      <c r="K32" s="54"/>
      <c r="L32" s="73"/>
      <c r="M32" s="53"/>
      <c r="N32" s="53"/>
      <c r="O32" s="73">
        <v>320</v>
      </c>
      <c r="P32" s="54">
        <v>4</v>
      </c>
      <c r="Q32" s="88"/>
      <c r="R32" s="53"/>
      <c r="S32" s="57"/>
      <c r="T32" s="60"/>
      <c r="U32" s="61"/>
      <c r="V32" s="56">
        <v>460</v>
      </c>
      <c r="W32" s="54">
        <v>1</v>
      </c>
      <c r="X32" s="54" t="s">
        <v>143</v>
      </c>
      <c r="Y32" s="73"/>
      <c r="Z32" s="54"/>
      <c r="AA32" s="55"/>
      <c r="AB32" s="56"/>
      <c r="AC32" s="54"/>
      <c r="AD32" s="6">
        <f>B32+F32-G32-I32-V32-AC32-AE32</f>
        <v>3600</v>
      </c>
      <c r="AE32" s="49">
        <v>212</v>
      </c>
      <c r="AF32" s="5" t="s">
        <v>15</v>
      </c>
    </row>
    <row r="33" spans="1:32" ht="15.75" thickBot="1">
      <c r="A33" s="11">
        <v>43857</v>
      </c>
      <c r="B33" s="2">
        <f t="shared" si="0"/>
        <v>212</v>
      </c>
      <c r="C33" s="3">
        <v>19444</v>
      </c>
      <c r="D33" s="4">
        <v>16980</v>
      </c>
      <c r="E33" s="124"/>
      <c r="F33" s="10">
        <f t="shared" si="1"/>
        <v>2464</v>
      </c>
      <c r="G33" s="3"/>
      <c r="H33" s="4"/>
      <c r="I33" s="52"/>
      <c r="J33" s="53"/>
      <c r="K33" s="54"/>
      <c r="L33" s="73">
        <v>325</v>
      </c>
      <c r="M33" s="53">
        <v>1</v>
      </c>
      <c r="N33" s="1" t="s">
        <v>121</v>
      </c>
      <c r="O33" s="73"/>
      <c r="P33" s="53"/>
      <c r="Q33" s="88">
        <v>640</v>
      </c>
      <c r="R33" s="53">
        <v>8</v>
      </c>
      <c r="S33" s="57"/>
      <c r="T33" s="60"/>
      <c r="U33" s="61"/>
      <c r="V33" s="56">
        <v>1350</v>
      </c>
      <c r="W33" s="54">
        <v>4</v>
      </c>
      <c r="X33" s="54" t="s">
        <v>144</v>
      </c>
      <c r="Y33" s="73">
        <v>760</v>
      </c>
      <c r="Z33" s="54">
        <v>2</v>
      </c>
      <c r="AA33" s="55" t="s">
        <v>125</v>
      </c>
      <c r="AB33" s="56"/>
      <c r="AC33" s="54"/>
      <c r="AD33" s="6">
        <f t="shared" si="2"/>
        <v>1100</v>
      </c>
      <c r="AE33" s="49">
        <v>226</v>
      </c>
      <c r="AF33" s="5" t="s">
        <v>15</v>
      </c>
    </row>
    <row r="34" spans="1:32" ht="15.75" thickBot="1">
      <c r="A34" s="11">
        <v>43858</v>
      </c>
      <c r="B34" s="2">
        <f t="shared" si="0"/>
        <v>226</v>
      </c>
      <c r="C34" s="3">
        <v>8340</v>
      </c>
      <c r="D34" s="4">
        <v>7320</v>
      </c>
      <c r="E34" s="124"/>
      <c r="F34" s="10">
        <f t="shared" si="1"/>
        <v>1020</v>
      </c>
      <c r="G34" s="65"/>
      <c r="H34" s="66"/>
      <c r="I34" s="65">
        <v>300</v>
      </c>
      <c r="J34" s="66">
        <v>1</v>
      </c>
      <c r="K34" s="67" t="s">
        <v>117</v>
      </c>
      <c r="L34" s="73"/>
      <c r="M34" s="66"/>
      <c r="N34" s="66"/>
      <c r="O34" s="73">
        <v>320</v>
      </c>
      <c r="P34" s="67">
        <v>4</v>
      </c>
      <c r="Q34" s="65"/>
      <c r="R34" s="66"/>
      <c r="S34" s="68"/>
      <c r="T34" s="69">
        <v>240</v>
      </c>
      <c r="U34" s="70">
        <v>3</v>
      </c>
      <c r="V34" s="71">
        <v>300</v>
      </c>
      <c r="W34" s="67">
        <v>1</v>
      </c>
      <c r="X34" s="67" t="s">
        <v>146</v>
      </c>
      <c r="Y34" s="73"/>
      <c r="Z34" s="67"/>
      <c r="AA34" s="72"/>
      <c r="AB34" s="71"/>
      <c r="AC34" s="67"/>
      <c r="AD34" s="6">
        <f t="shared" si="2"/>
        <v>300</v>
      </c>
      <c r="AE34" s="49">
        <v>346</v>
      </c>
      <c r="AF34" s="5" t="s">
        <v>91</v>
      </c>
    </row>
    <row r="35" spans="1:32" ht="15.75" thickBot="1">
      <c r="A35" s="11">
        <v>43859</v>
      </c>
      <c r="B35" s="2">
        <f t="shared" si="0"/>
        <v>346</v>
      </c>
      <c r="C35" s="3">
        <v>10320</v>
      </c>
      <c r="D35" s="4">
        <v>8630</v>
      </c>
      <c r="E35" s="124"/>
      <c r="F35" s="10">
        <f t="shared" si="1"/>
        <v>1690</v>
      </c>
      <c r="G35" s="65"/>
      <c r="H35" s="66"/>
      <c r="I35" s="65"/>
      <c r="J35" s="66"/>
      <c r="K35" s="67"/>
      <c r="L35" s="73"/>
      <c r="M35" s="66"/>
      <c r="N35" s="66"/>
      <c r="O35" s="73"/>
      <c r="P35" s="67"/>
      <c r="Q35" s="65"/>
      <c r="R35" s="66"/>
      <c r="S35" s="68"/>
      <c r="T35" s="69"/>
      <c r="U35" s="70"/>
      <c r="V35" s="71">
        <f>460</f>
        <v>460</v>
      </c>
      <c r="W35" s="67">
        <v>1</v>
      </c>
      <c r="X35" s="67" t="s">
        <v>143</v>
      </c>
      <c r="Y35" s="73">
        <v>760</v>
      </c>
      <c r="Z35" s="67">
        <v>2</v>
      </c>
      <c r="AA35" s="72" t="s">
        <v>125</v>
      </c>
      <c r="AB35" s="71"/>
      <c r="AC35" s="67"/>
      <c r="AD35" s="6">
        <f t="shared" si="2"/>
        <v>1300</v>
      </c>
      <c r="AE35" s="49">
        <v>276</v>
      </c>
      <c r="AF35" s="5" t="s">
        <v>91</v>
      </c>
    </row>
    <row r="36" spans="1:32" ht="15.75" thickBot="1">
      <c r="A36" s="11">
        <v>43860</v>
      </c>
      <c r="B36" s="2">
        <f t="shared" si="0"/>
        <v>276</v>
      </c>
      <c r="C36" s="3">
        <v>12952</v>
      </c>
      <c r="D36" s="4">
        <f>9490+700</f>
        <v>10190</v>
      </c>
      <c r="E36" s="124"/>
      <c r="F36" s="10">
        <f t="shared" si="1"/>
        <v>2762</v>
      </c>
      <c r="G36" s="3">
        <v>400</v>
      </c>
      <c r="H36" s="4">
        <v>5</v>
      </c>
      <c r="I36" s="52">
        <v>600</v>
      </c>
      <c r="J36" s="53">
        <v>2</v>
      </c>
      <c r="K36" s="54" t="s">
        <v>145</v>
      </c>
      <c r="L36" s="73"/>
      <c r="M36" s="53"/>
      <c r="N36" s="53"/>
      <c r="O36" s="73">
        <v>400</v>
      </c>
      <c r="P36" s="54">
        <v>5</v>
      </c>
      <c r="Q36" s="52"/>
      <c r="R36" s="53"/>
      <c r="S36" s="57"/>
      <c r="T36" s="60">
        <v>240</v>
      </c>
      <c r="U36" s="61">
        <v>3</v>
      </c>
      <c r="V36" s="56">
        <v>350</v>
      </c>
      <c r="W36" s="54">
        <v>1</v>
      </c>
      <c r="X36" s="54"/>
      <c r="Y36" s="73">
        <v>325</v>
      </c>
      <c r="Z36" s="54">
        <v>1</v>
      </c>
      <c r="AA36" s="55" t="s">
        <v>130</v>
      </c>
      <c r="AB36" s="56"/>
      <c r="AC36" s="54"/>
      <c r="AD36" s="6">
        <f>B36+F36-G36-I36-V36-AC36-AE36</f>
        <v>1600</v>
      </c>
      <c r="AE36" s="49">
        <v>88</v>
      </c>
      <c r="AF36" s="5" t="s">
        <v>15</v>
      </c>
    </row>
    <row r="37" spans="1:32" ht="15.75" thickBot="1">
      <c r="A37" s="11">
        <v>43861</v>
      </c>
      <c r="B37" s="2">
        <f t="shared" si="0"/>
        <v>88</v>
      </c>
      <c r="C37" s="3">
        <v>6210</v>
      </c>
      <c r="D37" s="4">
        <v>2770</v>
      </c>
      <c r="E37" s="124"/>
      <c r="F37" s="10">
        <f t="shared" si="1"/>
        <v>3440</v>
      </c>
      <c r="G37" s="3"/>
      <c r="H37" s="4"/>
      <c r="I37" s="52"/>
      <c r="J37" s="53"/>
      <c r="K37" s="54"/>
      <c r="L37" s="73">
        <f>325+325</f>
        <v>650</v>
      </c>
      <c r="M37" s="53">
        <v>2</v>
      </c>
      <c r="N37" s="53" t="s">
        <v>148</v>
      </c>
      <c r="O37" s="52"/>
      <c r="P37" s="54"/>
      <c r="Q37" s="52"/>
      <c r="R37" s="53"/>
      <c r="S37" s="57"/>
      <c r="T37" s="60"/>
      <c r="U37" s="61"/>
      <c r="V37" s="56">
        <f>300+400+300+325</f>
        <v>1325</v>
      </c>
      <c r="W37" s="54">
        <v>4</v>
      </c>
      <c r="X37" s="54" t="s">
        <v>149</v>
      </c>
      <c r="Y37" s="73">
        <v>300</v>
      </c>
      <c r="Z37" s="54">
        <v>1</v>
      </c>
      <c r="AA37" s="55" t="s">
        <v>99</v>
      </c>
      <c r="AB37" s="56" t="s">
        <v>127</v>
      </c>
      <c r="AC37" s="54">
        <v>150</v>
      </c>
      <c r="AD37" s="6">
        <f t="shared" si="2"/>
        <v>1900</v>
      </c>
      <c r="AE37" s="49">
        <v>153</v>
      </c>
      <c r="AF37" s="5" t="s">
        <v>15</v>
      </c>
    </row>
    <row r="38" spans="1:32" ht="15.75" thickBot="1">
      <c r="A38" s="11">
        <v>43862</v>
      </c>
      <c r="B38" s="2">
        <f t="shared" si="0"/>
        <v>153</v>
      </c>
      <c r="C38" s="3">
        <v>6000</v>
      </c>
      <c r="D38" s="4">
        <v>4860</v>
      </c>
      <c r="E38" s="124"/>
      <c r="F38" s="10">
        <f t="shared" si="1"/>
        <v>1140</v>
      </c>
      <c r="G38" s="3"/>
      <c r="H38" s="4"/>
      <c r="I38" s="52"/>
      <c r="J38" s="53"/>
      <c r="K38" s="54"/>
      <c r="L38" s="88"/>
      <c r="M38" s="53"/>
      <c r="N38" s="53"/>
      <c r="O38" s="52"/>
      <c r="P38" s="54"/>
      <c r="Q38" s="52"/>
      <c r="R38" s="53"/>
      <c r="S38" s="57"/>
      <c r="T38" s="60"/>
      <c r="U38" s="61"/>
      <c r="V38" s="56"/>
      <c r="W38" s="54"/>
      <c r="X38" s="54"/>
      <c r="Y38" s="88"/>
      <c r="Z38" s="54"/>
      <c r="AA38" s="55"/>
      <c r="AB38" s="56"/>
      <c r="AC38" s="54"/>
      <c r="AD38" s="6">
        <f t="shared" si="2"/>
        <v>1150</v>
      </c>
      <c r="AE38" s="49">
        <v>143</v>
      </c>
      <c r="AF38" s="5" t="s">
        <v>16</v>
      </c>
    </row>
    <row r="39" spans="1:32" ht="15.75" thickBot="1">
      <c r="A39" s="11">
        <v>43863</v>
      </c>
      <c r="B39" s="2">
        <f t="shared" si="0"/>
        <v>143</v>
      </c>
      <c r="C39" s="3">
        <v>6850</v>
      </c>
      <c r="D39" s="4">
        <v>3750</v>
      </c>
      <c r="E39" s="124"/>
      <c r="F39" s="10">
        <f t="shared" si="1"/>
        <v>3100</v>
      </c>
      <c r="G39" s="3"/>
      <c r="H39" s="4"/>
      <c r="I39" s="52"/>
      <c r="J39" s="53"/>
      <c r="K39" s="54"/>
      <c r="L39" s="88"/>
      <c r="M39" s="53"/>
      <c r="N39" s="53"/>
      <c r="O39" s="52">
        <v>240</v>
      </c>
      <c r="P39" s="54">
        <v>3</v>
      </c>
      <c r="Q39" s="52"/>
      <c r="R39" s="53"/>
      <c r="S39" s="57"/>
      <c r="T39" s="60"/>
      <c r="U39" s="61"/>
      <c r="V39" s="56">
        <f>460</f>
        <v>460</v>
      </c>
      <c r="W39" s="54">
        <v>1</v>
      </c>
      <c r="X39" s="54" t="s">
        <v>143</v>
      </c>
      <c r="Y39" s="88"/>
      <c r="Z39" s="54"/>
      <c r="AA39" s="55"/>
      <c r="AB39" s="56"/>
      <c r="AC39" s="54"/>
      <c r="AD39" s="6">
        <f t="shared" si="2"/>
        <v>2700</v>
      </c>
      <c r="AE39" s="49">
        <v>83</v>
      </c>
      <c r="AF39" s="5" t="s">
        <v>91</v>
      </c>
    </row>
    <row r="40" spans="1:32" ht="15.75" thickBot="1">
      <c r="A40" s="11">
        <v>43864</v>
      </c>
      <c r="B40" s="2">
        <v>73</v>
      </c>
      <c r="C40" s="3">
        <v>8350</v>
      </c>
      <c r="D40" s="4">
        <v>7070</v>
      </c>
      <c r="E40" s="124"/>
      <c r="F40" s="10">
        <f t="shared" si="1"/>
        <v>1280</v>
      </c>
      <c r="G40" s="3"/>
      <c r="H40" s="4"/>
      <c r="I40" s="52"/>
      <c r="J40" s="53"/>
      <c r="K40" s="54"/>
      <c r="L40" s="88"/>
      <c r="M40" s="53"/>
      <c r="N40" s="53"/>
      <c r="O40" s="52">
        <v>720</v>
      </c>
      <c r="P40" s="54">
        <v>9</v>
      </c>
      <c r="Q40" s="52"/>
      <c r="R40" s="53"/>
      <c r="S40" s="57"/>
      <c r="T40" s="60"/>
      <c r="U40" s="61"/>
      <c r="V40" s="56">
        <f>300+325+350+325</f>
        <v>1300</v>
      </c>
      <c r="W40" s="54">
        <v>4</v>
      </c>
      <c r="X40" s="54" t="s">
        <v>154</v>
      </c>
      <c r="Y40" s="88">
        <f>300+460</f>
        <v>760</v>
      </c>
      <c r="Z40" s="54">
        <v>1</v>
      </c>
      <c r="AA40" s="55" t="s">
        <v>99</v>
      </c>
      <c r="AB40" s="56"/>
      <c r="AC40" s="54"/>
      <c r="AD40" s="6">
        <f>B40+F40-G40-I40-V40-AC40-AE40</f>
        <v>0</v>
      </c>
      <c r="AE40" s="49">
        <v>53</v>
      </c>
      <c r="AF40" s="5" t="s">
        <v>15</v>
      </c>
    </row>
    <row r="41" spans="1:32" ht="15.75" thickBot="1">
      <c r="A41" s="11">
        <v>43865</v>
      </c>
      <c r="B41" s="2">
        <f t="shared" si="0"/>
        <v>53</v>
      </c>
      <c r="C41" s="3">
        <v>5700</v>
      </c>
      <c r="D41" s="4">
        <v>1960</v>
      </c>
      <c r="E41" s="124"/>
      <c r="F41" s="10">
        <f t="shared" si="1"/>
        <v>3740</v>
      </c>
      <c r="G41" s="3">
        <v>600</v>
      </c>
      <c r="H41" s="4">
        <v>6</v>
      </c>
      <c r="I41" s="52">
        <v>300</v>
      </c>
      <c r="J41" s="53">
        <v>1</v>
      </c>
      <c r="K41" s="54" t="s">
        <v>156</v>
      </c>
      <c r="L41" s="88"/>
      <c r="M41" s="53"/>
      <c r="N41" s="53"/>
      <c r="O41" s="52">
        <v>400</v>
      </c>
      <c r="P41" s="54">
        <v>5</v>
      </c>
      <c r="Q41" s="52"/>
      <c r="R41" s="53"/>
      <c r="S41" s="57"/>
      <c r="T41" s="60">
        <v>400</v>
      </c>
      <c r="U41" s="61">
        <v>5</v>
      </c>
      <c r="V41" s="56">
        <v>700</v>
      </c>
      <c r="W41" s="54">
        <v>2</v>
      </c>
      <c r="X41" s="54" t="s">
        <v>157</v>
      </c>
      <c r="Y41" s="88"/>
      <c r="Z41" s="54"/>
      <c r="AA41" s="55"/>
      <c r="AB41" s="56" t="s">
        <v>155</v>
      </c>
      <c r="AC41" s="54">
        <v>660</v>
      </c>
      <c r="AD41" s="6">
        <f t="shared" si="2"/>
        <v>1500</v>
      </c>
      <c r="AE41" s="49">
        <v>33</v>
      </c>
      <c r="AF41" s="5" t="s">
        <v>91</v>
      </c>
    </row>
    <row r="42" spans="1:32" ht="15.75" thickBot="1">
      <c r="A42" s="11">
        <v>43866</v>
      </c>
      <c r="B42" s="2">
        <f t="shared" si="0"/>
        <v>33</v>
      </c>
      <c r="C42" s="3">
        <v>8440</v>
      </c>
      <c r="D42" s="4">
        <v>7890</v>
      </c>
      <c r="E42" s="124"/>
      <c r="F42" s="10">
        <f t="shared" si="1"/>
        <v>550</v>
      </c>
      <c r="G42" s="3"/>
      <c r="H42" s="4"/>
      <c r="I42" s="52"/>
      <c r="J42" s="53"/>
      <c r="K42" s="54"/>
      <c r="L42" s="88">
        <v>250</v>
      </c>
      <c r="M42" s="53">
        <v>1</v>
      </c>
      <c r="N42" s="53" t="s">
        <v>110</v>
      </c>
      <c r="O42" s="52">
        <v>320</v>
      </c>
      <c r="P42" s="54">
        <v>4</v>
      </c>
      <c r="Q42" s="52"/>
      <c r="R42" s="53"/>
      <c r="S42" s="57"/>
      <c r="T42" s="60"/>
      <c r="U42" s="61"/>
      <c r="V42" s="56">
        <v>460</v>
      </c>
      <c r="W42" s="54">
        <v>1</v>
      </c>
      <c r="X42" s="54" t="s">
        <v>143</v>
      </c>
      <c r="Y42" s="88">
        <v>525</v>
      </c>
      <c r="Z42" s="54">
        <v>1</v>
      </c>
      <c r="AA42" s="55" t="s">
        <v>119</v>
      </c>
      <c r="AB42" s="56"/>
      <c r="AC42" s="54"/>
      <c r="AD42" s="6">
        <f t="shared" si="2"/>
        <v>0</v>
      </c>
      <c r="AE42" s="49">
        <v>123</v>
      </c>
      <c r="AF42" s="5" t="s">
        <v>91</v>
      </c>
    </row>
    <row r="43" spans="1:32" ht="15.75" thickBot="1">
      <c r="A43" s="11">
        <v>43867</v>
      </c>
      <c r="B43" s="2">
        <v>114</v>
      </c>
      <c r="C43" s="3">
        <v>6010</v>
      </c>
      <c r="D43" s="4">
        <v>5010</v>
      </c>
      <c r="E43" s="124"/>
      <c r="F43" s="10">
        <f t="shared" si="1"/>
        <v>1000</v>
      </c>
      <c r="G43" s="3">
        <v>320</v>
      </c>
      <c r="H43" s="4">
        <v>4</v>
      </c>
      <c r="I43" s="52">
        <v>600</v>
      </c>
      <c r="J43" s="53">
        <v>2</v>
      </c>
      <c r="K43" s="54" t="s">
        <v>145</v>
      </c>
      <c r="L43" s="88"/>
      <c r="M43" s="53"/>
      <c r="N43" s="53"/>
      <c r="O43" s="52">
        <v>240</v>
      </c>
      <c r="P43" s="54">
        <v>3</v>
      </c>
      <c r="Q43" s="52"/>
      <c r="R43" s="53"/>
      <c r="S43" s="57"/>
      <c r="T43" s="60">
        <v>320</v>
      </c>
      <c r="U43" s="61">
        <v>4</v>
      </c>
      <c r="V43" s="56"/>
      <c r="W43" s="54"/>
      <c r="X43" s="54"/>
      <c r="Y43" s="88"/>
      <c r="Z43" s="54"/>
      <c r="AA43" s="55"/>
      <c r="AB43" s="56"/>
      <c r="AC43" s="54"/>
      <c r="AD43" s="6">
        <f>B43+F43-G43-I43-V43-AC43-AE43</f>
        <v>0</v>
      </c>
      <c r="AE43" s="49">
        <v>194</v>
      </c>
      <c r="AF43" s="5" t="s">
        <v>15</v>
      </c>
    </row>
    <row r="44" spans="1:32" ht="15.75" thickBot="1">
      <c r="A44" s="11">
        <v>43868</v>
      </c>
      <c r="B44" s="2">
        <f t="shared" si="0"/>
        <v>194</v>
      </c>
      <c r="C44" s="3">
        <v>23850</v>
      </c>
      <c r="D44" s="4">
        <v>14850</v>
      </c>
      <c r="E44" s="124"/>
      <c r="F44" s="10">
        <f t="shared" si="1"/>
        <v>9000</v>
      </c>
      <c r="G44" s="3"/>
      <c r="H44" s="4"/>
      <c r="I44" s="52"/>
      <c r="J44" s="53"/>
      <c r="K44" s="54"/>
      <c r="L44" s="88"/>
      <c r="M44" s="53"/>
      <c r="N44" s="53"/>
      <c r="O44" s="52"/>
      <c r="P44" s="54"/>
      <c r="Q44" s="52"/>
      <c r="R44" s="53"/>
      <c r="S44" s="57"/>
      <c r="T44" s="60"/>
      <c r="U44" s="61"/>
      <c r="V44" s="56">
        <f>300+400+315</f>
        <v>1015</v>
      </c>
      <c r="W44" s="54">
        <v>3</v>
      </c>
      <c r="X44" s="54" t="s">
        <v>175</v>
      </c>
      <c r="Y44" s="88">
        <v>525</v>
      </c>
      <c r="Z44" s="54">
        <v>1</v>
      </c>
      <c r="AA44" s="55" t="s">
        <v>119</v>
      </c>
      <c r="AB44" s="56" t="s">
        <v>127</v>
      </c>
      <c r="AC44" s="54">
        <v>150</v>
      </c>
      <c r="AD44" s="6">
        <f>B44+F44-G44-I44-V44-AC44-AE44</f>
        <v>8000</v>
      </c>
      <c r="AE44" s="49">
        <v>29</v>
      </c>
      <c r="AF44" s="5" t="s">
        <v>15</v>
      </c>
    </row>
    <row r="45" spans="1:32" ht="15.75" thickBot="1">
      <c r="A45" s="11">
        <v>43869</v>
      </c>
      <c r="B45" s="2">
        <v>0</v>
      </c>
      <c r="C45" s="3">
        <v>7840</v>
      </c>
      <c r="D45" s="4">
        <v>6660</v>
      </c>
      <c r="E45" s="124"/>
      <c r="F45" s="10">
        <f t="shared" si="1"/>
        <v>1180</v>
      </c>
      <c r="G45" s="3"/>
      <c r="H45" s="4"/>
      <c r="I45" s="52"/>
      <c r="J45" s="53"/>
      <c r="K45" s="54"/>
      <c r="L45" s="88"/>
      <c r="M45" s="53"/>
      <c r="N45" s="53"/>
      <c r="O45" s="52"/>
      <c r="P45" s="54"/>
      <c r="Q45" s="52"/>
      <c r="R45" s="53"/>
      <c r="S45" s="57"/>
      <c r="T45" s="60"/>
      <c r="U45" s="61"/>
      <c r="V45" s="56">
        <v>350</v>
      </c>
      <c r="W45" s="54">
        <v>1</v>
      </c>
      <c r="X45" s="54" t="s">
        <v>176</v>
      </c>
      <c r="Y45" s="88"/>
      <c r="Z45" s="54"/>
      <c r="AA45" s="55"/>
      <c r="AB45" s="56"/>
      <c r="AC45" s="54"/>
      <c r="AD45" s="6">
        <f t="shared" si="2"/>
        <v>710</v>
      </c>
      <c r="AE45" s="49">
        <v>120</v>
      </c>
      <c r="AF45" s="5" t="s">
        <v>15</v>
      </c>
    </row>
    <row r="46" spans="1:32" ht="15.75" thickBot="1">
      <c r="A46" s="11">
        <v>43870</v>
      </c>
      <c r="B46" s="2">
        <f t="shared" si="0"/>
        <v>120</v>
      </c>
      <c r="C46" s="3">
        <v>6980</v>
      </c>
      <c r="D46" s="4">
        <v>5720</v>
      </c>
      <c r="E46" s="124"/>
      <c r="F46" s="10">
        <f t="shared" si="1"/>
        <v>1260</v>
      </c>
      <c r="G46" s="3"/>
      <c r="H46" s="4"/>
      <c r="I46" s="52"/>
      <c r="J46" s="53"/>
      <c r="K46" s="54"/>
      <c r="L46" s="88"/>
      <c r="M46" s="53"/>
      <c r="N46" s="53"/>
      <c r="O46" s="52">
        <v>160</v>
      </c>
      <c r="P46" s="54">
        <v>2</v>
      </c>
      <c r="Q46" s="52"/>
      <c r="R46" s="53"/>
      <c r="S46" s="57"/>
      <c r="T46" s="60"/>
      <c r="U46" s="61"/>
      <c r="V46" s="56">
        <v>800</v>
      </c>
      <c r="W46" s="54">
        <v>2</v>
      </c>
      <c r="X46" s="54" t="s">
        <v>177</v>
      </c>
      <c r="Y46" s="88"/>
      <c r="Z46" s="54"/>
      <c r="AA46" s="55"/>
      <c r="AB46" s="56"/>
      <c r="AC46" s="54"/>
      <c r="AD46" s="6">
        <f t="shared" si="2"/>
        <v>580</v>
      </c>
      <c r="AE46" s="49">
        <v>0</v>
      </c>
      <c r="AF46" s="5" t="s">
        <v>91</v>
      </c>
    </row>
    <row r="47" spans="1:32" ht="15.75" thickBot="1">
      <c r="A47" s="11">
        <v>43871</v>
      </c>
      <c r="B47" s="2">
        <f t="shared" si="0"/>
        <v>0</v>
      </c>
      <c r="C47" s="3">
        <v>7620</v>
      </c>
      <c r="D47" s="4">
        <v>2440</v>
      </c>
      <c r="E47" s="124"/>
      <c r="F47" s="10">
        <f t="shared" si="1"/>
        <v>5180</v>
      </c>
      <c r="G47" s="3"/>
      <c r="H47" s="4"/>
      <c r="I47" s="52"/>
      <c r="J47" s="53"/>
      <c r="K47" s="54"/>
      <c r="L47" s="88">
        <f>250+400</f>
        <v>650</v>
      </c>
      <c r="M47" s="53">
        <v>1</v>
      </c>
      <c r="N47" s="53" t="s">
        <v>187</v>
      </c>
      <c r="O47" s="52"/>
      <c r="P47" s="54"/>
      <c r="Q47" s="52"/>
      <c r="R47" s="53"/>
      <c r="S47" s="57"/>
      <c r="T47" s="60"/>
      <c r="U47" s="61"/>
      <c r="V47" s="56">
        <f>300+315</f>
        <v>615</v>
      </c>
      <c r="W47" s="54">
        <v>2</v>
      </c>
      <c r="X47" s="54" t="s">
        <v>139</v>
      </c>
      <c r="Y47" s="88"/>
      <c r="Z47" s="54"/>
      <c r="AA47" s="55"/>
      <c r="AB47" s="56"/>
      <c r="AC47" s="54"/>
      <c r="AD47" s="6">
        <f t="shared" si="2"/>
        <v>4400</v>
      </c>
      <c r="AE47" s="49">
        <v>165</v>
      </c>
      <c r="AF47" s="5" t="s">
        <v>15</v>
      </c>
    </row>
    <row r="48" spans="1:32" ht="15.75" thickBot="1">
      <c r="A48" s="11">
        <v>43872</v>
      </c>
      <c r="B48" s="2">
        <f t="shared" si="0"/>
        <v>165</v>
      </c>
      <c r="C48" s="3">
        <v>22300</v>
      </c>
      <c r="D48" s="4">
        <v>17490</v>
      </c>
      <c r="E48" s="124"/>
      <c r="F48" s="10">
        <f t="shared" si="1"/>
        <v>4810</v>
      </c>
      <c r="G48" s="3">
        <v>360</v>
      </c>
      <c r="H48" s="4">
        <v>5</v>
      </c>
      <c r="I48" s="52">
        <v>300</v>
      </c>
      <c r="J48" s="53">
        <v>1</v>
      </c>
      <c r="K48" s="54" t="s">
        <v>117</v>
      </c>
      <c r="L48" s="88"/>
      <c r="M48" s="53"/>
      <c r="N48" s="53"/>
      <c r="O48" s="52">
        <v>400</v>
      </c>
      <c r="P48" s="54">
        <v>5</v>
      </c>
      <c r="Q48" s="52"/>
      <c r="R48" s="53"/>
      <c r="S48" s="57"/>
      <c r="T48" s="60">
        <v>320</v>
      </c>
      <c r="U48" s="61">
        <v>4</v>
      </c>
      <c r="V48" s="56">
        <v>400</v>
      </c>
      <c r="W48" s="54">
        <v>1</v>
      </c>
      <c r="X48" s="54" t="s">
        <v>178</v>
      </c>
      <c r="Y48" s="88"/>
      <c r="Z48" s="54"/>
      <c r="AA48" s="55"/>
      <c r="AB48" s="56"/>
      <c r="AC48" s="54"/>
      <c r="AD48" s="6">
        <f t="shared" si="2"/>
        <v>3800</v>
      </c>
      <c r="AE48" s="49">
        <v>115</v>
      </c>
      <c r="AF48" s="5" t="s">
        <v>91</v>
      </c>
    </row>
    <row r="49" spans="1:32" ht="15.75" thickBot="1">
      <c r="A49" s="11">
        <v>43873</v>
      </c>
      <c r="B49" s="2">
        <f t="shared" si="0"/>
        <v>115</v>
      </c>
      <c r="C49" s="3">
        <v>13940</v>
      </c>
      <c r="D49" s="4">
        <v>8760</v>
      </c>
      <c r="E49" s="124"/>
      <c r="F49" s="10">
        <f t="shared" si="1"/>
        <v>5180</v>
      </c>
      <c r="G49" s="3"/>
      <c r="H49" s="4"/>
      <c r="I49" s="52"/>
      <c r="J49" s="53"/>
      <c r="K49" s="54"/>
      <c r="L49" s="88"/>
      <c r="M49" s="53"/>
      <c r="N49" s="53"/>
      <c r="O49" s="52"/>
      <c r="P49" s="54"/>
      <c r="Q49" s="52">
        <v>240</v>
      </c>
      <c r="R49" s="53">
        <v>3</v>
      </c>
      <c r="S49" s="57"/>
      <c r="T49" s="60"/>
      <c r="U49" s="61"/>
      <c r="V49" s="56">
        <v>1305</v>
      </c>
      <c r="W49" s="54">
        <v>3</v>
      </c>
      <c r="X49" s="54" t="s">
        <v>179</v>
      </c>
      <c r="Y49" s="88"/>
      <c r="Z49" s="54"/>
      <c r="AA49" s="55"/>
      <c r="AB49" s="56"/>
      <c r="AC49" s="54"/>
      <c r="AD49" s="6">
        <f t="shared" si="2"/>
        <v>4000</v>
      </c>
      <c r="AE49" s="49">
        <v>-10</v>
      </c>
      <c r="AF49" s="5" t="s">
        <v>91</v>
      </c>
    </row>
    <row r="50" spans="1:32" ht="15.75" thickBot="1">
      <c r="A50" s="11">
        <v>43874</v>
      </c>
      <c r="B50" s="2">
        <f t="shared" si="0"/>
        <v>-10</v>
      </c>
      <c r="C50" s="3">
        <v>2870</v>
      </c>
      <c r="D50" s="4">
        <v>1760</v>
      </c>
      <c r="E50" s="124"/>
      <c r="F50" s="10">
        <f t="shared" si="1"/>
        <v>1110</v>
      </c>
      <c r="G50" s="3">
        <v>400</v>
      </c>
      <c r="H50" s="4">
        <v>5</v>
      </c>
      <c r="I50" s="52">
        <v>600</v>
      </c>
      <c r="J50" s="53">
        <v>2</v>
      </c>
      <c r="K50" s="54" t="s">
        <v>145</v>
      </c>
      <c r="L50" s="88"/>
      <c r="M50" s="53"/>
      <c r="N50" s="53"/>
      <c r="O50" s="52">
        <v>80</v>
      </c>
      <c r="P50" s="54">
        <v>1</v>
      </c>
      <c r="Q50" s="52"/>
      <c r="R50" s="53"/>
      <c r="S50" s="57"/>
      <c r="T50" s="60">
        <v>160</v>
      </c>
      <c r="U50" s="61">
        <v>2</v>
      </c>
      <c r="V50" s="56"/>
      <c r="W50" s="54"/>
      <c r="X50" s="54"/>
      <c r="Y50" s="88"/>
      <c r="Z50" s="54"/>
      <c r="AA50" s="55"/>
      <c r="AB50" s="56"/>
      <c r="AC50" s="54"/>
      <c r="AD50" s="6">
        <f t="shared" si="2"/>
        <v>0</v>
      </c>
      <c r="AE50" s="49">
        <v>100</v>
      </c>
      <c r="AF50" s="5" t="s">
        <v>15</v>
      </c>
    </row>
    <row r="51" spans="1:32" ht="15.75" thickBot="1">
      <c r="A51" s="11">
        <v>43875</v>
      </c>
      <c r="B51" s="2">
        <f t="shared" si="0"/>
        <v>100</v>
      </c>
      <c r="C51" s="3">
        <v>19310</v>
      </c>
      <c r="D51" s="4">
        <v>17030</v>
      </c>
      <c r="E51" s="124"/>
      <c r="F51" s="10">
        <f t="shared" si="1"/>
        <v>2280</v>
      </c>
      <c r="G51" s="3"/>
      <c r="H51" s="4"/>
      <c r="I51" s="52"/>
      <c r="J51" s="53"/>
      <c r="K51" s="54"/>
      <c r="L51" s="88"/>
      <c r="M51" s="53"/>
      <c r="N51" s="53"/>
      <c r="O51" s="52"/>
      <c r="P51" s="54"/>
      <c r="Q51" s="52">
        <v>400</v>
      </c>
      <c r="R51" s="53">
        <v>5</v>
      </c>
      <c r="S51" s="57"/>
      <c r="T51" s="60"/>
      <c r="U51" s="61"/>
      <c r="V51" s="56">
        <v>1015</v>
      </c>
      <c r="W51" s="54">
        <v>3</v>
      </c>
      <c r="X51" s="54" t="s">
        <v>180</v>
      </c>
      <c r="Y51" s="88"/>
      <c r="Z51" s="54"/>
      <c r="AA51" s="55"/>
      <c r="AB51" s="56"/>
      <c r="AC51" s="54"/>
      <c r="AD51" s="6">
        <f>B51+F51-G51-I51-V51-AC51-AE51</f>
        <v>1350</v>
      </c>
      <c r="AE51" s="49">
        <v>15</v>
      </c>
      <c r="AF51" s="5" t="s">
        <v>91</v>
      </c>
    </row>
    <row r="52" spans="1:32" ht="15.75" thickBot="1">
      <c r="A52" s="11">
        <v>43876</v>
      </c>
      <c r="B52" s="2">
        <f t="shared" si="0"/>
        <v>15</v>
      </c>
      <c r="C52" s="3">
        <v>7800</v>
      </c>
      <c r="D52" s="4">
        <v>5500</v>
      </c>
      <c r="E52" s="124"/>
      <c r="F52" s="10">
        <f t="shared" si="1"/>
        <v>2300</v>
      </c>
      <c r="G52" s="3"/>
      <c r="H52" s="4"/>
      <c r="I52" s="52"/>
      <c r="J52" s="53"/>
      <c r="K52" s="54"/>
      <c r="L52" s="88"/>
      <c r="M52" s="53"/>
      <c r="N52" s="53"/>
      <c r="O52" s="52"/>
      <c r="P52" s="54"/>
      <c r="Q52" s="52"/>
      <c r="R52" s="53"/>
      <c r="S52" s="57"/>
      <c r="T52" s="60"/>
      <c r="U52" s="61"/>
      <c r="V52" s="56"/>
      <c r="W52" s="54"/>
      <c r="X52" s="54"/>
      <c r="Y52" s="88"/>
      <c r="Z52" s="54"/>
      <c r="AA52" s="55"/>
      <c r="AB52" s="56"/>
      <c r="AC52" s="54"/>
      <c r="AD52" s="6">
        <f>B52+F52-G52-I52-V52-AC52-AE52</f>
        <v>2200</v>
      </c>
      <c r="AE52" s="49">
        <v>115</v>
      </c>
      <c r="AF52" s="5" t="s">
        <v>15</v>
      </c>
    </row>
    <row r="53" spans="1:32" ht="15.75" thickBot="1">
      <c r="A53" s="11">
        <v>43877</v>
      </c>
      <c r="B53" s="2">
        <f t="shared" si="0"/>
        <v>115</v>
      </c>
      <c r="C53" s="3">
        <f>7390+2880</f>
        <v>10270</v>
      </c>
      <c r="D53" s="4">
        <f>6330+2880</f>
        <v>9210</v>
      </c>
      <c r="E53" s="124"/>
      <c r="F53" s="10">
        <f t="shared" si="1"/>
        <v>1060</v>
      </c>
      <c r="G53" s="3"/>
      <c r="H53" s="4"/>
      <c r="I53" s="52"/>
      <c r="J53" s="53"/>
      <c r="K53" s="54"/>
      <c r="L53" s="88"/>
      <c r="M53" s="53"/>
      <c r="N53" s="53"/>
      <c r="O53" s="52">
        <v>80</v>
      </c>
      <c r="P53" s="54">
        <v>1</v>
      </c>
      <c r="Q53" s="52"/>
      <c r="R53" s="53"/>
      <c r="S53" s="57"/>
      <c r="T53" s="60"/>
      <c r="U53" s="61"/>
      <c r="V53" s="56">
        <f>460+350</f>
        <v>810</v>
      </c>
      <c r="W53" s="54">
        <v>2</v>
      </c>
      <c r="X53" s="54" t="s">
        <v>181</v>
      </c>
      <c r="Y53" s="88"/>
      <c r="Z53" s="54"/>
      <c r="AA53" s="55"/>
      <c r="AB53" s="56"/>
      <c r="AC53" s="54"/>
      <c r="AD53" s="6">
        <f t="shared" si="2"/>
        <v>300</v>
      </c>
      <c r="AE53" s="49">
        <v>65</v>
      </c>
      <c r="AF53" s="5" t="s">
        <v>15</v>
      </c>
    </row>
    <row r="54" spans="1:32" ht="15.75" thickBot="1">
      <c r="A54" s="11">
        <v>43878</v>
      </c>
      <c r="B54" s="2">
        <f t="shared" si="0"/>
        <v>65</v>
      </c>
      <c r="C54" s="3">
        <v>4920</v>
      </c>
      <c r="D54" s="4">
        <v>910</v>
      </c>
      <c r="E54" s="124"/>
      <c r="F54" s="10">
        <f t="shared" si="1"/>
        <v>4010</v>
      </c>
      <c r="G54" s="3"/>
      <c r="H54" s="4"/>
      <c r="I54" s="52"/>
      <c r="J54" s="53"/>
      <c r="K54" s="54"/>
      <c r="L54" s="88">
        <f>250+400</f>
        <v>650</v>
      </c>
      <c r="M54" s="53">
        <v>1</v>
      </c>
      <c r="N54" s="53" t="s">
        <v>187</v>
      </c>
      <c r="O54" s="52"/>
      <c r="P54" s="54"/>
      <c r="Q54" s="52"/>
      <c r="R54" s="53"/>
      <c r="S54" s="57"/>
      <c r="T54" s="60"/>
      <c r="U54" s="61"/>
      <c r="V54" s="56">
        <f>400+315</f>
        <v>715</v>
      </c>
      <c r="W54" s="54">
        <v>1</v>
      </c>
      <c r="X54" s="54" t="s">
        <v>182</v>
      </c>
      <c r="Y54" s="88">
        <f>300+525+325</f>
        <v>1150</v>
      </c>
      <c r="Z54" s="54">
        <v>1</v>
      </c>
      <c r="AA54" s="55" t="s">
        <v>183</v>
      </c>
      <c r="AB54" s="56"/>
      <c r="AC54" s="54"/>
      <c r="AD54" s="6">
        <f>B54+F54-G54-I54-V54-AC54-AE54</f>
        <v>3350</v>
      </c>
      <c r="AE54" s="49">
        <v>10</v>
      </c>
      <c r="AF54" s="5" t="s">
        <v>15</v>
      </c>
    </row>
    <row r="55" spans="1:32" ht="15.75" thickBot="1">
      <c r="A55" s="11">
        <v>43879</v>
      </c>
      <c r="B55" s="2">
        <f t="shared" si="0"/>
        <v>10</v>
      </c>
      <c r="C55" s="3">
        <v>6640</v>
      </c>
      <c r="D55" s="4">
        <v>5560</v>
      </c>
      <c r="E55" s="124"/>
      <c r="F55" s="10">
        <f t="shared" si="1"/>
        <v>1080</v>
      </c>
      <c r="G55" s="3">
        <v>560</v>
      </c>
      <c r="H55" s="4">
        <v>7</v>
      </c>
      <c r="I55" s="82">
        <f>400+300+300</f>
        <v>1000</v>
      </c>
      <c r="J55" s="53">
        <v>3</v>
      </c>
      <c r="K55" s="54" t="s">
        <v>184</v>
      </c>
      <c r="L55" s="88"/>
      <c r="M55" s="53"/>
      <c r="N55" s="53"/>
      <c r="O55" s="52">
        <v>420</v>
      </c>
      <c r="P55" s="54">
        <v>6</v>
      </c>
      <c r="Q55" s="52"/>
      <c r="R55" s="53"/>
      <c r="S55" s="57"/>
      <c r="T55" s="60"/>
      <c r="U55" s="61">
        <v>0</v>
      </c>
      <c r="V55" s="56">
        <f>460+400</f>
        <v>860</v>
      </c>
      <c r="W55" s="54"/>
      <c r="X55" s="54" t="s">
        <v>185</v>
      </c>
      <c r="Y55" s="88"/>
      <c r="Z55" s="54"/>
      <c r="AA55" s="55"/>
      <c r="AB55" s="56" t="s">
        <v>186</v>
      </c>
      <c r="AC55" s="54">
        <v>1700</v>
      </c>
      <c r="AD55" s="6">
        <f t="shared" si="2"/>
        <v>-3030</v>
      </c>
      <c r="AE55" s="49">
        <v>0</v>
      </c>
      <c r="AF55" s="5" t="s">
        <v>16</v>
      </c>
    </row>
    <row r="56" spans="1:32" ht="15.75" thickBot="1">
      <c r="A56" s="11">
        <v>43880</v>
      </c>
      <c r="B56" s="2">
        <f t="shared" si="0"/>
        <v>0</v>
      </c>
      <c r="C56" s="3">
        <v>16150</v>
      </c>
      <c r="D56" s="4">
        <v>13250</v>
      </c>
      <c r="E56" s="124"/>
      <c r="F56" s="10">
        <f t="shared" si="1"/>
        <v>2900</v>
      </c>
      <c r="G56" s="3"/>
      <c r="H56" s="4"/>
      <c r="I56" s="52"/>
      <c r="J56" s="53"/>
      <c r="K56" s="54"/>
      <c r="L56" s="88"/>
      <c r="M56" s="53"/>
      <c r="N56" s="53"/>
      <c r="O56" s="52"/>
      <c r="P56" s="54"/>
      <c r="Q56" s="52">
        <v>400</v>
      </c>
      <c r="R56" s="53">
        <v>5</v>
      </c>
      <c r="S56" s="57"/>
      <c r="T56" s="60"/>
      <c r="U56" s="61"/>
      <c r="V56" s="56">
        <v>350</v>
      </c>
      <c r="W56" s="54">
        <v>1</v>
      </c>
      <c r="X56" s="54" t="s">
        <v>112</v>
      </c>
      <c r="Y56" s="88">
        <v>325</v>
      </c>
      <c r="Z56" s="54">
        <v>1</v>
      </c>
      <c r="AA56" s="55" t="s">
        <v>130</v>
      </c>
      <c r="AB56" s="56" t="s">
        <v>127</v>
      </c>
      <c r="AC56" s="54">
        <v>150</v>
      </c>
      <c r="AD56" s="6">
        <f t="shared" si="2"/>
        <v>2400</v>
      </c>
      <c r="AE56" s="49">
        <v>0</v>
      </c>
      <c r="AF56" s="5" t="s">
        <v>15</v>
      </c>
    </row>
    <row r="57" spans="1:32" ht="15.75" thickBot="1">
      <c r="A57" s="11">
        <v>43881</v>
      </c>
      <c r="B57" s="2">
        <f t="shared" si="0"/>
        <v>0</v>
      </c>
      <c r="C57" s="3">
        <v>13975</v>
      </c>
      <c r="D57" s="4">
        <v>9510</v>
      </c>
      <c r="E57" s="124"/>
      <c r="F57" s="10">
        <f t="shared" si="1"/>
        <v>4465</v>
      </c>
      <c r="G57" s="3">
        <v>480</v>
      </c>
      <c r="H57" s="4">
        <v>6</v>
      </c>
      <c r="I57" s="52">
        <f>200+350+300+300-300</f>
        <v>850</v>
      </c>
      <c r="J57" s="53">
        <v>1</v>
      </c>
      <c r="K57" s="54" t="s">
        <v>189</v>
      </c>
      <c r="L57" s="88"/>
      <c r="M57" s="53"/>
      <c r="N57" s="53"/>
      <c r="O57" s="52">
        <v>400</v>
      </c>
      <c r="P57" s="54">
        <v>5</v>
      </c>
      <c r="Q57" s="52">
        <v>500</v>
      </c>
      <c r="R57" s="53">
        <v>1</v>
      </c>
      <c r="S57" s="57" t="s">
        <v>190</v>
      </c>
      <c r="T57" s="60">
        <v>80</v>
      </c>
      <c r="U57" s="61">
        <v>1</v>
      </c>
      <c r="V57" s="56">
        <f>325+400</f>
        <v>725</v>
      </c>
      <c r="W57" s="54">
        <v>2</v>
      </c>
      <c r="X57" s="54" t="s">
        <v>188</v>
      </c>
      <c r="Y57" s="88"/>
      <c r="Z57" s="54"/>
      <c r="AA57" s="55"/>
      <c r="AB57" s="56"/>
      <c r="AC57" s="54"/>
      <c r="AD57" s="6">
        <f t="shared" si="2"/>
        <v>2400</v>
      </c>
      <c r="AE57" s="49">
        <v>10</v>
      </c>
      <c r="AF57" s="5" t="s">
        <v>15</v>
      </c>
    </row>
    <row r="58" spans="1:32" ht="15.75" thickBot="1">
      <c r="A58" s="11">
        <v>43882</v>
      </c>
      <c r="B58" s="2">
        <f t="shared" si="0"/>
        <v>10</v>
      </c>
      <c r="C58" s="3">
        <v>6880</v>
      </c>
      <c r="D58" s="4">
        <v>1420</v>
      </c>
      <c r="E58" s="124"/>
      <c r="F58" s="10">
        <f t="shared" si="1"/>
        <v>5460</v>
      </c>
      <c r="G58" s="3"/>
      <c r="H58" s="4"/>
      <c r="I58" s="52"/>
      <c r="J58" s="53"/>
      <c r="K58" s="54"/>
      <c r="L58" s="88"/>
      <c r="M58" s="53"/>
      <c r="N58" s="53"/>
      <c r="O58" s="52"/>
      <c r="P58" s="54"/>
      <c r="Q58" s="52">
        <v>240</v>
      </c>
      <c r="R58" s="53">
        <v>3</v>
      </c>
      <c r="S58" s="57"/>
      <c r="T58" s="60"/>
      <c r="U58" s="61"/>
      <c r="V58" s="56">
        <v>1015</v>
      </c>
      <c r="W58" s="54">
        <v>3</v>
      </c>
      <c r="X58" s="54" t="s">
        <v>180</v>
      </c>
      <c r="Y58" s="88">
        <v>300</v>
      </c>
      <c r="Z58" s="54">
        <v>1</v>
      </c>
      <c r="AA58" s="55" t="s">
        <v>99</v>
      </c>
      <c r="AB58" s="56"/>
      <c r="AC58" s="54"/>
      <c r="AD58" s="6">
        <f t="shared" si="2"/>
        <v>4400</v>
      </c>
      <c r="AE58" s="49">
        <v>55</v>
      </c>
      <c r="AF58" s="5" t="s">
        <v>91</v>
      </c>
    </row>
    <row r="59" spans="1:32" ht="15.75" thickBot="1">
      <c r="A59" s="11">
        <v>43883</v>
      </c>
      <c r="B59" s="2">
        <v>4</v>
      </c>
      <c r="C59" s="3">
        <v>5860</v>
      </c>
      <c r="D59" s="4">
        <v>5010</v>
      </c>
      <c r="E59" s="124"/>
      <c r="F59" s="10">
        <f t="shared" si="1"/>
        <v>850</v>
      </c>
      <c r="G59" s="3"/>
      <c r="H59" s="4"/>
      <c r="I59" s="52"/>
      <c r="J59" s="53"/>
      <c r="K59" s="54"/>
      <c r="L59" s="88"/>
      <c r="M59" s="53"/>
      <c r="N59" s="53"/>
      <c r="O59" s="52"/>
      <c r="P59" s="54"/>
      <c r="Q59" s="52"/>
      <c r="R59" s="53"/>
      <c r="S59" s="57"/>
      <c r="T59" s="60"/>
      <c r="U59" s="61"/>
      <c r="V59" s="56"/>
      <c r="W59" s="54"/>
      <c r="X59" s="54"/>
      <c r="Y59" s="88"/>
      <c r="Z59" s="54"/>
      <c r="AA59" s="55"/>
      <c r="AB59" s="56"/>
      <c r="AC59" s="54"/>
      <c r="AD59" s="6">
        <v>700</v>
      </c>
      <c r="AE59" s="49">
        <v>154</v>
      </c>
      <c r="AF59" s="5" t="s">
        <v>15</v>
      </c>
    </row>
    <row r="60" spans="1:32" ht="15.75" thickBot="1">
      <c r="A60" s="11">
        <v>43884</v>
      </c>
      <c r="B60" s="2">
        <f t="shared" si="0"/>
        <v>154</v>
      </c>
      <c r="C60" s="3">
        <v>14490</v>
      </c>
      <c r="D60" s="4">
        <v>11250</v>
      </c>
      <c r="E60" s="124"/>
      <c r="F60" s="10">
        <f t="shared" si="1"/>
        <v>3240</v>
      </c>
      <c r="G60" s="3"/>
      <c r="H60" s="4"/>
      <c r="I60" s="52"/>
      <c r="J60" s="53"/>
      <c r="K60" s="54"/>
      <c r="L60" s="88"/>
      <c r="M60" s="53"/>
      <c r="N60" s="53"/>
      <c r="O60" s="52"/>
      <c r="P60" s="54"/>
      <c r="Q60" s="52">
        <v>350</v>
      </c>
      <c r="R60" s="53">
        <v>1</v>
      </c>
      <c r="S60" s="57" t="s">
        <v>194</v>
      </c>
      <c r="T60" s="60"/>
      <c r="U60" s="61"/>
      <c r="V60" s="56">
        <v>1185</v>
      </c>
      <c r="W60" s="54">
        <v>3</v>
      </c>
      <c r="X60" s="54" t="s">
        <v>192</v>
      </c>
      <c r="Y60" s="88"/>
      <c r="Z60" s="54"/>
      <c r="AA60" s="55"/>
      <c r="AB60" s="56" t="s">
        <v>191</v>
      </c>
      <c r="AC60" s="54">
        <v>53</v>
      </c>
      <c r="AD60" s="6">
        <f t="shared" si="2"/>
        <v>2000</v>
      </c>
      <c r="AE60" s="49">
        <v>156</v>
      </c>
      <c r="AF60" s="5" t="s">
        <v>91</v>
      </c>
    </row>
    <row r="61" spans="1:32" ht="15.75" thickBot="1">
      <c r="A61" s="11">
        <v>43885</v>
      </c>
      <c r="B61" s="2">
        <f t="shared" si="0"/>
        <v>156</v>
      </c>
      <c r="C61" s="3">
        <v>12620</v>
      </c>
      <c r="D61" s="4">
        <v>9140</v>
      </c>
      <c r="E61" s="124"/>
      <c r="F61" s="10">
        <f t="shared" si="1"/>
        <v>3480</v>
      </c>
      <c r="G61" s="3"/>
      <c r="H61" s="4"/>
      <c r="I61" s="52">
        <v>200</v>
      </c>
      <c r="J61" s="53">
        <v>1</v>
      </c>
      <c r="K61" s="54" t="s">
        <v>193</v>
      </c>
      <c r="L61" s="88"/>
      <c r="M61" s="53"/>
      <c r="N61" s="53"/>
      <c r="O61" s="52"/>
      <c r="P61" s="54"/>
      <c r="Q61" s="52">
        <v>640</v>
      </c>
      <c r="R61" s="53">
        <v>8</v>
      </c>
      <c r="S61" s="57"/>
      <c r="T61" s="60"/>
      <c r="U61" s="61"/>
      <c r="V61" s="56">
        <v>715</v>
      </c>
      <c r="W61" s="54">
        <v>2</v>
      </c>
      <c r="X61" s="54" t="s">
        <v>196</v>
      </c>
      <c r="Y61" s="88">
        <v>625</v>
      </c>
      <c r="Z61" s="54">
        <v>2</v>
      </c>
      <c r="AA61" s="55" t="s">
        <v>195</v>
      </c>
      <c r="AB61" s="56"/>
      <c r="AC61" s="54"/>
      <c r="AD61" s="6">
        <f t="shared" si="2"/>
        <v>2660</v>
      </c>
      <c r="AE61" s="49">
        <v>61</v>
      </c>
      <c r="AF61" s="5" t="s">
        <v>91</v>
      </c>
    </row>
    <row r="62" spans="1:32" ht="15.75" thickBot="1">
      <c r="A62" s="11">
        <v>43886</v>
      </c>
      <c r="B62" s="2">
        <v>61</v>
      </c>
      <c r="C62" s="3">
        <v>19811</v>
      </c>
      <c r="D62" s="4">
        <v>8460</v>
      </c>
      <c r="E62" s="124"/>
      <c r="F62" s="10">
        <f t="shared" si="1"/>
        <v>11351</v>
      </c>
      <c r="G62" s="3">
        <v>400</v>
      </c>
      <c r="H62" s="4">
        <v>5</v>
      </c>
      <c r="I62" s="52"/>
      <c r="J62" s="53"/>
      <c r="K62" s="54"/>
      <c r="L62" s="88">
        <v>350</v>
      </c>
      <c r="M62" s="53">
        <v>1</v>
      </c>
      <c r="N62" s="53" t="s">
        <v>197</v>
      </c>
      <c r="O62" s="52">
        <v>240</v>
      </c>
      <c r="P62" s="54">
        <v>3</v>
      </c>
      <c r="Q62" s="52">
        <v>800</v>
      </c>
      <c r="R62" s="53">
        <v>2</v>
      </c>
      <c r="S62" s="57" t="s">
        <v>200</v>
      </c>
      <c r="T62" s="60">
        <v>320</v>
      </c>
      <c r="U62" s="61">
        <v>4</v>
      </c>
      <c r="V62" s="56">
        <f>400+290</f>
        <v>690</v>
      </c>
      <c r="W62" s="54">
        <v>1</v>
      </c>
      <c r="X62" s="54" t="s">
        <v>188</v>
      </c>
      <c r="Y62" s="88"/>
      <c r="Z62" s="54"/>
      <c r="AA62" s="55"/>
      <c r="AB62" s="56" t="s">
        <v>198</v>
      </c>
      <c r="AC62" s="54">
        <f>150+1100</f>
        <v>1250</v>
      </c>
      <c r="AD62" s="6">
        <f t="shared" si="2"/>
        <v>9000</v>
      </c>
      <c r="AE62" s="49">
        <v>72</v>
      </c>
      <c r="AF62" s="5" t="s">
        <v>15</v>
      </c>
    </row>
    <row r="63" spans="1:32" ht="15.75" thickBot="1">
      <c r="A63" s="11">
        <v>43887</v>
      </c>
      <c r="B63" s="2">
        <f t="shared" si="0"/>
        <v>72</v>
      </c>
      <c r="C63" s="3">
        <v>14140</v>
      </c>
      <c r="D63" s="4">
        <v>11720</v>
      </c>
      <c r="E63" s="124"/>
      <c r="F63" s="10">
        <f t="shared" si="1"/>
        <v>2420</v>
      </c>
      <c r="G63" s="3"/>
      <c r="H63" s="4"/>
      <c r="I63" s="52">
        <v>200</v>
      </c>
      <c r="J63" s="53">
        <v>1</v>
      </c>
      <c r="K63" s="54" t="s">
        <v>193</v>
      </c>
      <c r="L63" s="88"/>
      <c r="M63" s="53"/>
      <c r="N63" s="53"/>
      <c r="O63" s="52"/>
      <c r="P63" s="54"/>
      <c r="Q63" s="52">
        <v>960</v>
      </c>
      <c r="R63" s="53">
        <v>12</v>
      </c>
      <c r="S63" s="57"/>
      <c r="T63" s="60"/>
      <c r="U63" s="61"/>
      <c r="V63" s="56">
        <v>460</v>
      </c>
      <c r="W63" s="54">
        <v>1</v>
      </c>
      <c r="X63" s="54" t="s">
        <v>121</v>
      </c>
      <c r="Y63" s="88">
        <v>325</v>
      </c>
      <c r="Z63" s="54">
        <v>1</v>
      </c>
      <c r="AA63" s="55" t="s">
        <v>199</v>
      </c>
      <c r="AB63" s="56"/>
      <c r="AC63" s="54"/>
      <c r="AD63" s="6">
        <f t="shared" si="2"/>
        <v>1750</v>
      </c>
      <c r="AE63" s="49">
        <v>82</v>
      </c>
      <c r="AF63" s="5" t="s">
        <v>15</v>
      </c>
    </row>
    <row r="64" spans="1:32" ht="15.75" thickBot="1">
      <c r="A64" s="11">
        <v>43888</v>
      </c>
      <c r="B64" s="2">
        <f t="shared" si="0"/>
        <v>82</v>
      </c>
      <c r="C64" s="3">
        <v>18830</v>
      </c>
      <c r="D64" s="4">
        <v>14470</v>
      </c>
      <c r="E64" s="124"/>
      <c r="F64" s="10">
        <f t="shared" si="1"/>
        <v>4360</v>
      </c>
      <c r="G64" s="3">
        <v>400</v>
      </c>
      <c r="H64" s="4">
        <v>5</v>
      </c>
      <c r="I64" s="52">
        <f>350+300+290</f>
        <v>940</v>
      </c>
      <c r="J64" s="53">
        <v>3</v>
      </c>
      <c r="K64" s="54" t="s">
        <v>203</v>
      </c>
      <c r="L64" s="88"/>
      <c r="M64" s="53"/>
      <c r="N64" s="53"/>
      <c r="O64" s="52">
        <v>240</v>
      </c>
      <c r="P64" s="54">
        <v>3</v>
      </c>
      <c r="Q64" s="52"/>
      <c r="R64" s="53"/>
      <c r="S64" s="57"/>
      <c r="T64" s="60">
        <v>320</v>
      </c>
      <c r="U64" s="61">
        <v>4</v>
      </c>
      <c r="V64" s="56">
        <f>400+400</f>
        <v>800</v>
      </c>
      <c r="W64" s="54">
        <v>1</v>
      </c>
      <c r="X64" s="54" t="s">
        <v>202</v>
      </c>
      <c r="Y64" s="88"/>
      <c r="Z64" s="54"/>
      <c r="AA64" s="55"/>
      <c r="AB64" s="56"/>
      <c r="AC64" s="54"/>
      <c r="AD64" s="6">
        <f>B64+F64-G64-I64-V64-AC64-AE64</f>
        <v>2250</v>
      </c>
      <c r="AE64" s="49">
        <v>52</v>
      </c>
      <c r="AF64" s="5" t="s">
        <v>15</v>
      </c>
    </row>
    <row r="65" spans="1:32" ht="15.75" thickBot="1">
      <c r="A65" s="11">
        <v>43889</v>
      </c>
      <c r="B65" s="2">
        <f t="shared" si="0"/>
        <v>52</v>
      </c>
      <c r="C65" s="3">
        <v>37630</v>
      </c>
      <c r="D65" s="4">
        <v>27430</v>
      </c>
      <c r="E65" s="124"/>
      <c r="F65" s="10">
        <f t="shared" si="1"/>
        <v>10200</v>
      </c>
      <c r="G65" s="3"/>
      <c r="H65" s="4"/>
      <c r="I65" s="52"/>
      <c r="J65" s="53"/>
      <c r="K65" s="54"/>
      <c r="L65" s="88">
        <v>895</v>
      </c>
      <c r="M65" s="53">
        <v>3</v>
      </c>
      <c r="N65" s="53" t="s">
        <v>205</v>
      </c>
      <c r="O65" s="52"/>
      <c r="P65" s="54"/>
      <c r="Q65" s="52">
        <v>560</v>
      </c>
      <c r="R65" s="53">
        <v>7</v>
      </c>
      <c r="S65" s="57"/>
      <c r="T65" s="60"/>
      <c r="U65" s="61"/>
      <c r="V65" s="56">
        <v>715</v>
      </c>
      <c r="W65" s="54">
        <v>2</v>
      </c>
      <c r="X65" s="54" t="s">
        <v>204</v>
      </c>
      <c r="Y65" s="88">
        <f>525+300</f>
        <v>825</v>
      </c>
      <c r="Z65" s="54">
        <v>2</v>
      </c>
      <c r="AA65" s="55" t="s">
        <v>208</v>
      </c>
      <c r="AB65" s="56" t="s">
        <v>206</v>
      </c>
      <c r="AC65" s="54">
        <v>750</v>
      </c>
      <c r="AD65" s="6">
        <f t="shared" si="2"/>
        <v>8750</v>
      </c>
      <c r="AE65" s="49">
        <v>37</v>
      </c>
      <c r="AF65" s="5" t="s">
        <v>15</v>
      </c>
    </row>
    <row r="66" spans="1:32" ht="15.75" thickBot="1">
      <c r="A66" s="11">
        <v>43890</v>
      </c>
      <c r="B66" s="2">
        <f t="shared" si="0"/>
        <v>37</v>
      </c>
      <c r="C66" s="3">
        <v>4690</v>
      </c>
      <c r="D66" s="4">
        <v>3500</v>
      </c>
      <c r="E66" s="124"/>
      <c r="F66" s="10">
        <f t="shared" si="1"/>
        <v>1190</v>
      </c>
      <c r="G66" s="3"/>
      <c r="H66" s="4"/>
      <c r="I66" s="52"/>
      <c r="J66" s="53"/>
      <c r="K66" s="54"/>
      <c r="L66" s="88"/>
      <c r="M66" s="53"/>
      <c r="N66" s="53"/>
      <c r="O66" s="52"/>
      <c r="P66" s="54"/>
      <c r="Q66" s="52">
        <v>290</v>
      </c>
      <c r="R66" s="53">
        <v>1</v>
      </c>
      <c r="S66" s="57" t="s">
        <v>194</v>
      </c>
      <c r="T66" s="60"/>
      <c r="U66" s="61"/>
      <c r="V66" s="56">
        <v>400</v>
      </c>
      <c r="W66" s="54">
        <v>1</v>
      </c>
      <c r="X66" s="54" t="s">
        <v>178</v>
      </c>
      <c r="Y66" s="88"/>
      <c r="Z66" s="54"/>
      <c r="AA66" s="55"/>
      <c r="AB66" s="56"/>
      <c r="AC66" s="54"/>
      <c r="AD66" s="6">
        <f>B66+F66-G66-I66-V66-AC66-AE66</f>
        <v>600</v>
      </c>
      <c r="AE66" s="49">
        <v>227</v>
      </c>
      <c r="AF66" s="5" t="s">
        <v>15</v>
      </c>
    </row>
    <row r="67" spans="1:32" ht="15.75" thickBot="1">
      <c r="A67" s="11">
        <v>43891</v>
      </c>
      <c r="B67" s="2">
        <f t="shared" si="0"/>
        <v>227</v>
      </c>
      <c r="C67" s="3">
        <v>26034</v>
      </c>
      <c r="D67" s="4">
        <v>25414</v>
      </c>
      <c r="E67" s="124"/>
      <c r="F67" s="10">
        <f t="shared" si="1"/>
        <v>620</v>
      </c>
      <c r="G67" s="3"/>
      <c r="H67" s="4"/>
      <c r="I67" s="52">
        <v>200</v>
      </c>
      <c r="J67" s="53">
        <v>1</v>
      </c>
      <c r="K67" s="54" t="s">
        <v>193</v>
      </c>
      <c r="L67" s="82">
        <v>1730</v>
      </c>
      <c r="M67" s="53">
        <v>5</v>
      </c>
      <c r="N67" s="53" t="s">
        <v>210</v>
      </c>
      <c r="O67" s="52">
        <v>240</v>
      </c>
      <c r="P67" s="54">
        <v>3</v>
      </c>
      <c r="Q67" s="52"/>
      <c r="R67" s="53"/>
      <c r="S67" s="57"/>
      <c r="T67" s="92" t="s">
        <v>264</v>
      </c>
      <c r="U67" s="61"/>
      <c r="V67" s="56">
        <v>460</v>
      </c>
      <c r="W67" s="54">
        <v>1</v>
      </c>
      <c r="X67" s="54" t="s">
        <v>209</v>
      </c>
      <c r="Y67" s="88">
        <v>300</v>
      </c>
      <c r="Z67" s="54">
        <v>1</v>
      </c>
      <c r="AA67" s="55" t="s">
        <v>99</v>
      </c>
      <c r="AB67" s="56"/>
      <c r="AC67" s="54"/>
      <c r="AD67" s="6">
        <f>B67+F67-G67-I67-V67-AC67-AE67</f>
        <v>0</v>
      </c>
      <c r="AE67" s="49">
        <v>187</v>
      </c>
      <c r="AF67" s="5" t="s">
        <v>91</v>
      </c>
    </row>
    <row r="68" spans="1:32" ht="15.75" thickBot="1">
      <c r="A68" s="11">
        <v>43892</v>
      </c>
      <c r="B68" s="2">
        <f t="shared" si="0"/>
        <v>187</v>
      </c>
      <c r="C68" s="3">
        <v>19080</v>
      </c>
      <c r="D68" s="4">
        <v>13930</v>
      </c>
      <c r="E68" s="124"/>
      <c r="F68" s="10">
        <f t="shared" si="1"/>
        <v>5150</v>
      </c>
      <c r="G68" s="3"/>
      <c r="H68" s="4"/>
      <c r="I68" s="52"/>
      <c r="J68" s="53"/>
      <c r="K68" s="54"/>
      <c r="L68" s="52">
        <v>350</v>
      </c>
      <c r="M68" s="53">
        <v>1</v>
      </c>
      <c r="N68" s="53" t="s">
        <v>211</v>
      </c>
      <c r="O68" s="52"/>
      <c r="P68" s="54"/>
      <c r="Q68" s="52">
        <f>290+400+720</f>
        <v>1410</v>
      </c>
      <c r="R68" s="53">
        <f>1+5+9</f>
        <v>15</v>
      </c>
      <c r="S68" s="57" t="s">
        <v>213</v>
      </c>
      <c r="T68" s="92"/>
      <c r="U68" s="61"/>
      <c r="V68" s="56">
        <f>400+400+315</f>
        <v>1115</v>
      </c>
      <c r="W68" s="54">
        <v>3</v>
      </c>
      <c r="X68" s="54" t="s">
        <v>212</v>
      </c>
      <c r="Y68" s="52">
        <f>525+290</f>
        <v>815</v>
      </c>
      <c r="Z68" s="54">
        <v>1</v>
      </c>
      <c r="AA68" s="55" t="s">
        <v>135</v>
      </c>
      <c r="AB68" s="56"/>
      <c r="AC68" s="54"/>
      <c r="AD68" s="6">
        <f>B68+F68-G68-I68-V68-AC68-AE68-L68</f>
        <v>3400</v>
      </c>
      <c r="AE68" s="49">
        <v>472</v>
      </c>
      <c r="AF68" s="5" t="s">
        <v>15</v>
      </c>
    </row>
    <row r="69" spans="1:32" ht="15.75" thickBot="1">
      <c r="A69" s="11">
        <v>43893</v>
      </c>
      <c r="B69" s="2">
        <f t="shared" si="0"/>
        <v>472</v>
      </c>
      <c r="C69" s="3">
        <v>20360</v>
      </c>
      <c r="D69" s="4">
        <v>16360</v>
      </c>
      <c r="E69" s="124"/>
      <c r="F69" s="10">
        <f t="shared" si="1"/>
        <v>4000</v>
      </c>
      <c r="G69" s="3">
        <v>560</v>
      </c>
      <c r="H69" s="4">
        <v>7</v>
      </c>
      <c r="I69" s="52">
        <v>840</v>
      </c>
      <c r="J69" s="53">
        <v>2</v>
      </c>
      <c r="K69" s="54" t="s">
        <v>214</v>
      </c>
      <c r="L69" s="52"/>
      <c r="M69" s="53"/>
      <c r="N69" s="53"/>
      <c r="O69" s="52"/>
      <c r="P69" s="54"/>
      <c r="Q69" s="52"/>
      <c r="R69" s="53"/>
      <c r="S69" s="57"/>
      <c r="T69" s="92">
        <v>160</v>
      </c>
      <c r="U69" s="61">
        <v>2</v>
      </c>
      <c r="V69" s="56">
        <v>350</v>
      </c>
      <c r="W69" s="54">
        <v>1</v>
      </c>
      <c r="X69" s="54" t="s">
        <v>112</v>
      </c>
      <c r="Y69" s="52"/>
      <c r="Z69" s="54"/>
      <c r="AA69" s="55"/>
      <c r="AB69" s="56"/>
      <c r="AC69" s="54"/>
      <c r="AD69" s="6">
        <f t="shared" si="2"/>
        <v>2450</v>
      </c>
      <c r="AE69" s="49">
        <v>272</v>
      </c>
      <c r="AF69" s="5" t="s">
        <v>91</v>
      </c>
    </row>
    <row r="70" spans="1:32" ht="15.75" thickBot="1">
      <c r="A70" s="11">
        <v>43894</v>
      </c>
      <c r="B70" s="2">
        <f t="shared" si="0"/>
        <v>272</v>
      </c>
      <c r="C70" s="3">
        <f>20177+1920</f>
        <v>22097</v>
      </c>
      <c r="D70" s="4">
        <f>16660+1920</f>
        <v>18580</v>
      </c>
      <c r="E70" s="124"/>
      <c r="F70" s="10">
        <f t="shared" si="1"/>
        <v>3517</v>
      </c>
      <c r="G70" s="3"/>
      <c r="H70" s="4"/>
      <c r="I70" s="52">
        <v>350</v>
      </c>
      <c r="J70" s="53">
        <v>1</v>
      </c>
      <c r="K70" s="54" t="s">
        <v>201</v>
      </c>
      <c r="L70" s="52">
        <f>290+350</f>
        <v>640</v>
      </c>
      <c r="M70" s="53">
        <v>3</v>
      </c>
      <c r="N70" s="53" t="s">
        <v>215</v>
      </c>
      <c r="O70" s="52"/>
      <c r="P70" s="54"/>
      <c r="Q70" s="52">
        <f>290+500+12*80+3*80</f>
        <v>1990</v>
      </c>
      <c r="R70" s="53">
        <f>3+3</f>
        <v>6</v>
      </c>
      <c r="S70" s="57" t="s">
        <v>217</v>
      </c>
      <c r="T70" s="92"/>
      <c r="U70" s="61"/>
      <c r="V70" s="56">
        <v>460</v>
      </c>
      <c r="W70" s="54">
        <v>1</v>
      </c>
      <c r="X70" s="54" t="s">
        <v>216</v>
      </c>
      <c r="Y70" s="52">
        <v>290</v>
      </c>
      <c r="Z70" s="54">
        <v>1</v>
      </c>
      <c r="AA70" s="55" t="s">
        <v>130</v>
      </c>
      <c r="AB70" s="56" t="s">
        <v>127</v>
      </c>
      <c r="AC70" s="54">
        <v>150</v>
      </c>
      <c r="AD70" s="6">
        <f>B70+F70-G70-I70-V70-AC70-AE70</f>
        <v>2700</v>
      </c>
      <c r="AE70" s="49">
        <v>129</v>
      </c>
      <c r="AF70" s="5" t="s">
        <v>15</v>
      </c>
    </row>
    <row r="71" spans="1:32" ht="15.75" thickBot="1">
      <c r="A71" s="11">
        <v>43895</v>
      </c>
      <c r="B71" s="2">
        <f t="shared" si="0"/>
        <v>129</v>
      </c>
      <c r="C71" s="3">
        <v>6350</v>
      </c>
      <c r="D71" s="4">
        <v>5260</v>
      </c>
      <c r="E71" s="124"/>
      <c r="F71" s="10">
        <f t="shared" si="1"/>
        <v>1090</v>
      </c>
      <c r="G71" s="3">
        <v>400</v>
      </c>
      <c r="H71" s="4">
        <v>5</v>
      </c>
      <c r="I71" s="52">
        <v>590</v>
      </c>
      <c r="J71" s="53">
        <v>1</v>
      </c>
      <c r="K71" s="54" t="s">
        <v>117</v>
      </c>
      <c r="L71" s="52"/>
      <c r="M71" s="53"/>
      <c r="N71" s="53"/>
      <c r="O71" s="52">
        <v>240</v>
      </c>
      <c r="P71" s="54">
        <v>3</v>
      </c>
      <c r="Q71" s="52"/>
      <c r="R71" s="53"/>
      <c r="S71" s="57"/>
      <c r="T71" s="92">
        <v>160</v>
      </c>
      <c r="U71" s="61">
        <v>2</v>
      </c>
      <c r="V71" s="56"/>
      <c r="W71" s="54"/>
      <c r="X71" s="54"/>
      <c r="Y71" s="52"/>
      <c r="Z71" s="54"/>
      <c r="AA71" s="55"/>
      <c r="AB71" s="56"/>
      <c r="AC71" s="54"/>
      <c r="AD71" s="6">
        <f t="shared" si="2"/>
        <v>150</v>
      </c>
      <c r="AE71" s="49">
        <v>79</v>
      </c>
      <c r="AF71" s="5" t="s">
        <v>15</v>
      </c>
    </row>
    <row r="72" spans="1:32" ht="15.75" thickBot="1">
      <c r="A72" s="11">
        <v>43896</v>
      </c>
      <c r="B72" s="2">
        <f t="shared" ref="B72:B135" si="3">AE71</f>
        <v>79</v>
      </c>
      <c r="C72" s="3">
        <v>10800</v>
      </c>
      <c r="D72" s="4">
        <v>6480</v>
      </c>
      <c r="E72" s="124"/>
      <c r="F72" s="10">
        <f t="shared" ref="F72:F135" si="4">C72-D72</f>
        <v>4320</v>
      </c>
      <c r="G72" s="3"/>
      <c r="H72" s="4"/>
      <c r="I72" s="52">
        <v>350</v>
      </c>
      <c r="J72" s="53">
        <v>1</v>
      </c>
      <c r="K72" s="54" t="s">
        <v>201</v>
      </c>
      <c r="L72" s="52">
        <f>350+290+290</f>
        <v>930</v>
      </c>
      <c r="M72" s="53">
        <v>3</v>
      </c>
      <c r="N72" s="53" t="s">
        <v>218</v>
      </c>
      <c r="O72" s="52"/>
      <c r="P72" s="54"/>
      <c r="Q72" s="52">
        <f>290+7*80</f>
        <v>850</v>
      </c>
      <c r="R72" s="53">
        <f>1+7</f>
        <v>8</v>
      </c>
      <c r="S72" s="57" t="s">
        <v>219</v>
      </c>
      <c r="T72" s="92"/>
      <c r="U72" s="61"/>
      <c r="V72" s="56"/>
      <c r="W72" s="54"/>
      <c r="X72" s="54"/>
      <c r="Y72" s="52"/>
      <c r="Z72" s="54"/>
      <c r="AA72" s="55"/>
      <c r="AB72" s="56"/>
      <c r="AC72" s="54"/>
      <c r="AD72" s="6">
        <f>B72+F72-L72-G72-I72-V72-AC72-AE72</f>
        <v>3050</v>
      </c>
      <c r="AE72" s="49">
        <v>69</v>
      </c>
      <c r="AF72" s="5" t="s">
        <v>15</v>
      </c>
    </row>
    <row r="73" spans="1:32" ht="15.75" thickBot="1">
      <c r="A73" s="11">
        <v>43897</v>
      </c>
      <c r="B73" s="2">
        <f t="shared" si="3"/>
        <v>69</v>
      </c>
      <c r="C73" s="3">
        <v>23626</v>
      </c>
      <c r="D73" s="4">
        <v>20600</v>
      </c>
      <c r="E73" s="124"/>
      <c r="F73" s="10">
        <v>3026</v>
      </c>
      <c r="G73" s="3"/>
      <c r="H73" s="4"/>
      <c r="I73" s="52"/>
      <c r="J73" s="53"/>
      <c r="K73" s="54"/>
      <c r="L73" s="52"/>
      <c r="M73" s="53"/>
      <c r="N73" s="53"/>
      <c r="O73" s="52"/>
      <c r="P73" s="54"/>
      <c r="Q73" s="52"/>
      <c r="R73" s="53"/>
      <c r="S73" s="57"/>
      <c r="T73" s="92"/>
      <c r="U73" s="61"/>
      <c r="V73" s="56">
        <f>325+400+400+290</f>
        <v>1415</v>
      </c>
      <c r="W73" s="54">
        <v>2</v>
      </c>
      <c r="X73" s="54" t="s">
        <v>220</v>
      </c>
      <c r="Y73" s="52"/>
      <c r="Z73" s="54"/>
      <c r="AA73" s="55"/>
      <c r="AB73" s="56"/>
      <c r="AC73" s="54"/>
      <c r="AD73" s="6">
        <v>1500</v>
      </c>
      <c r="AE73" s="49">
        <v>180</v>
      </c>
      <c r="AF73" s="5" t="s">
        <v>15</v>
      </c>
    </row>
    <row r="74" spans="1:32" ht="15.75" thickBot="1">
      <c r="A74" s="11">
        <v>43898</v>
      </c>
      <c r="B74" s="2">
        <f t="shared" si="3"/>
        <v>180</v>
      </c>
      <c r="C74" s="3">
        <v>4670</v>
      </c>
      <c r="D74" s="4">
        <v>3930</v>
      </c>
      <c r="E74" s="124"/>
      <c r="F74" s="10">
        <f t="shared" si="4"/>
        <v>740</v>
      </c>
      <c r="G74" s="3"/>
      <c r="H74" s="4"/>
      <c r="I74" s="52"/>
      <c r="J74" s="53"/>
      <c r="K74" s="54"/>
      <c r="L74" s="52"/>
      <c r="M74" s="53"/>
      <c r="N74" s="53"/>
      <c r="O74" s="52"/>
      <c r="P74" s="54"/>
      <c r="Q74" s="52"/>
      <c r="R74" s="53"/>
      <c r="S74" s="57"/>
      <c r="T74" s="92"/>
      <c r="U74" s="61"/>
      <c r="V74" s="56"/>
      <c r="W74" s="54"/>
      <c r="X74" s="54"/>
      <c r="Y74" s="52"/>
      <c r="Z74" s="54"/>
      <c r="AA74" s="55"/>
      <c r="AB74" s="56"/>
      <c r="AC74" s="54"/>
      <c r="AD74" s="6">
        <f t="shared" ref="AD74:AD136" si="5">B74+F74-L74-G74-I74-V74-AC74-AE74</f>
        <v>750</v>
      </c>
      <c r="AE74" s="49">
        <v>170</v>
      </c>
      <c r="AF74" s="5" t="s">
        <v>15</v>
      </c>
    </row>
    <row r="75" spans="1:32" ht="15.75" thickBot="1">
      <c r="A75" s="11">
        <v>43899</v>
      </c>
      <c r="B75" s="2">
        <f t="shared" si="3"/>
        <v>170</v>
      </c>
      <c r="C75" s="3">
        <v>14120</v>
      </c>
      <c r="D75" s="4">
        <v>9620</v>
      </c>
      <c r="E75" s="124"/>
      <c r="F75" s="10">
        <f t="shared" si="4"/>
        <v>4500</v>
      </c>
      <c r="G75" s="3"/>
      <c r="H75" s="4"/>
      <c r="I75" s="52">
        <v>200</v>
      </c>
      <c r="J75" s="53">
        <v>1</v>
      </c>
      <c r="K75" s="54" t="s">
        <v>193</v>
      </c>
      <c r="L75" s="52">
        <f>290+290</f>
        <v>580</v>
      </c>
      <c r="M75" s="53">
        <v>1</v>
      </c>
      <c r="N75" s="53" t="s">
        <v>221</v>
      </c>
      <c r="O75" s="52">
        <v>320</v>
      </c>
      <c r="P75" s="54">
        <v>4</v>
      </c>
      <c r="Q75" s="52">
        <f>290+500+8*80</f>
        <v>1430</v>
      </c>
      <c r="R75" s="53">
        <f>2+8</f>
        <v>10</v>
      </c>
      <c r="S75" s="57" t="s">
        <v>222</v>
      </c>
      <c r="T75" s="92"/>
      <c r="U75" s="61"/>
      <c r="V75" s="56">
        <v>400</v>
      </c>
      <c r="W75" s="54">
        <v>1</v>
      </c>
      <c r="X75" s="54" t="s">
        <v>176</v>
      </c>
      <c r="Y75" s="52">
        <f>525+290</f>
        <v>815</v>
      </c>
      <c r="Z75" s="54">
        <v>1</v>
      </c>
      <c r="AA75" s="55" t="s">
        <v>141</v>
      </c>
      <c r="AB75" s="56"/>
      <c r="AC75" s="54"/>
      <c r="AD75" s="6">
        <f t="shared" si="5"/>
        <v>3350</v>
      </c>
      <c r="AE75" s="49">
        <v>140</v>
      </c>
      <c r="AF75" s="5" t="s">
        <v>15</v>
      </c>
    </row>
    <row r="76" spans="1:32" ht="15.75" thickBot="1">
      <c r="A76" s="11">
        <v>43900</v>
      </c>
      <c r="B76" s="2">
        <f t="shared" si="3"/>
        <v>140</v>
      </c>
      <c r="C76" s="3">
        <v>12700</v>
      </c>
      <c r="D76" s="4">
        <v>11360</v>
      </c>
      <c r="E76" s="124"/>
      <c r="F76" s="10">
        <f t="shared" si="4"/>
        <v>1340</v>
      </c>
      <c r="G76" s="3"/>
      <c r="H76" s="4"/>
      <c r="I76" s="52">
        <v>290</v>
      </c>
      <c r="J76" s="53">
        <v>1</v>
      </c>
      <c r="K76" s="54" t="s">
        <v>224</v>
      </c>
      <c r="L76" s="52"/>
      <c r="M76" s="53"/>
      <c r="N76" s="53"/>
      <c r="O76" s="52"/>
      <c r="P76" s="54"/>
      <c r="Q76" s="52"/>
      <c r="R76" s="53"/>
      <c r="S76" s="57"/>
      <c r="T76" s="92">
        <v>240</v>
      </c>
      <c r="U76" s="61">
        <v>3</v>
      </c>
      <c r="V76" s="89">
        <v>1150</v>
      </c>
      <c r="W76" s="54">
        <v>3</v>
      </c>
      <c r="X76" s="54" t="s">
        <v>223</v>
      </c>
      <c r="Y76" s="52"/>
      <c r="Z76" s="54"/>
      <c r="AA76" s="55"/>
      <c r="AB76" s="56"/>
      <c r="AC76" s="54"/>
      <c r="AD76" s="6">
        <f>B76+F76-L76-G76-I76-AC76-AE76</f>
        <v>1000</v>
      </c>
      <c r="AE76" s="49">
        <v>190</v>
      </c>
      <c r="AF76" s="5" t="s">
        <v>15</v>
      </c>
    </row>
    <row r="77" spans="1:32" ht="15.75" thickBot="1">
      <c r="A77" s="11">
        <v>43901</v>
      </c>
      <c r="B77" s="2">
        <f t="shared" si="3"/>
        <v>190</v>
      </c>
      <c r="C77" s="3">
        <f>14950+350+50</f>
        <v>15350</v>
      </c>
      <c r="D77" s="4">
        <v>12010</v>
      </c>
      <c r="E77" s="124"/>
      <c r="F77" s="10">
        <f t="shared" si="4"/>
        <v>3340</v>
      </c>
      <c r="G77" s="3"/>
      <c r="H77" s="4"/>
      <c r="I77" s="52">
        <v>350</v>
      </c>
      <c r="J77" s="53">
        <v>1</v>
      </c>
      <c r="K77" s="54" t="s">
        <v>225</v>
      </c>
      <c r="L77" s="52">
        <f>290+450</f>
        <v>740</v>
      </c>
      <c r="M77" s="53">
        <v>2</v>
      </c>
      <c r="N77" s="53" t="s">
        <v>227</v>
      </c>
      <c r="O77" s="52"/>
      <c r="P77" s="54"/>
      <c r="Q77" s="52">
        <f>290+3*80+7*80</f>
        <v>1090</v>
      </c>
      <c r="R77" s="53">
        <f>1+3+7</f>
        <v>11</v>
      </c>
      <c r="S77" s="57" t="s">
        <v>228</v>
      </c>
      <c r="T77" s="92"/>
      <c r="U77" s="61"/>
      <c r="V77" s="56">
        <f>290+460</f>
        <v>750</v>
      </c>
      <c r="W77" s="54">
        <v>2</v>
      </c>
      <c r="X77" s="54" t="s">
        <v>226</v>
      </c>
      <c r="Y77" s="52">
        <f>525+290</f>
        <v>815</v>
      </c>
      <c r="Z77" s="54">
        <v>2</v>
      </c>
      <c r="AA77" s="55" t="s">
        <v>135</v>
      </c>
      <c r="AB77" s="56" t="s">
        <v>229</v>
      </c>
      <c r="AC77" s="54">
        <v>350</v>
      </c>
      <c r="AD77" s="6">
        <f t="shared" si="5"/>
        <v>1150</v>
      </c>
      <c r="AE77" s="49">
        <v>190</v>
      </c>
      <c r="AF77" s="5" t="s">
        <v>15</v>
      </c>
    </row>
    <row r="78" spans="1:32" ht="15.75" thickBot="1">
      <c r="A78" s="11">
        <v>43902</v>
      </c>
      <c r="B78" s="2">
        <f t="shared" si="3"/>
        <v>190</v>
      </c>
      <c r="C78" s="3">
        <v>8010</v>
      </c>
      <c r="D78" s="4">
        <v>4640</v>
      </c>
      <c r="E78" s="124"/>
      <c r="F78" s="10">
        <f t="shared" si="4"/>
        <v>3370</v>
      </c>
      <c r="G78" s="3"/>
      <c r="H78" s="4"/>
      <c r="I78" s="52">
        <v>300</v>
      </c>
      <c r="J78" s="53">
        <v>1</v>
      </c>
      <c r="K78" s="54" t="s">
        <v>117</v>
      </c>
      <c r="L78" s="52">
        <v>640</v>
      </c>
      <c r="M78" s="53">
        <v>2</v>
      </c>
      <c r="N78" s="53" t="s">
        <v>230</v>
      </c>
      <c r="O78" s="52">
        <v>240</v>
      </c>
      <c r="P78" s="54">
        <v>3</v>
      </c>
      <c r="Q78" s="52"/>
      <c r="R78" s="53"/>
      <c r="S78" s="57"/>
      <c r="T78" s="92">
        <v>160</v>
      </c>
      <c r="U78" s="61">
        <v>2</v>
      </c>
      <c r="V78" s="56">
        <v>800</v>
      </c>
      <c r="W78" s="54">
        <v>2</v>
      </c>
      <c r="X78" s="54" t="s">
        <v>232</v>
      </c>
      <c r="Y78" s="52"/>
      <c r="Z78" s="54"/>
      <c r="AA78" s="55"/>
      <c r="AB78" s="56" t="s">
        <v>231</v>
      </c>
      <c r="AC78" s="54">
        <v>100</v>
      </c>
      <c r="AD78" s="6">
        <f t="shared" si="5"/>
        <v>1650</v>
      </c>
      <c r="AE78" s="49">
        <v>70</v>
      </c>
      <c r="AF78" s="5" t="s">
        <v>91</v>
      </c>
    </row>
    <row r="79" spans="1:32" ht="15.75" thickBot="1">
      <c r="A79" s="11">
        <v>43903</v>
      </c>
      <c r="B79" s="2">
        <f t="shared" si="3"/>
        <v>70</v>
      </c>
      <c r="C79" s="3">
        <v>10640</v>
      </c>
      <c r="D79" s="4">
        <v>2870</v>
      </c>
      <c r="E79" s="124"/>
      <c r="F79" s="10">
        <f t="shared" si="4"/>
        <v>7770</v>
      </c>
      <c r="G79" s="3"/>
      <c r="H79" s="4"/>
      <c r="I79" s="52">
        <v>200</v>
      </c>
      <c r="J79" s="53">
        <v>1</v>
      </c>
      <c r="K79" s="54" t="s">
        <v>193</v>
      </c>
      <c r="L79" s="52">
        <f>350+290+4*80</f>
        <v>960</v>
      </c>
      <c r="M79" s="53">
        <f>2+4</f>
        <v>6</v>
      </c>
      <c r="N79" s="53" t="s">
        <v>234</v>
      </c>
      <c r="O79" s="52"/>
      <c r="P79" s="54"/>
      <c r="Q79" s="52"/>
      <c r="R79" s="53"/>
      <c r="S79" s="57"/>
      <c r="T79" s="92"/>
      <c r="U79" s="61"/>
      <c r="V79" s="56">
        <f>300+325+315</f>
        <v>940</v>
      </c>
      <c r="W79" s="54">
        <v>3</v>
      </c>
      <c r="X79" s="54" t="s">
        <v>233</v>
      </c>
      <c r="Y79" s="52"/>
      <c r="Z79" s="54"/>
      <c r="AA79" s="55"/>
      <c r="AB79" s="56"/>
      <c r="AC79" s="54"/>
      <c r="AD79" s="6">
        <f>B79+F79-L79-G79-I79-V79-AC79-AE79</f>
        <v>5670</v>
      </c>
      <c r="AE79" s="49">
        <v>70</v>
      </c>
      <c r="AF79" s="5" t="s">
        <v>15</v>
      </c>
    </row>
    <row r="80" spans="1:32" ht="15.75" thickBot="1">
      <c r="A80" s="11">
        <v>43904</v>
      </c>
      <c r="B80" s="2">
        <f t="shared" si="3"/>
        <v>70</v>
      </c>
      <c r="C80" s="3">
        <v>5300</v>
      </c>
      <c r="D80" s="4">
        <v>4040</v>
      </c>
      <c r="E80" s="124"/>
      <c r="F80" s="10">
        <v>1240</v>
      </c>
      <c r="G80" s="3"/>
      <c r="H80" s="4"/>
      <c r="I80" s="52"/>
      <c r="J80" s="53"/>
      <c r="K80" s="54"/>
      <c r="L80" s="52"/>
      <c r="M80" s="53"/>
      <c r="N80" s="53"/>
      <c r="O80" s="52"/>
      <c r="P80" s="54"/>
      <c r="Q80" s="52"/>
      <c r="R80" s="53"/>
      <c r="S80" s="57"/>
      <c r="T80" s="92"/>
      <c r="U80" s="61"/>
      <c r="V80" s="56">
        <v>690</v>
      </c>
      <c r="W80" s="54">
        <v>2</v>
      </c>
      <c r="X80" s="54" t="s">
        <v>235</v>
      </c>
      <c r="Y80" s="52"/>
      <c r="Z80" s="54"/>
      <c r="AA80" s="55"/>
      <c r="AB80" s="56"/>
      <c r="AC80" s="54"/>
      <c r="AD80" s="6">
        <f t="shared" si="5"/>
        <v>550</v>
      </c>
      <c r="AE80" s="49">
        <v>70</v>
      </c>
      <c r="AF80" s="5" t="s">
        <v>15</v>
      </c>
    </row>
    <row r="81" spans="1:32" ht="15.75" thickBot="1">
      <c r="A81" s="11">
        <v>43905</v>
      </c>
      <c r="B81" s="2">
        <f t="shared" si="3"/>
        <v>70</v>
      </c>
      <c r="C81" s="3">
        <v>12700</v>
      </c>
      <c r="D81" s="4">
        <v>9940</v>
      </c>
      <c r="E81" s="124"/>
      <c r="F81" s="10">
        <f t="shared" si="4"/>
        <v>2760</v>
      </c>
      <c r="G81" s="3"/>
      <c r="H81" s="4"/>
      <c r="I81" s="52"/>
      <c r="J81" s="53"/>
      <c r="K81" s="54"/>
      <c r="L81" s="52">
        <v>580</v>
      </c>
      <c r="M81" s="53">
        <v>2</v>
      </c>
      <c r="N81" s="53" t="s">
        <v>238</v>
      </c>
      <c r="O81" s="52">
        <v>320</v>
      </c>
      <c r="P81" s="54">
        <v>4</v>
      </c>
      <c r="Q81" s="52"/>
      <c r="R81" s="53"/>
      <c r="S81" s="57"/>
      <c r="T81" s="92"/>
      <c r="U81" s="61"/>
      <c r="V81" s="56">
        <v>860</v>
      </c>
      <c r="W81" s="54">
        <v>2</v>
      </c>
      <c r="X81" s="54" t="s">
        <v>237</v>
      </c>
      <c r="Y81" s="52"/>
      <c r="Z81" s="54"/>
      <c r="AA81" s="55"/>
      <c r="AB81" s="56" t="s">
        <v>236</v>
      </c>
      <c r="AC81" s="54">
        <v>200</v>
      </c>
      <c r="AD81" s="6">
        <f t="shared" si="5"/>
        <v>1150</v>
      </c>
      <c r="AE81" s="49">
        <v>40</v>
      </c>
      <c r="AF81" s="5" t="s">
        <v>91</v>
      </c>
    </row>
    <row r="82" spans="1:32" ht="15.75" thickBot="1">
      <c r="A82" s="11">
        <v>43906</v>
      </c>
      <c r="B82" s="2">
        <f t="shared" si="3"/>
        <v>40</v>
      </c>
      <c r="C82" s="3">
        <f>7250+350</f>
        <v>7600</v>
      </c>
      <c r="D82" s="4">
        <v>5750</v>
      </c>
      <c r="E82" s="124"/>
      <c r="F82" s="10">
        <f t="shared" si="4"/>
        <v>1850</v>
      </c>
      <c r="G82" s="3"/>
      <c r="H82" s="4"/>
      <c r="I82" s="52">
        <v>350</v>
      </c>
      <c r="J82" s="53">
        <v>1</v>
      </c>
      <c r="K82" s="54" t="s">
        <v>225</v>
      </c>
      <c r="L82" s="52"/>
      <c r="M82" s="53"/>
      <c r="N82" s="53"/>
      <c r="O82" s="52"/>
      <c r="P82" s="54"/>
      <c r="Q82" s="52">
        <f>290+290+7*80</f>
        <v>1140</v>
      </c>
      <c r="R82" s="53">
        <f>2+7</f>
        <v>9</v>
      </c>
      <c r="S82" s="57" t="s">
        <v>239</v>
      </c>
      <c r="T82" s="92"/>
      <c r="U82" s="61"/>
      <c r="V82" s="56">
        <f>300+325+290+400+315</f>
        <v>1630</v>
      </c>
      <c r="W82" s="54">
        <v>5</v>
      </c>
      <c r="X82" s="54" t="s">
        <v>240</v>
      </c>
      <c r="Y82" s="52"/>
      <c r="Z82" s="54"/>
      <c r="AA82" s="55"/>
      <c r="AB82" s="56"/>
      <c r="AC82" s="54"/>
      <c r="AD82" s="6">
        <f>B82+F82-L82-G82-I82-AC82-AE82</f>
        <v>1500</v>
      </c>
      <c r="AE82" s="49">
        <v>40</v>
      </c>
      <c r="AF82" s="5" t="s">
        <v>15</v>
      </c>
    </row>
    <row r="83" spans="1:32" ht="15.75" thickBot="1">
      <c r="A83" s="11">
        <v>43907</v>
      </c>
      <c r="B83" s="2">
        <f t="shared" si="3"/>
        <v>40</v>
      </c>
      <c r="C83" s="3">
        <v>15160</v>
      </c>
      <c r="D83" s="4">
        <v>9660</v>
      </c>
      <c r="E83" s="124"/>
      <c r="F83" s="10">
        <f t="shared" si="4"/>
        <v>5500</v>
      </c>
      <c r="G83" s="3">
        <v>400</v>
      </c>
      <c r="H83" s="4">
        <v>5</v>
      </c>
      <c r="I83" s="52">
        <f>200+300+290</f>
        <v>790</v>
      </c>
      <c r="J83" s="53">
        <v>2</v>
      </c>
      <c r="K83" s="54" t="s">
        <v>242</v>
      </c>
      <c r="L83" s="52">
        <v>400</v>
      </c>
      <c r="M83" s="53">
        <v>1</v>
      </c>
      <c r="N83" s="53" t="s">
        <v>243</v>
      </c>
      <c r="O83" s="52">
        <v>400</v>
      </c>
      <c r="P83" s="54">
        <v>5</v>
      </c>
      <c r="Q83" s="52"/>
      <c r="R83" s="53"/>
      <c r="S83" s="57"/>
      <c r="T83" s="92"/>
      <c r="U83" s="61"/>
      <c r="V83" s="56">
        <v>860</v>
      </c>
      <c r="W83" s="54">
        <v>2</v>
      </c>
      <c r="X83" s="54" t="s">
        <v>241</v>
      </c>
      <c r="Y83" s="52"/>
      <c r="Z83" s="54"/>
      <c r="AA83" s="55"/>
      <c r="AB83" s="56"/>
      <c r="AC83" s="54"/>
      <c r="AD83" s="6">
        <f t="shared" si="5"/>
        <v>3000</v>
      </c>
      <c r="AE83" s="49">
        <v>90</v>
      </c>
      <c r="AF83" s="5" t="s">
        <v>15</v>
      </c>
    </row>
    <row r="84" spans="1:32" ht="15.75" thickBot="1">
      <c r="A84" s="11">
        <v>43908</v>
      </c>
      <c r="B84" s="2">
        <f t="shared" si="3"/>
        <v>90</v>
      </c>
      <c r="C84" s="3">
        <v>5840</v>
      </c>
      <c r="D84" s="4">
        <v>1580</v>
      </c>
      <c r="E84" s="124"/>
      <c r="F84" s="10">
        <f t="shared" si="4"/>
        <v>4260</v>
      </c>
      <c r="G84" s="3"/>
      <c r="H84" s="4"/>
      <c r="I84" s="52"/>
      <c r="J84" s="53"/>
      <c r="K84" s="54"/>
      <c r="L84" s="52"/>
      <c r="M84" s="53"/>
      <c r="N84" s="53"/>
      <c r="O84" s="52"/>
      <c r="P84" s="54"/>
      <c r="Q84" s="52">
        <f>290+500</f>
        <v>790</v>
      </c>
      <c r="R84" s="53">
        <v>1</v>
      </c>
      <c r="S84" s="57" t="s">
        <v>245</v>
      </c>
      <c r="T84" s="92"/>
      <c r="U84" s="61"/>
      <c r="V84" s="56">
        <v>290</v>
      </c>
      <c r="W84" s="54">
        <v>1</v>
      </c>
      <c r="X84" s="54" t="s">
        <v>244</v>
      </c>
      <c r="Y84" s="52">
        <v>290</v>
      </c>
      <c r="Z84" s="54">
        <v>1</v>
      </c>
      <c r="AA84" s="55" t="s">
        <v>130</v>
      </c>
      <c r="AB84" s="56"/>
      <c r="AC84" s="54"/>
      <c r="AD84" s="6">
        <f t="shared" si="5"/>
        <v>3990</v>
      </c>
      <c r="AE84" s="49">
        <v>70</v>
      </c>
      <c r="AF84" s="5" t="s">
        <v>15</v>
      </c>
    </row>
    <row r="85" spans="1:32" ht="15.75" thickBot="1">
      <c r="A85" s="11">
        <v>43909</v>
      </c>
      <c r="B85" s="2">
        <f t="shared" si="3"/>
        <v>70</v>
      </c>
      <c r="C85" s="3">
        <v>5300</v>
      </c>
      <c r="D85" s="4">
        <v>3570</v>
      </c>
      <c r="E85" s="124"/>
      <c r="F85" s="10">
        <f t="shared" si="4"/>
        <v>1730</v>
      </c>
      <c r="G85" s="3">
        <v>560</v>
      </c>
      <c r="H85" s="4">
        <v>7</v>
      </c>
      <c r="I85" s="52">
        <v>290</v>
      </c>
      <c r="J85" s="53">
        <v>1</v>
      </c>
      <c r="K85" s="54" t="s">
        <v>224</v>
      </c>
      <c r="L85" s="52">
        <v>690</v>
      </c>
      <c r="M85" s="53">
        <v>2</v>
      </c>
      <c r="N85" s="53" t="s">
        <v>227</v>
      </c>
      <c r="O85" s="52">
        <v>400</v>
      </c>
      <c r="P85" s="54">
        <v>5</v>
      </c>
      <c r="Q85" s="52"/>
      <c r="R85" s="53"/>
      <c r="S85" s="57"/>
      <c r="T85" s="92">
        <v>160</v>
      </c>
      <c r="U85" s="61">
        <v>2</v>
      </c>
      <c r="V85" s="56">
        <f>325+400+400</f>
        <v>1125</v>
      </c>
      <c r="W85" s="54">
        <v>3</v>
      </c>
      <c r="X85" s="54" t="s">
        <v>246</v>
      </c>
      <c r="Y85" s="52"/>
      <c r="Z85" s="54"/>
      <c r="AA85" s="55"/>
      <c r="AB85" s="56"/>
      <c r="AC85" s="54"/>
      <c r="AD85" s="6">
        <f>B85+F85-G85-V85-AC85-AE85</f>
        <v>0</v>
      </c>
      <c r="AE85" s="49">
        <v>115</v>
      </c>
      <c r="AF85" s="5" t="s">
        <v>15</v>
      </c>
    </row>
    <row r="86" spans="1:32" ht="15.75" thickBot="1">
      <c r="A86" s="11">
        <v>43910</v>
      </c>
      <c r="B86" s="2">
        <f t="shared" si="3"/>
        <v>115</v>
      </c>
      <c r="C86" s="3">
        <v>9420</v>
      </c>
      <c r="D86" s="4">
        <v>4550</v>
      </c>
      <c r="E86" s="124"/>
      <c r="F86" s="10">
        <f t="shared" si="4"/>
        <v>4870</v>
      </c>
      <c r="G86" s="3"/>
      <c r="H86" s="4"/>
      <c r="I86" s="52"/>
      <c r="J86" s="53"/>
      <c r="K86" s="54"/>
      <c r="L86" s="52">
        <v>290</v>
      </c>
      <c r="M86" s="53">
        <v>1</v>
      </c>
      <c r="N86" s="53" t="s">
        <v>247</v>
      </c>
      <c r="O86" s="52"/>
      <c r="P86" s="54"/>
      <c r="Q86" s="52">
        <f>290+290+480</f>
        <v>1060</v>
      </c>
      <c r="R86" s="53">
        <v>2</v>
      </c>
      <c r="S86" s="57" t="s">
        <v>248</v>
      </c>
      <c r="T86" s="92"/>
      <c r="U86" s="61"/>
      <c r="V86" s="56">
        <f>300+325</f>
        <v>625</v>
      </c>
      <c r="W86" s="54">
        <v>2</v>
      </c>
      <c r="X86" s="54" t="s">
        <v>139</v>
      </c>
      <c r="Y86" s="52"/>
      <c r="Z86" s="54"/>
      <c r="AA86" s="55"/>
      <c r="AB86" s="56"/>
      <c r="AC86" s="54"/>
      <c r="AD86" s="6">
        <f t="shared" si="5"/>
        <v>3950</v>
      </c>
      <c r="AE86" s="49">
        <v>120</v>
      </c>
      <c r="AF86" s="5" t="s">
        <v>15</v>
      </c>
    </row>
    <row r="87" spans="1:32" ht="15.75" thickBot="1">
      <c r="A87" s="11">
        <v>43911</v>
      </c>
      <c r="B87" s="2">
        <f t="shared" si="3"/>
        <v>120</v>
      </c>
      <c r="C87" s="3">
        <v>4764</v>
      </c>
      <c r="D87" s="4">
        <v>3785</v>
      </c>
      <c r="E87" s="124"/>
      <c r="F87" s="10">
        <v>980</v>
      </c>
      <c r="G87" s="3"/>
      <c r="H87" s="4"/>
      <c r="I87" s="52">
        <v>200</v>
      </c>
      <c r="J87" s="53">
        <v>1</v>
      </c>
      <c r="K87" s="54" t="s">
        <v>250</v>
      </c>
      <c r="L87" s="52"/>
      <c r="M87" s="53"/>
      <c r="N87" s="53"/>
      <c r="O87" s="52"/>
      <c r="P87" s="54"/>
      <c r="Q87" s="52"/>
      <c r="R87" s="53"/>
      <c r="S87" s="57"/>
      <c r="T87" s="92"/>
      <c r="U87" s="61"/>
      <c r="V87" s="56"/>
      <c r="W87" s="54"/>
      <c r="X87" s="54"/>
      <c r="Y87" s="52">
        <v>290</v>
      </c>
      <c r="Z87" s="54">
        <v>1</v>
      </c>
      <c r="AA87" s="55" t="s">
        <v>130</v>
      </c>
      <c r="AB87" s="56" t="s">
        <v>249</v>
      </c>
      <c r="AC87" s="54">
        <v>200</v>
      </c>
      <c r="AD87" s="6">
        <f>B87+F87-L87-G87-I87-V87-AC87-AE87</f>
        <v>600</v>
      </c>
      <c r="AE87" s="49">
        <v>100</v>
      </c>
      <c r="AF87" s="5" t="s">
        <v>15</v>
      </c>
    </row>
    <row r="88" spans="1:32" ht="15.75" thickBot="1">
      <c r="A88" s="11">
        <v>43912</v>
      </c>
      <c r="B88" s="2">
        <f t="shared" si="3"/>
        <v>100</v>
      </c>
      <c r="C88" s="3">
        <v>5700</v>
      </c>
      <c r="D88" s="4">
        <v>5030</v>
      </c>
      <c r="E88" s="124"/>
      <c r="F88" s="10">
        <f t="shared" si="4"/>
        <v>670</v>
      </c>
      <c r="G88" s="3"/>
      <c r="H88" s="4"/>
      <c r="I88" s="52"/>
      <c r="J88" s="53"/>
      <c r="K88" s="54"/>
      <c r="L88" s="52"/>
      <c r="M88" s="53"/>
      <c r="N88" s="53"/>
      <c r="O88" s="52">
        <v>160</v>
      </c>
      <c r="P88" s="54">
        <v>2</v>
      </c>
      <c r="Q88" s="52"/>
      <c r="R88" s="53"/>
      <c r="S88" s="57"/>
      <c r="T88" s="92"/>
      <c r="U88" s="61"/>
      <c r="V88" s="56">
        <f>460</f>
        <v>460</v>
      </c>
      <c r="W88" s="54">
        <v>3</v>
      </c>
      <c r="X88" s="54" t="s">
        <v>251</v>
      </c>
      <c r="Y88" s="52"/>
      <c r="Z88" s="54"/>
      <c r="AA88" s="55"/>
      <c r="AB88" s="56"/>
      <c r="AC88" s="54"/>
      <c r="AD88" s="6">
        <f t="shared" si="5"/>
        <v>200</v>
      </c>
      <c r="AE88" s="49">
        <v>110</v>
      </c>
      <c r="AF88" s="5" t="s">
        <v>91</v>
      </c>
    </row>
    <row r="89" spans="1:32" ht="15.75" thickBot="1">
      <c r="A89" s="11">
        <v>43913</v>
      </c>
      <c r="B89" s="2">
        <f t="shared" si="3"/>
        <v>110</v>
      </c>
      <c r="C89" s="3">
        <v>16080</v>
      </c>
      <c r="D89" s="4">
        <v>3520</v>
      </c>
      <c r="E89" s="124"/>
      <c r="F89" s="10">
        <f t="shared" si="4"/>
        <v>12560</v>
      </c>
      <c r="G89" s="3"/>
      <c r="H89" s="4"/>
      <c r="I89" s="52">
        <v>200</v>
      </c>
      <c r="J89" s="53">
        <v>1</v>
      </c>
      <c r="K89" s="54" t="s">
        <v>250</v>
      </c>
      <c r="L89" s="52">
        <f>290+290+250</f>
        <v>830</v>
      </c>
      <c r="M89" s="53">
        <v>3</v>
      </c>
      <c r="N89" s="53" t="s">
        <v>253</v>
      </c>
      <c r="O89" s="52"/>
      <c r="P89" s="54"/>
      <c r="Q89" s="52">
        <f>290+290+560</f>
        <v>1140</v>
      </c>
      <c r="R89" s="53">
        <v>2</v>
      </c>
      <c r="S89" s="57" t="s">
        <v>252</v>
      </c>
      <c r="T89" s="92"/>
      <c r="U89" s="61"/>
      <c r="V89" s="56">
        <f>300+350+325+400+290+315</f>
        <v>1980</v>
      </c>
      <c r="W89" s="54">
        <v>6</v>
      </c>
      <c r="X89" s="54" t="s">
        <v>254</v>
      </c>
      <c r="Y89" s="52">
        <f>525+290</f>
        <v>815</v>
      </c>
      <c r="Z89" s="54">
        <v>1</v>
      </c>
      <c r="AA89" s="55" t="s">
        <v>135</v>
      </c>
      <c r="AB89" s="56"/>
      <c r="AC89" s="54"/>
      <c r="AD89" s="6">
        <f t="shared" si="5"/>
        <v>9550</v>
      </c>
      <c r="AE89" s="49">
        <v>110</v>
      </c>
      <c r="AF89" s="5" t="s">
        <v>15</v>
      </c>
    </row>
    <row r="90" spans="1:32" ht="15.75" thickBot="1">
      <c r="A90" s="11">
        <v>43914</v>
      </c>
      <c r="B90" s="2">
        <f t="shared" si="3"/>
        <v>110</v>
      </c>
      <c r="C90" s="3">
        <v>6829</v>
      </c>
      <c r="D90" s="4">
        <v>5420</v>
      </c>
      <c r="E90" s="124"/>
      <c r="F90" s="10">
        <f t="shared" si="4"/>
        <v>1409</v>
      </c>
      <c r="G90" s="3">
        <v>400</v>
      </c>
      <c r="H90" s="4">
        <v>5</v>
      </c>
      <c r="I90" s="52">
        <f>290</f>
        <v>290</v>
      </c>
      <c r="J90" s="53">
        <v>1</v>
      </c>
      <c r="K90" s="54" t="s">
        <v>256</v>
      </c>
      <c r="L90" s="52">
        <f>290+290</f>
        <v>580</v>
      </c>
      <c r="M90" s="53">
        <v>1</v>
      </c>
      <c r="N90" s="53" t="s">
        <v>238</v>
      </c>
      <c r="O90" s="52">
        <v>240</v>
      </c>
      <c r="P90" s="54">
        <v>3</v>
      </c>
      <c r="Q90" s="52"/>
      <c r="R90" s="53"/>
      <c r="S90" s="57"/>
      <c r="T90" s="92">
        <v>240</v>
      </c>
      <c r="U90" s="61">
        <v>3</v>
      </c>
      <c r="V90" s="56">
        <v>600</v>
      </c>
      <c r="W90" s="54">
        <v>1</v>
      </c>
      <c r="X90" s="54" t="s">
        <v>255</v>
      </c>
      <c r="Y90" s="52"/>
      <c r="Z90" s="54"/>
      <c r="AA90" s="55"/>
      <c r="AB90" s="56"/>
      <c r="AC90" s="54"/>
      <c r="AD90" s="6">
        <f>B90+F90-G90-I90-V90-AC90-AE90</f>
        <v>100</v>
      </c>
      <c r="AE90" s="49">
        <v>129</v>
      </c>
      <c r="AF90" s="5" t="s">
        <v>15</v>
      </c>
    </row>
    <row r="91" spans="1:32" ht="15.75" thickBot="1">
      <c r="A91" s="11">
        <v>43915</v>
      </c>
      <c r="B91" s="2">
        <f t="shared" si="3"/>
        <v>129</v>
      </c>
      <c r="C91" s="3">
        <v>4150</v>
      </c>
      <c r="D91" s="4">
        <v>3410</v>
      </c>
      <c r="E91" s="124"/>
      <c r="F91" s="10">
        <f t="shared" si="4"/>
        <v>740</v>
      </c>
      <c r="G91" s="3"/>
      <c r="H91" s="4"/>
      <c r="I91" s="52">
        <v>200</v>
      </c>
      <c r="J91" s="53">
        <v>1</v>
      </c>
      <c r="K91" s="54" t="s">
        <v>250</v>
      </c>
      <c r="L91" s="52">
        <v>650</v>
      </c>
      <c r="M91" s="53">
        <v>2</v>
      </c>
      <c r="N91" s="53" t="s">
        <v>258</v>
      </c>
      <c r="O91" s="52"/>
      <c r="P91" s="54"/>
      <c r="Q91" s="52">
        <f>290+400</f>
        <v>690</v>
      </c>
      <c r="R91" s="53">
        <v>2</v>
      </c>
      <c r="S91" s="57" t="s">
        <v>260</v>
      </c>
      <c r="T91" s="92"/>
      <c r="U91" s="61"/>
      <c r="V91" s="56">
        <f>400+460</f>
        <v>860</v>
      </c>
      <c r="W91" s="54">
        <v>2</v>
      </c>
      <c r="X91" s="54" t="s">
        <v>257</v>
      </c>
      <c r="Y91" s="52">
        <f>525+290</f>
        <v>815</v>
      </c>
      <c r="Z91" s="54">
        <v>2</v>
      </c>
      <c r="AA91" s="55" t="s">
        <v>259</v>
      </c>
      <c r="AB91" s="56"/>
      <c r="AC91" s="54"/>
      <c r="AD91" s="6">
        <f>B91+F91-L91-G91-I91-AC91-AE91</f>
        <v>19</v>
      </c>
      <c r="AE91" s="49">
        <v>0</v>
      </c>
      <c r="AF91" s="5" t="s">
        <v>15</v>
      </c>
    </row>
    <row r="92" spans="1:32" ht="15.75" thickBot="1">
      <c r="A92" s="11">
        <v>43916</v>
      </c>
      <c r="B92" s="2">
        <f t="shared" si="3"/>
        <v>0</v>
      </c>
      <c r="C92" s="3">
        <v>7490</v>
      </c>
      <c r="D92" s="4">
        <v>4240</v>
      </c>
      <c r="E92" s="124"/>
      <c r="F92" s="10">
        <f t="shared" si="4"/>
        <v>3250</v>
      </c>
      <c r="G92" s="3"/>
      <c r="H92" s="4"/>
      <c r="I92" s="52">
        <f>290+350</f>
        <v>640</v>
      </c>
      <c r="J92" s="53">
        <v>2</v>
      </c>
      <c r="K92" s="54" t="s">
        <v>261</v>
      </c>
      <c r="L92" s="52">
        <v>290</v>
      </c>
      <c r="M92" s="53">
        <v>1</v>
      </c>
      <c r="N92" s="53" t="s">
        <v>247</v>
      </c>
      <c r="O92" s="52"/>
      <c r="P92" s="54"/>
      <c r="Q92" s="52"/>
      <c r="R92" s="53"/>
      <c r="S92" s="57"/>
      <c r="T92" s="92">
        <v>160</v>
      </c>
      <c r="U92" s="61">
        <v>2</v>
      </c>
      <c r="V92" s="56"/>
      <c r="W92" s="54"/>
      <c r="X92" s="54"/>
      <c r="Y92" s="52"/>
      <c r="Z92" s="54"/>
      <c r="AA92" s="55"/>
      <c r="AB92" s="56"/>
      <c r="AC92" s="54"/>
      <c r="AD92" s="6">
        <f t="shared" si="5"/>
        <v>2300</v>
      </c>
      <c r="AE92" s="49">
        <v>20</v>
      </c>
      <c r="AF92" s="5" t="s">
        <v>15</v>
      </c>
    </row>
    <row r="93" spans="1:32" ht="15.75" thickBot="1">
      <c r="A93" s="11">
        <v>43917</v>
      </c>
      <c r="B93" s="2">
        <f t="shared" si="3"/>
        <v>20</v>
      </c>
      <c r="C93" s="3">
        <v>4250</v>
      </c>
      <c r="D93" s="4">
        <v>2530</v>
      </c>
      <c r="E93" s="124"/>
      <c r="F93" s="10">
        <f>C93-D93-E93</f>
        <v>1720</v>
      </c>
      <c r="G93" s="3"/>
      <c r="H93" s="4"/>
      <c r="I93" s="52"/>
      <c r="J93" s="53"/>
      <c r="K93" s="54"/>
      <c r="L93" s="52"/>
      <c r="M93" s="53"/>
      <c r="N93" s="53"/>
      <c r="O93" s="52"/>
      <c r="P93" s="54"/>
      <c r="Q93" s="52"/>
      <c r="R93" s="53"/>
      <c r="S93" s="57"/>
      <c r="T93" s="92"/>
      <c r="U93" s="61"/>
      <c r="V93" s="56">
        <v>1025</v>
      </c>
      <c r="W93" s="54">
        <v>3</v>
      </c>
      <c r="X93" s="54" t="s">
        <v>263</v>
      </c>
      <c r="Y93" s="52">
        <v>290</v>
      </c>
      <c r="Z93" s="54">
        <v>1</v>
      </c>
      <c r="AA93" s="55" t="s">
        <v>262</v>
      </c>
      <c r="AB93" s="56"/>
      <c r="AC93" s="54"/>
      <c r="AD93" s="6">
        <f>B93+F93-L93-G93-I93-V93-AC93-AE93</f>
        <v>715</v>
      </c>
      <c r="AE93" s="49">
        <v>0</v>
      </c>
      <c r="AF93" s="5" t="s">
        <v>15</v>
      </c>
    </row>
    <row r="94" spans="1:32" ht="15.75" thickBot="1">
      <c r="A94" s="11">
        <v>43918</v>
      </c>
      <c r="B94" s="2">
        <f t="shared" si="3"/>
        <v>0</v>
      </c>
      <c r="C94" s="3"/>
      <c r="D94" s="4"/>
      <c r="E94" s="124"/>
      <c r="F94" s="10">
        <f t="shared" ref="F94:F96" si="6">C94-D94-E94</f>
        <v>0</v>
      </c>
      <c r="G94" s="3"/>
      <c r="H94" s="4"/>
      <c r="I94" s="52"/>
      <c r="J94" s="53"/>
      <c r="K94" s="54"/>
      <c r="L94" s="52"/>
      <c r="M94" s="53"/>
      <c r="N94" s="53"/>
      <c r="O94" s="52"/>
      <c r="P94" s="54"/>
      <c r="Q94" s="52"/>
      <c r="R94" s="53"/>
      <c r="S94" s="57"/>
      <c r="T94" s="60"/>
      <c r="U94" s="61"/>
      <c r="V94" s="56"/>
      <c r="W94" s="54"/>
      <c r="X94" s="54"/>
      <c r="Y94" s="52"/>
      <c r="Z94" s="54"/>
      <c r="AA94" s="55"/>
      <c r="AB94" s="56"/>
      <c r="AC94" s="54"/>
      <c r="AD94" s="6">
        <f>B94+F94-L94-G94-I94-V94-AC94-AE94</f>
        <v>0</v>
      </c>
      <c r="AE94" s="49">
        <v>0</v>
      </c>
      <c r="AF94" s="5" t="s">
        <v>15</v>
      </c>
    </row>
    <row r="95" spans="1:32" ht="15.75" thickBot="1">
      <c r="A95" s="11">
        <v>43919</v>
      </c>
      <c r="B95" s="2">
        <f t="shared" si="3"/>
        <v>0</v>
      </c>
      <c r="C95" s="3"/>
      <c r="D95" s="4"/>
      <c r="E95" s="124"/>
      <c r="F95" s="10">
        <f t="shared" si="6"/>
        <v>0</v>
      </c>
      <c r="G95" s="3"/>
      <c r="H95" s="4"/>
      <c r="I95" s="52"/>
      <c r="J95" s="53"/>
      <c r="K95" s="54"/>
      <c r="L95" s="52"/>
      <c r="M95" s="53"/>
      <c r="N95" s="53"/>
      <c r="O95" s="52"/>
      <c r="P95" s="54"/>
      <c r="Q95" s="52"/>
      <c r="R95" s="53"/>
      <c r="S95" s="57"/>
      <c r="T95" s="60"/>
      <c r="U95" s="61"/>
      <c r="V95" s="56"/>
      <c r="W95" s="54"/>
      <c r="X95" s="54"/>
      <c r="Y95" s="52"/>
      <c r="Z95" s="54"/>
      <c r="AA95" s="55"/>
      <c r="AB95" s="56"/>
      <c r="AC95" s="54"/>
      <c r="AD95" s="6">
        <f t="shared" si="5"/>
        <v>0</v>
      </c>
      <c r="AE95" s="49">
        <v>0</v>
      </c>
      <c r="AF95" s="5" t="s">
        <v>15</v>
      </c>
    </row>
    <row r="96" spans="1:32" ht="15.75" thickBot="1">
      <c r="A96" s="11">
        <v>43920</v>
      </c>
      <c r="B96" s="2">
        <f t="shared" si="3"/>
        <v>0</v>
      </c>
      <c r="C96" s="3"/>
      <c r="D96" s="4"/>
      <c r="E96" s="124"/>
      <c r="F96" s="10">
        <f t="shared" si="6"/>
        <v>0</v>
      </c>
      <c r="G96" s="3"/>
      <c r="H96" s="4"/>
      <c r="I96" s="52"/>
      <c r="J96" s="53"/>
      <c r="K96" s="54"/>
      <c r="L96" s="52"/>
      <c r="M96" s="53"/>
      <c r="N96" s="53"/>
      <c r="O96" s="52"/>
      <c r="P96" s="54"/>
      <c r="Q96" s="52"/>
      <c r="R96" s="53"/>
      <c r="S96" s="57"/>
      <c r="T96" s="60"/>
      <c r="U96" s="61"/>
      <c r="V96" s="56"/>
      <c r="W96" s="54"/>
      <c r="X96" s="54"/>
      <c r="Y96" s="52"/>
      <c r="Z96" s="54"/>
      <c r="AA96" s="55"/>
      <c r="AB96" s="56"/>
      <c r="AC96" s="54"/>
      <c r="AD96" s="6">
        <f t="shared" si="5"/>
        <v>0</v>
      </c>
      <c r="AE96" s="49">
        <v>0</v>
      </c>
      <c r="AF96" s="5" t="s">
        <v>15</v>
      </c>
    </row>
    <row r="97" spans="1:32" ht="15.75" thickBot="1">
      <c r="A97" s="11">
        <v>43921</v>
      </c>
      <c r="B97" s="2">
        <f t="shared" si="3"/>
        <v>0</v>
      </c>
      <c r="C97" s="3"/>
      <c r="D97" s="4"/>
      <c r="E97" s="124"/>
      <c r="F97" s="10">
        <f t="shared" si="4"/>
        <v>0</v>
      </c>
      <c r="G97" s="3"/>
      <c r="H97" s="4"/>
      <c r="I97" s="52"/>
      <c r="J97" s="53"/>
      <c r="K97" s="54"/>
      <c r="L97" s="52"/>
      <c r="M97" s="53"/>
      <c r="N97" s="53"/>
      <c r="O97" s="52"/>
      <c r="P97" s="54"/>
      <c r="Q97" s="52"/>
      <c r="R97" s="53"/>
      <c r="S97" s="57"/>
      <c r="T97" s="60"/>
      <c r="U97" s="61"/>
      <c r="V97" s="56"/>
      <c r="W97" s="54"/>
      <c r="X97" s="54"/>
      <c r="Y97" s="52"/>
      <c r="Z97" s="54"/>
      <c r="AA97" s="55"/>
      <c r="AB97" s="56"/>
      <c r="AC97" s="54"/>
      <c r="AD97" s="6">
        <f t="shared" si="5"/>
        <v>0</v>
      </c>
      <c r="AE97" s="49">
        <v>0</v>
      </c>
      <c r="AF97" s="5" t="s">
        <v>15</v>
      </c>
    </row>
    <row r="98" spans="1:32" ht="15.75" thickBot="1">
      <c r="A98" s="11">
        <v>43922</v>
      </c>
      <c r="B98" s="2">
        <f t="shared" si="3"/>
        <v>0</v>
      </c>
      <c r="C98" s="3"/>
      <c r="D98" s="4"/>
      <c r="E98" s="124"/>
      <c r="F98" s="10">
        <f t="shared" si="4"/>
        <v>0</v>
      </c>
      <c r="G98" s="3"/>
      <c r="H98" s="4"/>
      <c r="I98" s="52"/>
      <c r="J98" s="53"/>
      <c r="K98" s="54"/>
      <c r="L98" s="52"/>
      <c r="M98" s="53"/>
      <c r="N98" s="53"/>
      <c r="O98" s="52"/>
      <c r="P98" s="54"/>
      <c r="Q98" s="52"/>
      <c r="R98" s="53"/>
      <c r="S98" s="57"/>
      <c r="T98" s="60"/>
      <c r="U98" s="61"/>
      <c r="V98" s="56"/>
      <c r="W98" s="54"/>
      <c r="X98" s="54"/>
      <c r="Y98" s="52"/>
      <c r="Z98" s="54"/>
      <c r="AA98" s="55"/>
      <c r="AB98" s="56"/>
      <c r="AC98" s="54"/>
      <c r="AD98" s="6">
        <f t="shared" si="5"/>
        <v>0</v>
      </c>
      <c r="AE98" s="49">
        <v>0</v>
      </c>
      <c r="AF98" s="5" t="s">
        <v>15</v>
      </c>
    </row>
    <row r="99" spans="1:32" ht="15.75" thickBot="1">
      <c r="A99" s="11">
        <v>43923</v>
      </c>
      <c r="B99" s="2">
        <f t="shared" si="3"/>
        <v>0</v>
      </c>
      <c r="C99" s="3"/>
      <c r="D99" s="4"/>
      <c r="E99" s="124"/>
      <c r="F99" s="10">
        <f t="shared" si="4"/>
        <v>0</v>
      </c>
      <c r="G99" s="3"/>
      <c r="H99" s="4"/>
      <c r="I99" s="52"/>
      <c r="J99" s="53"/>
      <c r="K99" s="54"/>
      <c r="L99" s="52"/>
      <c r="M99" s="53"/>
      <c r="N99" s="53"/>
      <c r="O99" s="52"/>
      <c r="P99" s="54"/>
      <c r="Q99" s="52"/>
      <c r="R99" s="53"/>
      <c r="S99" s="57"/>
      <c r="T99" s="60"/>
      <c r="U99" s="61"/>
      <c r="V99" s="56"/>
      <c r="W99" s="54"/>
      <c r="X99" s="54"/>
      <c r="Y99" s="52"/>
      <c r="Z99" s="54"/>
      <c r="AA99" s="55"/>
      <c r="AB99" s="56"/>
      <c r="AC99" s="54"/>
      <c r="AD99" s="6">
        <f t="shared" si="5"/>
        <v>0</v>
      </c>
      <c r="AE99" s="49">
        <v>0</v>
      </c>
      <c r="AF99" s="5" t="s">
        <v>15</v>
      </c>
    </row>
    <row r="100" spans="1:32" ht="15.75" thickBot="1">
      <c r="A100" s="11">
        <v>43924</v>
      </c>
      <c r="B100" s="2">
        <f t="shared" si="3"/>
        <v>0</v>
      </c>
      <c r="C100" s="3"/>
      <c r="D100" s="4"/>
      <c r="E100" s="124"/>
      <c r="F100" s="10">
        <f t="shared" si="4"/>
        <v>0</v>
      </c>
      <c r="G100" s="3"/>
      <c r="H100" s="4"/>
      <c r="I100" s="52"/>
      <c r="J100" s="53"/>
      <c r="K100" s="54"/>
      <c r="L100" s="52"/>
      <c r="M100" s="53"/>
      <c r="N100" s="53"/>
      <c r="O100" s="52"/>
      <c r="P100" s="54"/>
      <c r="Q100" s="52"/>
      <c r="R100" s="53"/>
      <c r="S100" s="57"/>
      <c r="T100" s="60"/>
      <c r="U100" s="61"/>
      <c r="V100" s="56"/>
      <c r="W100" s="54"/>
      <c r="X100" s="54"/>
      <c r="Y100" s="52"/>
      <c r="Z100" s="54"/>
      <c r="AA100" s="55"/>
      <c r="AB100" s="56"/>
      <c r="AC100" s="54"/>
      <c r="AD100" s="6">
        <f t="shared" si="5"/>
        <v>0</v>
      </c>
      <c r="AE100" s="49">
        <v>0</v>
      </c>
      <c r="AF100" s="5" t="s">
        <v>15</v>
      </c>
    </row>
    <row r="101" spans="1:32" ht="15.75" thickBot="1">
      <c r="A101" s="11">
        <v>43925</v>
      </c>
      <c r="B101" s="2">
        <f t="shared" si="3"/>
        <v>0</v>
      </c>
      <c r="C101" s="3"/>
      <c r="D101" s="4"/>
      <c r="E101" s="124"/>
      <c r="F101" s="10">
        <f t="shared" si="4"/>
        <v>0</v>
      </c>
      <c r="G101" s="3"/>
      <c r="H101" s="4"/>
      <c r="I101" s="52"/>
      <c r="J101" s="53"/>
      <c r="K101" s="54"/>
      <c r="L101" s="52"/>
      <c r="M101" s="53"/>
      <c r="N101" s="53"/>
      <c r="O101" s="52"/>
      <c r="P101" s="54"/>
      <c r="Q101" s="52"/>
      <c r="R101" s="53"/>
      <c r="S101" s="57"/>
      <c r="T101" s="60"/>
      <c r="U101" s="61"/>
      <c r="V101" s="56"/>
      <c r="W101" s="54"/>
      <c r="X101" s="54"/>
      <c r="Y101" s="52"/>
      <c r="Z101" s="54"/>
      <c r="AA101" s="55"/>
      <c r="AB101" s="56"/>
      <c r="AC101" s="54"/>
      <c r="AD101" s="6">
        <f t="shared" si="5"/>
        <v>0</v>
      </c>
      <c r="AE101" s="49">
        <v>0</v>
      </c>
      <c r="AF101" s="5" t="s">
        <v>15</v>
      </c>
    </row>
    <row r="102" spans="1:32" ht="15.75" thickBot="1">
      <c r="A102" s="11">
        <v>43926</v>
      </c>
      <c r="B102" s="2">
        <f t="shared" si="3"/>
        <v>0</v>
      </c>
      <c r="C102" s="3"/>
      <c r="D102" s="4"/>
      <c r="E102" s="124"/>
      <c r="F102" s="10">
        <f t="shared" si="4"/>
        <v>0</v>
      </c>
      <c r="G102" s="3"/>
      <c r="H102" s="4"/>
      <c r="I102" s="52"/>
      <c r="J102" s="53"/>
      <c r="K102" s="54"/>
      <c r="L102" s="52"/>
      <c r="M102" s="53"/>
      <c r="N102" s="53"/>
      <c r="O102" s="52"/>
      <c r="P102" s="54"/>
      <c r="Q102" s="52"/>
      <c r="R102" s="53"/>
      <c r="S102" s="57"/>
      <c r="T102" s="60"/>
      <c r="U102" s="61"/>
      <c r="V102" s="56"/>
      <c r="W102" s="54"/>
      <c r="X102" s="54"/>
      <c r="Y102" s="52"/>
      <c r="Z102" s="54"/>
      <c r="AA102" s="55"/>
      <c r="AB102" s="56"/>
      <c r="AC102" s="54"/>
      <c r="AD102" s="6">
        <f t="shared" si="5"/>
        <v>0</v>
      </c>
      <c r="AE102" s="49">
        <v>0</v>
      </c>
      <c r="AF102" s="5" t="s">
        <v>15</v>
      </c>
    </row>
    <row r="103" spans="1:32" ht="15.75" thickBot="1">
      <c r="A103" s="11">
        <v>43927</v>
      </c>
      <c r="B103" s="2">
        <f t="shared" si="3"/>
        <v>0</v>
      </c>
      <c r="C103" s="3"/>
      <c r="D103" s="4"/>
      <c r="E103" s="124"/>
      <c r="F103" s="10">
        <f t="shared" si="4"/>
        <v>0</v>
      </c>
      <c r="G103" s="3"/>
      <c r="H103" s="4"/>
      <c r="I103" s="52"/>
      <c r="J103" s="53"/>
      <c r="K103" s="54"/>
      <c r="L103" s="52"/>
      <c r="M103" s="53"/>
      <c r="N103" s="53"/>
      <c r="O103" s="52"/>
      <c r="P103" s="54"/>
      <c r="Q103" s="52"/>
      <c r="R103" s="53"/>
      <c r="S103" s="57"/>
      <c r="T103" s="60"/>
      <c r="U103" s="61"/>
      <c r="V103" s="56"/>
      <c r="W103" s="54"/>
      <c r="X103" s="54"/>
      <c r="Y103" s="52"/>
      <c r="Z103" s="54"/>
      <c r="AA103" s="55"/>
      <c r="AB103" s="56"/>
      <c r="AC103" s="54"/>
      <c r="AD103" s="6">
        <f t="shared" si="5"/>
        <v>0</v>
      </c>
      <c r="AE103" s="49">
        <v>0</v>
      </c>
      <c r="AF103" s="5" t="s">
        <v>15</v>
      </c>
    </row>
    <row r="104" spans="1:32" ht="15.75" thickBot="1">
      <c r="A104" s="11">
        <v>43928</v>
      </c>
      <c r="B104" s="2">
        <f t="shared" si="3"/>
        <v>0</v>
      </c>
      <c r="C104" s="3"/>
      <c r="D104" s="4"/>
      <c r="E104" s="124"/>
      <c r="F104" s="10">
        <f t="shared" si="4"/>
        <v>0</v>
      </c>
      <c r="G104" s="3"/>
      <c r="H104" s="4"/>
      <c r="I104" s="52"/>
      <c r="J104" s="53"/>
      <c r="K104" s="54"/>
      <c r="L104" s="52"/>
      <c r="M104" s="53"/>
      <c r="N104" s="53"/>
      <c r="O104" s="52"/>
      <c r="P104" s="54"/>
      <c r="Q104" s="52"/>
      <c r="R104" s="53"/>
      <c r="S104" s="57"/>
      <c r="T104" s="60"/>
      <c r="U104" s="61"/>
      <c r="V104" s="56"/>
      <c r="W104" s="54"/>
      <c r="X104" s="54"/>
      <c r="Y104" s="52"/>
      <c r="Z104" s="54"/>
      <c r="AA104" s="55"/>
      <c r="AB104" s="56"/>
      <c r="AC104" s="54"/>
      <c r="AD104" s="6">
        <f t="shared" si="5"/>
        <v>0</v>
      </c>
      <c r="AE104" s="49">
        <v>0</v>
      </c>
      <c r="AF104" s="5" t="s">
        <v>15</v>
      </c>
    </row>
    <row r="105" spans="1:32" ht="15.75" thickBot="1">
      <c r="A105" s="11">
        <v>43929</v>
      </c>
      <c r="B105" s="2">
        <f t="shared" si="3"/>
        <v>0</v>
      </c>
      <c r="C105" s="3"/>
      <c r="D105" s="4"/>
      <c r="E105" s="124"/>
      <c r="F105" s="10">
        <f t="shared" si="4"/>
        <v>0</v>
      </c>
      <c r="G105" s="3"/>
      <c r="H105" s="4"/>
      <c r="I105" s="52"/>
      <c r="J105" s="53"/>
      <c r="K105" s="54"/>
      <c r="L105" s="52"/>
      <c r="M105" s="53"/>
      <c r="N105" s="53"/>
      <c r="O105" s="52"/>
      <c r="P105" s="54"/>
      <c r="Q105" s="52"/>
      <c r="R105" s="53"/>
      <c r="S105" s="57"/>
      <c r="T105" s="60"/>
      <c r="U105" s="61"/>
      <c r="V105" s="56"/>
      <c r="W105" s="54"/>
      <c r="X105" s="54"/>
      <c r="Y105" s="52"/>
      <c r="Z105" s="54"/>
      <c r="AA105" s="55"/>
      <c r="AB105" s="56"/>
      <c r="AC105" s="54"/>
      <c r="AD105" s="6">
        <f t="shared" si="5"/>
        <v>0</v>
      </c>
      <c r="AE105" s="49">
        <v>0</v>
      </c>
      <c r="AF105" s="5" t="s">
        <v>15</v>
      </c>
    </row>
    <row r="106" spans="1:32" ht="15.75" thickBot="1">
      <c r="A106" s="11">
        <v>43930</v>
      </c>
      <c r="B106" s="2">
        <f t="shared" si="3"/>
        <v>0</v>
      </c>
      <c r="C106" s="3"/>
      <c r="D106" s="4"/>
      <c r="E106" s="124"/>
      <c r="F106" s="10">
        <f t="shared" si="4"/>
        <v>0</v>
      </c>
      <c r="G106" s="3"/>
      <c r="H106" s="4"/>
      <c r="I106" s="52"/>
      <c r="J106" s="53"/>
      <c r="K106" s="54"/>
      <c r="L106" s="52"/>
      <c r="M106" s="53"/>
      <c r="N106" s="53"/>
      <c r="O106" s="52"/>
      <c r="P106" s="54"/>
      <c r="Q106" s="52"/>
      <c r="R106" s="53"/>
      <c r="S106" s="57"/>
      <c r="T106" s="60"/>
      <c r="U106" s="61"/>
      <c r="V106" s="56"/>
      <c r="W106" s="54"/>
      <c r="X106" s="54"/>
      <c r="Y106" s="52"/>
      <c r="Z106" s="54"/>
      <c r="AA106" s="55"/>
      <c r="AB106" s="56"/>
      <c r="AC106" s="54"/>
      <c r="AD106" s="6">
        <f t="shared" si="5"/>
        <v>0</v>
      </c>
      <c r="AE106" s="49">
        <v>0</v>
      </c>
      <c r="AF106" s="5" t="s">
        <v>15</v>
      </c>
    </row>
    <row r="107" spans="1:32" ht="15.75" thickBot="1">
      <c r="A107" s="11">
        <v>43931</v>
      </c>
      <c r="B107" s="2">
        <f t="shared" si="3"/>
        <v>0</v>
      </c>
      <c r="C107" s="3"/>
      <c r="D107" s="4"/>
      <c r="E107" s="124"/>
      <c r="F107" s="10">
        <f t="shared" si="4"/>
        <v>0</v>
      </c>
      <c r="G107" s="3"/>
      <c r="H107" s="4"/>
      <c r="I107" s="52"/>
      <c r="J107" s="53"/>
      <c r="K107" s="54"/>
      <c r="L107" s="52"/>
      <c r="M107" s="53"/>
      <c r="N107" s="53"/>
      <c r="O107" s="52"/>
      <c r="P107" s="54"/>
      <c r="Q107" s="52"/>
      <c r="R107" s="53"/>
      <c r="S107" s="57"/>
      <c r="T107" s="60"/>
      <c r="U107" s="61"/>
      <c r="V107" s="56"/>
      <c r="W107" s="54"/>
      <c r="X107" s="54"/>
      <c r="Y107" s="52"/>
      <c r="Z107" s="54"/>
      <c r="AA107" s="55"/>
      <c r="AB107" s="56"/>
      <c r="AC107" s="54"/>
      <c r="AD107" s="6">
        <f t="shared" si="5"/>
        <v>0</v>
      </c>
      <c r="AE107" s="49">
        <v>0</v>
      </c>
      <c r="AF107" s="5" t="s">
        <v>15</v>
      </c>
    </row>
    <row r="108" spans="1:32" ht="15.75" thickBot="1">
      <c r="A108" s="11">
        <v>43932</v>
      </c>
      <c r="B108" s="2">
        <f t="shared" si="3"/>
        <v>0</v>
      </c>
      <c r="C108" s="3"/>
      <c r="D108" s="4"/>
      <c r="E108" s="124"/>
      <c r="F108" s="10">
        <f t="shared" si="4"/>
        <v>0</v>
      </c>
      <c r="G108" s="3"/>
      <c r="H108" s="4"/>
      <c r="I108" s="52"/>
      <c r="J108" s="53"/>
      <c r="K108" s="54"/>
      <c r="L108" s="52"/>
      <c r="M108" s="53"/>
      <c r="N108" s="53"/>
      <c r="O108" s="52"/>
      <c r="P108" s="54"/>
      <c r="Q108" s="52"/>
      <c r="R108" s="53"/>
      <c r="S108" s="57"/>
      <c r="T108" s="60"/>
      <c r="U108" s="61"/>
      <c r="V108" s="56"/>
      <c r="W108" s="54"/>
      <c r="X108" s="54"/>
      <c r="Y108" s="52"/>
      <c r="Z108" s="54"/>
      <c r="AA108" s="55"/>
      <c r="AB108" s="56"/>
      <c r="AC108" s="54"/>
      <c r="AD108" s="6">
        <f t="shared" si="5"/>
        <v>0</v>
      </c>
      <c r="AE108" s="49">
        <v>0</v>
      </c>
      <c r="AF108" s="5" t="s">
        <v>15</v>
      </c>
    </row>
    <row r="109" spans="1:32" ht="15.75" thickBot="1">
      <c r="A109" s="11">
        <v>43933</v>
      </c>
      <c r="B109" s="2">
        <f t="shared" si="3"/>
        <v>0</v>
      </c>
      <c r="C109" s="3"/>
      <c r="D109" s="4"/>
      <c r="E109" s="124"/>
      <c r="F109" s="10">
        <f t="shared" si="4"/>
        <v>0</v>
      </c>
      <c r="G109" s="3"/>
      <c r="H109" s="4"/>
      <c r="I109" s="52"/>
      <c r="J109" s="53"/>
      <c r="K109" s="54"/>
      <c r="L109" s="52"/>
      <c r="M109" s="53"/>
      <c r="N109" s="53"/>
      <c r="O109" s="52"/>
      <c r="P109" s="54"/>
      <c r="Q109" s="52"/>
      <c r="R109" s="53"/>
      <c r="S109" s="57"/>
      <c r="T109" s="60"/>
      <c r="U109" s="61"/>
      <c r="V109" s="56"/>
      <c r="W109" s="54"/>
      <c r="X109" s="54"/>
      <c r="Y109" s="52"/>
      <c r="Z109" s="54"/>
      <c r="AA109" s="55"/>
      <c r="AB109" s="56"/>
      <c r="AC109" s="54"/>
      <c r="AD109" s="6">
        <f t="shared" si="5"/>
        <v>0</v>
      </c>
      <c r="AE109" s="49">
        <v>0</v>
      </c>
      <c r="AF109" s="5" t="s">
        <v>15</v>
      </c>
    </row>
    <row r="110" spans="1:32" ht="15.75" thickBot="1">
      <c r="A110" s="11">
        <v>43934</v>
      </c>
      <c r="B110" s="2">
        <f t="shared" si="3"/>
        <v>0</v>
      </c>
      <c r="C110" s="3"/>
      <c r="D110" s="4"/>
      <c r="E110" s="124"/>
      <c r="F110" s="10">
        <f t="shared" si="4"/>
        <v>0</v>
      </c>
      <c r="G110" s="3"/>
      <c r="H110" s="4"/>
      <c r="I110" s="52"/>
      <c r="J110" s="53"/>
      <c r="K110" s="54"/>
      <c r="L110" s="52"/>
      <c r="M110" s="53"/>
      <c r="N110" s="53"/>
      <c r="O110" s="52"/>
      <c r="P110" s="54"/>
      <c r="Q110" s="52"/>
      <c r="R110" s="53"/>
      <c r="S110" s="57"/>
      <c r="T110" s="60"/>
      <c r="U110" s="61"/>
      <c r="V110" s="56"/>
      <c r="W110" s="54"/>
      <c r="X110" s="54"/>
      <c r="Y110" s="52"/>
      <c r="Z110" s="54"/>
      <c r="AA110" s="55"/>
      <c r="AB110" s="56"/>
      <c r="AC110" s="54"/>
      <c r="AD110" s="6">
        <f t="shared" si="5"/>
        <v>0</v>
      </c>
      <c r="AE110" s="49">
        <v>0</v>
      </c>
      <c r="AF110" s="5" t="s">
        <v>15</v>
      </c>
    </row>
    <row r="111" spans="1:32" ht="15.75" thickBot="1">
      <c r="A111" s="11">
        <v>43935</v>
      </c>
      <c r="B111" s="2">
        <f t="shared" si="3"/>
        <v>0</v>
      </c>
      <c r="C111" s="3"/>
      <c r="D111" s="4"/>
      <c r="E111" s="124"/>
      <c r="F111" s="10">
        <f t="shared" si="4"/>
        <v>0</v>
      </c>
      <c r="G111" s="3"/>
      <c r="H111" s="4"/>
      <c r="I111" s="52"/>
      <c r="J111" s="53"/>
      <c r="K111" s="54"/>
      <c r="L111" s="52"/>
      <c r="M111" s="53"/>
      <c r="N111" s="53"/>
      <c r="O111" s="52"/>
      <c r="P111" s="54"/>
      <c r="Q111" s="52"/>
      <c r="R111" s="53"/>
      <c r="S111" s="57"/>
      <c r="T111" s="60"/>
      <c r="U111" s="61"/>
      <c r="V111" s="56"/>
      <c r="W111" s="54"/>
      <c r="X111" s="54"/>
      <c r="Y111" s="52"/>
      <c r="Z111" s="54"/>
      <c r="AA111" s="55"/>
      <c r="AB111" s="56"/>
      <c r="AC111" s="54"/>
      <c r="AD111" s="6">
        <f t="shared" si="5"/>
        <v>0</v>
      </c>
      <c r="AE111" s="49">
        <v>0</v>
      </c>
      <c r="AF111" s="5" t="s">
        <v>15</v>
      </c>
    </row>
    <row r="112" spans="1:32" ht="15.75" thickBot="1">
      <c r="A112" s="11">
        <v>43936</v>
      </c>
      <c r="B112" s="2">
        <f t="shared" si="3"/>
        <v>0</v>
      </c>
      <c r="C112" s="3"/>
      <c r="D112" s="4"/>
      <c r="E112" s="124"/>
      <c r="F112" s="10">
        <f t="shared" si="4"/>
        <v>0</v>
      </c>
      <c r="G112" s="3"/>
      <c r="H112" s="4"/>
      <c r="I112" s="52"/>
      <c r="J112" s="53"/>
      <c r="K112" s="54"/>
      <c r="L112" s="52"/>
      <c r="M112" s="53"/>
      <c r="N112" s="53"/>
      <c r="O112" s="52"/>
      <c r="P112" s="54"/>
      <c r="Q112" s="52"/>
      <c r="R112" s="53"/>
      <c r="S112" s="57"/>
      <c r="T112" s="60"/>
      <c r="U112" s="61"/>
      <c r="V112" s="56"/>
      <c r="W112" s="54"/>
      <c r="X112" s="54"/>
      <c r="Y112" s="52"/>
      <c r="Z112" s="54"/>
      <c r="AA112" s="55"/>
      <c r="AB112" s="56"/>
      <c r="AC112" s="54"/>
      <c r="AD112" s="6">
        <f t="shared" si="5"/>
        <v>0</v>
      </c>
      <c r="AE112" s="49">
        <v>0</v>
      </c>
      <c r="AF112" s="5" t="s">
        <v>15</v>
      </c>
    </row>
    <row r="113" spans="1:32" ht="15.75" thickBot="1">
      <c r="A113" s="11">
        <v>43937</v>
      </c>
      <c r="B113" s="2">
        <f t="shared" si="3"/>
        <v>0</v>
      </c>
      <c r="C113" s="3"/>
      <c r="D113" s="4"/>
      <c r="E113" s="124"/>
      <c r="F113" s="10">
        <f t="shared" si="4"/>
        <v>0</v>
      </c>
      <c r="G113" s="3"/>
      <c r="H113" s="4"/>
      <c r="I113" s="52"/>
      <c r="J113" s="53"/>
      <c r="K113" s="54"/>
      <c r="L113" s="52"/>
      <c r="M113" s="53"/>
      <c r="N113" s="53"/>
      <c r="O113" s="52"/>
      <c r="P113" s="54"/>
      <c r="Q113" s="52"/>
      <c r="R113" s="53"/>
      <c r="S113" s="57"/>
      <c r="T113" s="60"/>
      <c r="U113" s="61"/>
      <c r="V113" s="56"/>
      <c r="W113" s="54"/>
      <c r="X113" s="54"/>
      <c r="Y113" s="52"/>
      <c r="Z113" s="54"/>
      <c r="AA113" s="55"/>
      <c r="AB113" s="56"/>
      <c r="AC113" s="54"/>
      <c r="AD113" s="6">
        <f t="shared" si="5"/>
        <v>0</v>
      </c>
      <c r="AE113" s="49">
        <v>0</v>
      </c>
      <c r="AF113" s="5" t="s">
        <v>15</v>
      </c>
    </row>
    <row r="114" spans="1:32" ht="15.75" thickBot="1">
      <c r="A114" s="11">
        <v>43938</v>
      </c>
      <c r="B114" s="2">
        <f t="shared" si="3"/>
        <v>0</v>
      </c>
      <c r="C114" s="3"/>
      <c r="D114" s="4"/>
      <c r="E114" s="124"/>
      <c r="F114" s="10">
        <f t="shared" si="4"/>
        <v>0</v>
      </c>
      <c r="G114" s="3"/>
      <c r="H114" s="4"/>
      <c r="I114" s="52"/>
      <c r="J114" s="53"/>
      <c r="K114" s="54"/>
      <c r="L114" s="52"/>
      <c r="M114" s="53"/>
      <c r="N114" s="53"/>
      <c r="O114" s="52"/>
      <c r="P114" s="54"/>
      <c r="Q114" s="52"/>
      <c r="R114" s="53"/>
      <c r="S114" s="57"/>
      <c r="T114" s="60"/>
      <c r="U114" s="61"/>
      <c r="V114" s="56"/>
      <c r="W114" s="54"/>
      <c r="X114" s="54"/>
      <c r="Y114" s="52"/>
      <c r="Z114" s="54"/>
      <c r="AA114" s="55"/>
      <c r="AB114" s="56"/>
      <c r="AC114" s="54"/>
      <c r="AD114" s="6">
        <f t="shared" si="5"/>
        <v>0</v>
      </c>
      <c r="AE114" s="49">
        <v>0</v>
      </c>
      <c r="AF114" s="5" t="s">
        <v>15</v>
      </c>
    </row>
    <row r="115" spans="1:32" ht="15.75" thickBot="1">
      <c r="A115" s="11">
        <v>43939</v>
      </c>
      <c r="B115" s="2">
        <f t="shared" si="3"/>
        <v>0</v>
      </c>
      <c r="C115" s="3"/>
      <c r="D115" s="4"/>
      <c r="E115" s="124"/>
      <c r="F115" s="10">
        <f t="shared" si="4"/>
        <v>0</v>
      </c>
      <c r="G115" s="3"/>
      <c r="H115" s="4"/>
      <c r="I115" s="52"/>
      <c r="J115" s="53"/>
      <c r="K115" s="54"/>
      <c r="L115" s="52"/>
      <c r="M115" s="53"/>
      <c r="N115" s="53"/>
      <c r="O115" s="52"/>
      <c r="P115" s="54"/>
      <c r="Q115" s="52"/>
      <c r="R115" s="53"/>
      <c r="S115" s="57"/>
      <c r="T115" s="60"/>
      <c r="U115" s="61"/>
      <c r="V115" s="56"/>
      <c r="W115" s="54"/>
      <c r="X115" s="54"/>
      <c r="Y115" s="52"/>
      <c r="Z115" s="54"/>
      <c r="AA115" s="55"/>
      <c r="AB115" s="56"/>
      <c r="AC115" s="54"/>
      <c r="AD115" s="6">
        <f t="shared" si="5"/>
        <v>0</v>
      </c>
      <c r="AE115" s="49">
        <v>0</v>
      </c>
      <c r="AF115" s="5" t="s">
        <v>15</v>
      </c>
    </row>
    <row r="116" spans="1:32" ht="15.75" thickBot="1">
      <c r="A116" s="11">
        <v>43940</v>
      </c>
      <c r="B116" s="2">
        <f t="shared" si="3"/>
        <v>0</v>
      </c>
      <c r="C116" s="3"/>
      <c r="D116" s="4"/>
      <c r="E116" s="124"/>
      <c r="F116" s="10">
        <f t="shared" si="4"/>
        <v>0</v>
      </c>
      <c r="G116" s="3"/>
      <c r="H116" s="4"/>
      <c r="I116" s="52"/>
      <c r="J116" s="53"/>
      <c r="K116" s="54"/>
      <c r="L116" s="52"/>
      <c r="M116" s="53"/>
      <c r="N116" s="53"/>
      <c r="O116" s="52"/>
      <c r="P116" s="54"/>
      <c r="Q116" s="52"/>
      <c r="R116" s="53"/>
      <c r="S116" s="57"/>
      <c r="T116" s="60"/>
      <c r="U116" s="61"/>
      <c r="V116" s="56"/>
      <c r="W116" s="54"/>
      <c r="X116" s="54"/>
      <c r="Y116" s="52"/>
      <c r="Z116" s="54"/>
      <c r="AA116" s="55"/>
      <c r="AB116" s="56"/>
      <c r="AC116" s="54"/>
      <c r="AD116" s="6">
        <f t="shared" si="5"/>
        <v>0</v>
      </c>
      <c r="AE116" s="49">
        <v>0</v>
      </c>
      <c r="AF116" s="5" t="s">
        <v>15</v>
      </c>
    </row>
    <row r="117" spans="1:32" ht="15.75" thickBot="1">
      <c r="A117" s="11">
        <v>43941</v>
      </c>
      <c r="B117" s="2">
        <f t="shared" si="3"/>
        <v>0</v>
      </c>
      <c r="C117" s="3"/>
      <c r="D117" s="4"/>
      <c r="E117" s="124"/>
      <c r="F117" s="10">
        <f t="shared" si="4"/>
        <v>0</v>
      </c>
      <c r="G117" s="3"/>
      <c r="H117" s="4"/>
      <c r="I117" s="52"/>
      <c r="J117" s="53"/>
      <c r="K117" s="54"/>
      <c r="L117" s="52"/>
      <c r="M117" s="53"/>
      <c r="N117" s="53"/>
      <c r="O117" s="52"/>
      <c r="P117" s="54"/>
      <c r="Q117" s="52"/>
      <c r="R117" s="53"/>
      <c r="S117" s="57"/>
      <c r="T117" s="60"/>
      <c r="U117" s="61"/>
      <c r="V117" s="56"/>
      <c r="W117" s="54"/>
      <c r="X117" s="54"/>
      <c r="Y117" s="52"/>
      <c r="Z117" s="54"/>
      <c r="AA117" s="55"/>
      <c r="AB117" s="56"/>
      <c r="AC117" s="54"/>
      <c r="AD117" s="6">
        <f t="shared" si="5"/>
        <v>0</v>
      </c>
      <c r="AE117" s="49">
        <v>0</v>
      </c>
      <c r="AF117" s="5" t="s">
        <v>15</v>
      </c>
    </row>
    <row r="118" spans="1:32" ht="15.75" thickBot="1">
      <c r="A118" s="11">
        <v>43942</v>
      </c>
      <c r="B118" s="2">
        <f t="shared" si="3"/>
        <v>0</v>
      </c>
      <c r="C118" s="3"/>
      <c r="D118" s="4"/>
      <c r="E118" s="124"/>
      <c r="F118" s="10">
        <f t="shared" si="4"/>
        <v>0</v>
      </c>
      <c r="G118" s="3"/>
      <c r="H118" s="4"/>
      <c r="I118" s="52"/>
      <c r="J118" s="53"/>
      <c r="K118" s="54"/>
      <c r="L118" s="52"/>
      <c r="M118" s="53"/>
      <c r="N118" s="53"/>
      <c r="O118" s="52"/>
      <c r="P118" s="54"/>
      <c r="Q118" s="52"/>
      <c r="R118" s="53"/>
      <c r="S118" s="57"/>
      <c r="T118" s="60"/>
      <c r="U118" s="61"/>
      <c r="V118" s="56"/>
      <c r="W118" s="54"/>
      <c r="X118" s="54"/>
      <c r="Y118" s="52"/>
      <c r="Z118" s="54"/>
      <c r="AA118" s="55"/>
      <c r="AB118" s="56"/>
      <c r="AC118" s="54"/>
      <c r="AD118" s="6">
        <f t="shared" si="5"/>
        <v>0</v>
      </c>
      <c r="AE118" s="49">
        <v>0</v>
      </c>
      <c r="AF118" s="5" t="s">
        <v>15</v>
      </c>
    </row>
    <row r="119" spans="1:32" ht="15.75" thickBot="1">
      <c r="A119" s="11">
        <v>43943</v>
      </c>
      <c r="B119" s="2">
        <f t="shared" si="3"/>
        <v>0</v>
      </c>
      <c r="C119" s="3"/>
      <c r="D119" s="4"/>
      <c r="E119" s="124"/>
      <c r="F119" s="10">
        <f t="shared" si="4"/>
        <v>0</v>
      </c>
      <c r="G119" s="3"/>
      <c r="H119" s="4"/>
      <c r="I119" s="52"/>
      <c r="J119" s="53"/>
      <c r="K119" s="54"/>
      <c r="L119" s="52"/>
      <c r="M119" s="53"/>
      <c r="N119" s="53"/>
      <c r="O119" s="52"/>
      <c r="P119" s="54"/>
      <c r="Q119" s="52"/>
      <c r="R119" s="53"/>
      <c r="S119" s="57"/>
      <c r="T119" s="60"/>
      <c r="U119" s="61"/>
      <c r="V119" s="56"/>
      <c r="W119" s="54"/>
      <c r="X119" s="54"/>
      <c r="Y119" s="52"/>
      <c r="Z119" s="54"/>
      <c r="AA119" s="55"/>
      <c r="AB119" s="56"/>
      <c r="AC119" s="54"/>
      <c r="AD119" s="6">
        <f t="shared" si="5"/>
        <v>0</v>
      </c>
      <c r="AE119" s="49">
        <v>0</v>
      </c>
      <c r="AF119" s="5" t="s">
        <v>15</v>
      </c>
    </row>
    <row r="120" spans="1:32" ht="15.75" thickBot="1">
      <c r="A120" s="11">
        <v>43944</v>
      </c>
      <c r="B120" s="2">
        <f t="shared" si="3"/>
        <v>0</v>
      </c>
      <c r="C120" s="3"/>
      <c r="D120" s="4"/>
      <c r="E120" s="124"/>
      <c r="F120" s="10">
        <f t="shared" si="4"/>
        <v>0</v>
      </c>
      <c r="G120" s="3"/>
      <c r="H120" s="4"/>
      <c r="I120" s="52"/>
      <c r="J120" s="53"/>
      <c r="K120" s="54"/>
      <c r="L120" s="52"/>
      <c r="M120" s="53"/>
      <c r="N120" s="53"/>
      <c r="O120" s="52"/>
      <c r="P120" s="54"/>
      <c r="Q120" s="52"/>
      <c r="R120" s="53"/>
      <c r="S120" s="57"/>
      <c r="T120" s="60"/>
      <c r="U120" s="61"/>
      <c r="V120" s="56"/>
      <c r="W120" s="54"/>
      <c r="X120" s="54"/>
      <c r="Y120" s="52"/>
      <c r="Z120" s="54"/>
      <c r="AA120" s="55"/>
      <c r="AB120" s="56"/>
      <c r="AC120" s="54"/>
      <c r="AD120" s="6">
        <f t="shared" si="5"/>
        <v>0</v>
      </c>
      <c r="AE120" s="49">
        <v>0</v>
      </c>
      <c r="AF120" s="5" t="s">
        <v>15</v>
      </c>
    </row>
    <row r="121" spans="1:32" ht="15.75" thickBot="1">
      <c r="A121" s="11">
        <v>43945</v>
      </c>
      <c r="B121" s="2">
        <f t="shared" si="3"/>
        <v>0</v>
      </c>
      <c r="C121" s="3"/>
      <c r="D121" s="4"/>
      <c r="E121" s="124"/>
      <c r="F121" s="10">
        <f t="shared" si="4"/>
        <v>0</v>
      </c>
      <c r="G121" s="3"/>
      <c r="H121" s="4"/>
      <c r="I121" s="52"/>
      <c r="J121" s="53"/>
      <c r="K121" s="54"/>
      <c r="L121" s="52"/>
      <c r="M121" s="53"/>
      <c r="N121" s="53"/>
      <c r="O121" s="52"/>
      <c r="P121" s="54"/>
      <c r="Q121" s="52"/>
      <c r="R121" s="53"/>
      <c r="S121" s="57"/>
      <c r="T121" s="60"/>
      <c r="U121" s="61"/>
      <c r="V121" s="56"/>
      <c r="W121" s="54"/>
      <c r="X121" s="54"/>
      <c r="Y121" s="52"/>
      <c r="Z121" s="54"/>
      <c r="AA121" s="55"/>
      <c r="AB121" s="56"/>
      <c r="AC121" s="54"/>
      <c r="AD121" s="6">
        <f t="shared" si="5"/>
        <v>0</v>
      </c>
      <c r="AE121" s="49">
        <v>0</v>
      </c>
      <c r="AF121" s="5" t="s">
        <v>15</v>
      </c>
    </row>
    <row r="122" spans="1:32" ht="15.75" thickBot="1">
      <c r="A122" s="11">
        <v>43946</v>
      </c>
      <c r="B122" s="2">
        <f t="shared" si="3"/>
        <v>0</v>
      </c>
      <c r="C122" s="3"/>
      <c r="D122" s="4"/>
      <c r="E122" s="124"/>
      <c r="F122" s="10">
        <f t="shared" si="4"/>
        <v>0</v>
      </c>
      <c r="G122" s="3"/>
      <c r="H122" s="4"/>
      <c r="I122" s="52"/>
      <c r="J122" s="53"/>
      <c r="K122" s="54"/>
      <c r="L122" s="52"/>
      <c r="M122" s="53"/>
      <c r="N122" s="53"/>
      <c r="O122" s="52"/>
      <c r="P122" s="54"/>
      <c r="Q122" s="52"/>
      <c r="R122" s="53"/>
      <c r="S122" s="57"/>
      <c r="T122" s="60"/>
      <c r="U122" s="61"/>
      <c r="V122" s="56"/>
      <c r="W122" s="54"/>
      <c r="X122" s="54"/>
      <c r="Y122" s="52"/>
      <c r="Z122" s="54"/>
      <c r="AA122" s="55"/>
      <c r="AB122" s="56"/>
      <c r="AC122" s="54"/>
      <c r="AD122" s="6">
        <f t="shared" si="5"/>
        <v>0</v>
      </c>
      <c r="AE122" s="49">
        <v>0</v>
      </c>
      <c r="AF122" s="5" t="s">
        <v>15</v>
      </c>
    </row>
    <row r="123" spans="1:32" ht="15.75" thickBot="1">
      <c r="A123" s="11">
        <v>43947</v>
      </c>
      <c r="B123" s="2">
        <f t="shared" si="3"/>
        <v>0</v>
      </c>
      <c r="C123" s="3"/>
      <c r="D123" s="4"/>
      <c r="E123" s="124"/>
      <c r="F123" s="10">
        <f t="shared" si="4"/>
        <v>0</v>
      </c>
      <c r="G123" s="3"/>
      <c r="H123" s="4"/>
      <c r="I123" s="52"/>
      <c r="J123" s="53"/>
      <c r="K123" s="54"/>
      <c r="L123" s="52"/>
      <c r="M123" s="53"/>
      <c r="N123" s="53"/>
      <c r="O123" s="52"/>
      <c r="P123" s="54"/>
      <c r="Q123" s="52"/>
      <c r="R123" s="53"/>
      <c r="S123" s="57"/>
      <c r="T123" s="60"/>
      <c r="U123" s="61"/>
      <c r="V123" s="56"/>
      <c r="W123" s="54"/>
      <c r="X123" s="54"/>
      <c r="Y123" s="52"/>
      <c r="Z123" s="54"/>
      <c r="AA123" s="55"/>
      <c r="AB123" s="56"/>
      <c r="AC123" s="54"/>
      <c r="AD123" s="6">
        <f t="shared" si="5"/>
        <v>0</v>
      </c>
      <c r="AE123" s="49">
        <v>0</v>
      </c>
      <c r="AF123" s="5" t="s">
        <v>15</v>
      </c>
    </row>
    <row r="124" spans="1:32" ht="15.75" thickBot="1">
      <c r="A124" s="11">
        <v>43948</v>
      </c>
      <c r="B124" s="2">
        <f t="shared" si="3"/>
        <v>0</v>
      </c>
      <c r="C124" s="3"/>
      <c r="D124" s="4"/>
      <c r="E124" s="124"/>
      <c r="F124" s="10">
        <f t="shared" si="4"/>
        <v>0</v>
      </c>
      <c r="G124" s="3"/>
      <c r="H124" s="4"/>
      <c r="I124" s="52"/>
      <c r="J124" s="53"/>
      <c r="K124" s="54"/>
      <c r="L124" s="52"/>
      <c r="M124" s="53"/>
      <c r="N124" s="53"/>
      <c r="O124" s="52"/>
      <c r="P124" s="54"/>
      <c r="Q124" s="52"/>
      <c r="R124" s="53"/>
      <c r="S124" s="57"/>
      <c r="T124" s="60"/>
      <c r="U124" s="61"/>
      <c r="V124" s="56"/>
      <c r="W124" s="54"/>
      <c r="X124" s="54"/>
      <c r="Y124" s="52"/>
      <c r="Z124" s="54"/>
      <c r="AA124" s="55"/>
      <c r="AB124" s="56"/>
      <c r="AC124" s="54"/>
      <c r="AD124" s="6">
        <f t="shared" si="5"/>
        <v>0</v>
      </c>
      <c r="AE124" s="49">
        <v>0</v>
      </c>
      <c r="AF124" s="5" t="s">
        <v>15</v>
      </c>
    </row>
    <row r="125" spans="1:32" ht="15.75" thickBot="1">
      <c r="A125" s="11">
        <v>43949</v>
      </c>
      <c r="B125" s="2">
        <f t="shared" si="3"/>
        <v>0</v>
      </c>
      <c r="C125" s="3"/>
      <c r="D125" s="4"/>
      <c r="E125" s="124"/>
      <c r="F125" s="10">
        <f t="shared" si="4"/>
        <v>0</v>
      </c>
      <c r="G125" s="3"/>
      <c r="H125" s="4"/>
      <c r="I125" s="52"/>
      <c r="J125" s="53"/>
      <c r="K125" s="54"/>
      <c r="L125" s="52"/>
      <c r="M125" s="53"/>
      <c r="N125" s="53"/>
      <c r="O125" s="52"/>
      <c r="P125" s="54"/>
      <c r="Q125" s="52"/>
      <c r="R125" s="53"/>
      <c r="S125" s="57"/>
      <c r="T125" s="60"/>
      <c r="U125" s="61"/>
      <c r="V125" s="56"/>
      <c r="W125" s="54"/>
      <c r="X125" s="54"/>
      <c r="Y125" s="52"/>
      <c r="Z125" s="54"/>
      <c r="AA125" s="55"/>
      <c r="AB125" s="56"/>
      <c r="AC125" s="54"/>
      <c r="AD125" s="6">
        <f t="shared" si="5"/>
        <v>0</v>
      </c>
      <c r="AE125" s="49">
        <v>0</v>
      </c>
      <c r="AF125" s="5" t="s">
        <v>15</v>
      </c>
    </row>
    <row r="126" spans="1:32" ht="15.75" thickBot="1">
      <c r="A126" s="11">
        <v>43950</v>
      </c>
      <c r="B126" s="2">
        <f t="shared" si="3"/>
        <v>0</v>
      </c>
      <c r="C126" s="3"/>
      <c r="D126" s="4"/>
      <c r="E126" s="124"/>
      <c r="F126" s="10">
        <f t="shared" si="4"/>
        <v>0</v>
      </c>
      <c r="G126" s="3"/>
      <c r="H126" s="4"/>
      <c r="I126" s="52"/>
      <c r="J126" s="53"/>
      <c r="K126" s="54"/>
      <c r="L126" s="52"/>
      <c r="M126" s="53"/>
      <c r="N126" s="53"/>
      <c r="O126" s="52"/>
      <c r="P126" s="54"/>
      <c r="Q126" s="52"/>
      <c r="R126" s="53"/>
      <c r="S126" s="57"/>
      <c r="T126" s="60"/>
      <c r="U126" s="61"/>
      <c r="V126" s="56"/>
      <c r="W126" s="54"/>
      <c r="X126" s="54"/>
      <c r="Y126" s="52"/>
      <c r="Z126" s="54"/>
      <c r="AA126" s="55"/>
      <c r="AB126" s="56"/>
      <c r="AC126" s="54"/>
      <c r="AD126" s="6">
        <f t="shared" si="5"/>
        <v>0</v>
      </c>
      <c r="AE126" s="49">
        <v>0</v>
      </c>
      <c r="AF126" s="5" t="s">
        <v>15</v>
      </c>
    </row>
    <row r="127" spans="1:32" ht="15.75" thickBot="1">
      <c r="A127" s="11">
        <v>43951</v>
      </c>
      <c r="B127" s="2">
        <f t="shared" si="3"/>
        <v>0</v>
      </c>
      <c r="C127" s="3"/>
      <c r="D127" s="4"/>
      <c r="E127" s="124"/>
      <c r="F127" s="10">
        <f t="shared" si="4"/>
        <v>0</v>
      </c>
      <c r="G127" s="3"/>
      <c r="H127" s="4"/>
      <c r="I127" s="52"/>
      <c r="J127" s="53"/>
      <c r="K127" s="54"/>
      <c r="L127" s="52"/>
      <c r="M127" s="53"/>
      <c r="N127" s="53"/>
      <c r="O127" s="52"/>
      <c r="P127" s="54"/>
      <c r="Q127" s="52"/>
      <c r="R127" s="53"/>
      <c r="S127" s="57"/>
      <c r="T127" s="60"/>
      <c r="U127" s="61"/>
      <c r="V127" s="56"/>
      <c r="W127" s="54"/>
      <c r="X127" s="54"/>
      <c r="Y127" s="52"/>
      <c r="Z127" s="54"/>
      <c r="AA127" s="55"/>
      <c r="AB127" s="56"/>
      <c r="AC127" s="54"/>
      <c r="AD127" s="6">
        <f t="shared" si="5"/>
        <v>0</v>
      </c>
      <c r="AE127" s="49">
        <v>0</v>
      </c>
      <c r="AF127" s="5" t="s">
        <v>15</v>
      </c>
    </row>
    <row r="128" spans="1:32" ht="15.75" thickBot="1">
      <c r="A128" s="11">
        <v>43952</v>
      </c>
      <c r="B128" s="2">
        <f t="shared" si="3"/>
        <v>0</v>
      </c>
      <c r="C128" s="3"/>
      <c r="D128" s="4"/>
      <c r="E128" s="124"/>
      <c r="F128" s="10">
        <f t="shared" si="4"/>
        <v>0</v>
      </c>
      <c r="G128" s="3"/>
      <c r="H128" s="4"/>
      <c r="I128" s="52"/>
      <c r="J128" s="53"/>
      <c r="K128" s="54"/>
      <c r="L128" s="52"/>
      <c r="M128" s="53"/>
      <c r="N128" s="53"/>
      <c r="O128" s="52"/>
      <c r="P128" s="54"/>
      <c r="Q128" s="52"/>
      <c r="R128" s="53"/>
      <c r="S128" s="57"/>
      <c r="T128" s="60"/>
      <c r="U128" s="61"/>
      <c r="V128" s="56"/>
      <c r="W128" s="54"/>
      <c r="X128" s="54"/>
      <c r="Y128" s="52"/>
      <c r="Z128" s="54"/>
      <c r="AA128" s="55"/>
      <c r="AB128" s="56"/>
      <c r="AC128" s="54"/>
      <c r="AD128" s="6">
        <f t="shared" si="5"/>
        <v>0</v>
      </c>
      <c r="AE128" s="49">
        <v>0</v>
      </c>
      <c r="AF128" s="5" t="s">
        <v>15</v>
      </c>
    </row>
    <row r="129" spans="1:32" ht="15.75" thickBot="1">
      <c r="A129" s="11">
        <v>43953</v>
      </c>
      <c r="B129" s="2">
        <f t="shared" si="3"/>
        <v>0</v>
      </c>
      <c r="C129" s="3"/>
      <c r="D129" s="4"/>
      <c r="E129" s="124"/>
      <c r="F129" s="10">
        <f t="shared" si="4"/>
        <v>0</v>
      </c>
      <c r="G129" s="3"/>
      <c r="H129" s="4"/>
      <c r="I129" s="52"/>
      <c r="J129" s="53"/>
      <c r="K129" s="54"/>
      <c r="L129" s="52"/>
      <c r="M129" s="53"/>
      <c r="N129" s="53"/>
      <c r="O129" s="52"/>
      <c r="P129" s="54"/>
      <c r="Q129" s="52"/>
      <c r="R129" s="53"/>
      <c r="S129" s="57"/>
      <c r="T129" s="60"/>
      <c r="U129" s="61"/>
      <c r="V129" s="56"/>
      <c r="W129" s="54"/>
      <c r="X129" s="54"/>
      <c r="Y129" s="52"/>
      <c r="Z129" s="54"/>
      <c r="AA129" s="55"/>
      <c r="AB129" s="56"/>
      <c r="AC129" s="54"/>
      <c r="AD129" s="6">
        <f t="shared" si="5"/>
        <v>0</v>
      </c>
      <c r="AE129" s="49">
        <v>0</v>
      </c>
      <c r="AF129" s="5" t="s">
        <v>15</v>
      </c>
    </row>
    <row r="130" spans="1:32" ht="15.75" thickBot="1">
      <c r="A130" s="11">
        <v>43954</v>
      </c>
      <c r="B130" s="2">
        <f t="shared" si="3"/>
        <v>0</v>
      </c>
      <c r="C130" s="3"/>
      <c r="D130" s="4"/>
      <c r="E130" s="124"/>
      <c r="F130" s="10">
        <f t="shared" si="4"/>
        <v>0</v>
      </c>
      <c r="G130" s="3"/>
      <c r="H130" s="4"/>
      <c r="I130" s="52"/>
      <c r="J130" s="53"/>
      <c r="K130" s="54"/>
      <c r="L130" s="52"/>
      <c r="M130" s="53"/>
      <c r="N130" s="53"/>
      <c r="O130" s="52"/>
      <c r="P130" s="54"/>
      <c r="Q130" s="52"/>
      <c r="R130" s="53"/>
      <c r="S130" s="57"/>
      <c r="T130" s="60"/>
      <c r="U130" s="61"/>
      <c r="V130" s="56"/>
      <c r="W130" s="54"/>
      <c r="X130" s="54"/>
      <c r="Y130" s="52"/>
      <c r="Z130" s="54"/>
      <c r="AA130" s="55"/>
      <c r="AB130" s="56"/>
      <c r="AC130" s="54"/>
      <c r="AD130" s="6">
        <f t="shared" si="5"/>
        <v>0</v>
      </c>
      <c r="AE130" s="49">
        <v>0</v>
      </c>
      <c r="AF130" s="5" t="s">
        <v>15</v>
      </c>
    </row>
    <row r="131" spans="1:32" ht="15.75" thickBot="1">
      <c r="A131" s="11">
        <v>43955</v>
      </c>
      <c r="B131" s="2">
        <f t="shared" si="3"/>
        <v>0</v>
      </c>
      <c r="C131" s="3"/>
      <c r="D131" s="4"/>
      <c r="E131" s="124"/>
      <c r="F131" s="10">
        <f t="shared" si="4"/>
        <v>0</v>
      </c>
      <c r="G131" s="3"/>
      <c r="H131" s="4"/>
      <c r="I131" s="52"/>
      <c r="J131" s="53"/>
      <c r="K131" s="54"/>
      <c r="L131" s="52"/>
      <c r="M131" s="53"/>
      <c r="N131" s="53"/>
      <c r="O131" s="52"/>
      <c r="P131" s="54"/>
      <c r="Q131" s="52"/>
      <c r="R131" s="53"/>
      <c r="S131" s="57"/>
      <c r="T131" s="60"/>
      <c r="U131" s="61"/>
      <c r="V131" s="56"/>
      <c r="W131" s="54"/>
      <c r="X131" s="54"/>
      <c r="Y131" s="52"/>
      <c r="Z131" s="54"/>
      <c r="AA131" s="55"/>
      <c r="AB131" s="56"/>
      <c r="AC131" s="54"/>
      <c r="AD131" s="6">
        <f t="shared" si="5"/>
        <v>0</v>
      </c>
      <c r="AE131" s="49">
        <v>0</v>
      </c>
      <c r="AF131" s="5" t="s">
        <v>15</v>
      </c>
    </row>
    <row r="132" spans="1:32" ht="15.75" thickBot="1">
      <c r="A132" s="11">
        <v>43956</v>
      </c>
      <c r="B132" s="2">
        <f t="shared" si="3"/>
        <v>0</v>
      </c>
      <c r="C132" s="3"/>
      <c r="D132" s="4"/>
      <c r="E132" s="124"/>
      <c r="F132" s="10">
        <f t="shared" si="4"/>
        <v>0</v>
      </c>
      <c r="G132" s="3"/>
      <c r="H132" s="4"/>
      <c r="I132" s="52"/>
      <c r="J132" s="53"/>
      <c r="K132" s="54"/>
      <c r="L132" s="52"/>
      <c r="M132" s="53"/>
      <c r="N132" s="53"/>
      <c r="O132" s="52"/>
      <c r="P132" s="54"/>
      <c r="Q132" s="52"/>
      <c r="R132" s="53"/>
      <c r="S132" s="57"/>
      <c r="T132" s="60"/>
      <c r="U132" s="61"/>
      <c r="V132" s="56"/>
      <c r="W132" s="54"/>
      <c r="X132" s="54"/>
      <c r="Y132" s="52"/>
      <c r="Z132" s="54"/>
      <c r="AA132" s="55"/>
      <c r="AB132" s="56"/>
      <c r="AC132" s="54"/>
      <c r="AD132" s="6">
        <f t="shared" si="5"/>
        <v>0</v>
      </c>
      <c r="AE132" s="49">
        <v>0</v>
      </c>
      <c r="AF132" s="5" t="s">
        <v>15</v>
      </c>
    </row>
    <row r="133" spans="1:32" ht="15.75" thickBot="1">
      <c r="A133" s="11">
        <v>43957</v>
      </c>
      <c r="B133" s="2">
        <f t="shared" si="3"/>
        <v>0</v>
      </c>
      <c r="C133" s="3"/>
      <c r="D133" s="4"/>
      <c r="E133" s="124"/>
      <c r="F133" s="10">
        <f t="shared" si="4"/>
        <v>0</v>
      </c>
      <c r="G133" s="3"/>
      <c r="H133" s="4"/>
      <c r="I133" s="52"/>
      <c r="J133" s="53"/>
      <c r="K133" s="54"/>
      <c r="L133" s="52"/>
      <c r="M133" s="53"/>
      <c r="N133" s="53"/>
      <c r="O133" s="52"/>
      <c r="P133" s="54"/>
      <c r="Q133" s="52"/>
      <c r="R133" s="53"/>
      <c r="S133" s="57"/>
      <c r="T133" s="60"/>
      <c r="U133" s="61"/>
      <c r="V133" s="56"/>
      <c r="W133" s="54"/>
      <c r="X133" s="54"/>
      <c r="Y133" s="52"/>
      <c r="Z133" s="54"/>
      <c r="AA133" s="55"/>
      <c r="AB133" s="56"/>
      <c r="AC133" s="54"/>
      <c r="AD133" s="6">
        <f t="shared" si="5"/>
        <v>0</v>
      </c>
      <c r="AE133" s="49">
        <v>0</v>
      </c>
      <c r="AF133" s="5" t="s">
        <v>15</v>
      </c>
    </row>
    <row r="134" spans="1:32" ht="15.75" thickBot="1">
      <c r="A134" s="11">
        <v>43958</v>
      </c>
      <c r="B134" s="2">
        <f t="shared" si="3"/>
        <v>0</v>
      </c>
      <c r="C134" s="3"/>
      <c r="D134" s="4"/>
      <c r="E134" s="124"/>
      <c r="F134" s="10">
        <f t="shared" si="4"/>
        <v>0</v>
      </c>
      <c r="G134" s="3"/>
      <c r="H134" s="4"/>
      <c r="I134" s="52"/>
      <c r="J134" s="53"/>
      <c r="K134" s="54"/>
      <c r="L134" s="52"/>
      <c r="M134" s="53"/>
      <c r="N134" s="53"/>
      <c r="O134" s="52"/>
      <c r="P134" s="54"/>
      <c r="Q134" s="52"/>
      <c r="R134" s="53"/>
      <c r="S134" s="57"/>
      <c r="T134" s="60"/>
      <c r="U134" s="61"/>
      <c r="V134" s="56"/>
      <c r="W134" s="54"/>
      <c r="X134" s="54"/>
      <c r="Y134" s="52"/>
      <c r="Z134" s="54"/>
      <c r="AA134" s="55"/>
      <c r="AB134" s="56"/>
      <c r="AC134" s="54"/>
      <c r="AD134" s="6">
        <f t="shared" si="5"/>
        <v>0</v>
      </c>
      <c r="AE134" s="49">
        <v>0</v>
      </c>
      <c r="AF134" s="5" t="s">
        <v>15</v>
      </c>
    </row>
    <row r="135" spans="1:32" ht="15.75" thickBot="1">
      <c r="A135" s="11">
        <v>43959</v>
      </c>
      <c r="B135" s="2">
        <f t="shared" si="3"/>
        <v>0</v>
      </c>
      <c r="C135" s="3"/>
      <c r="D135" s="4"/>
      <c r="E135" s="124"/>
      <c r="F135" s="10">
        <f t="shared" si="4"/>
        <v>0</v>
      </c>
      <c r="G135" s="3"/>
      <c r="H135" s="4"/>
      <c r="I135" s="52"/>
      <c r="J135" s="53"/>
      <c r="K135" s="54"/>
      <c r="L135" s="52"/>
      <c r="M135" s="53"/>
      <c r="N135" s="53"/>
      <c r="O135" s="52"/>
      <c r="P135" s="54"/>
      <c r="Q135" s="52"/>
      <c r="R135" s="53"/>
      <c r="S135" s="57"/>
      <c r="T135" s="60"/>
      <c r="U135" s="61"/>
      <c r="V135" s="56"/>
      <c r="W135" s="54"/>
      <c r="X135" s="54"/>
      <c r="Y135" s="52"/>
      <c r="Z135" s="54"/>
      <c r="AA135" s="55"/>
      <c r="AB135" s="56"/>
      <c r="AC135" s="54"/>
      <c r="AD135" s="6">
        <f t="shared" si="5"/>
        <v>0</v>
      </c>
      <c r="AE135" s="49">
        <v>0</v>
      </c>
      <c r="AF135" s="5" t="s">
        <v>15</v>
      </c>
    </row>
    <row r="136" spans="1:32" ht="15.75" thickBot="1">
      <c r="A136" s="11">
        <v>43960</v>
      </c>
      <c r="B136" s="2">
        <f t="shared" ref="B136:B199" si="7">AE135</f>
        <v>0</v>
      </c>
      <c r="C136" s="3"/>
      <c r="D136" s="4"/>
      <c r="E136" s="124"/>
      <c r="F136" s="10">
        <f t="shared" ref="F136:F199" si="8">C136-D136</f>
        <v>0</v>
      </c>
      <c r="G136" s="3"/>
      <c r="H136" s="4"/>
      <c r="I136" s="52"/>
      <c r="J136" s="53"/>
      <c r="K136" s="54"/>
      <c r="L136" s="52"/>
      <c r="M136" s="53"/>
      <c r="N136" s="53"/>
      <c r="O136" s="52"/>
      <c r="P136" s="54"/>
      <c r="Q136" s="52"/>
      <c r="R136" s="53"/>
      <c r="S136" s="57"/>
      <c r="T136" s="60"/>
      <c r="U136" s="61"/>
      <c r="V136" s="56"/>
      <c r="W136" s="54"/>
      <c r="X136" s="54"/>
      <c r="Y136" s="52"/>
      <c r="Z136" s="54"/>
      <c r="AA136" s="55"/>
      <c r="AB136" s="56"/>
      <c r="AC136" s="54"/>
      <c r="AD136" s="6">
        <f t="shared" si="5"/>
        <v>0</v>
      </c>
      <c r="AE136" s="49">
        <v>0</v>
      </c>
      <c r="AF136" s="5" t="s">
        <v>15</v>
      </c>
    </row>
    <row r="137" spans="1:32" ht="15.75" thickBot="1">
      <c r="A137" s="11">
        <v>43961</v>
      </c>
      <c r="B137" s="2">
        <f t="shared" si="7"/>
        <v>0</v>
      </c>
      <c r="C137" s="3"/>
      <c r="D137" s="4"/>
      <c r="E137" s="124"/>
      <c r="F137" s="10">
        <f t="shared" si="8"/>
        <v>0</v>
      </c>
      <c r="G137" s="3"/>
      <c r="H137" s="4"/>
      <c r="I137" s="52"/>
      <c r="J137" s="53"/>
      <c r="K137" s="54"/>
      <c r="L137" s="52"/>
      <c r="M137" s="53"/>
      <c r="N137" s="53"/>
      <c r="O137" s="52"/>
      <c r="P137" s="54"/>
      <c r="Q137" s="52"/>
      <c r="R137" s="53"/>
      <c r="S137" s="57"/>
      <c r="T137" s="60"/>
      <c r="U137" s="61"/>
      <c r="V137" s="56"/>
      <c r="W137" s="54"/>
      <c r="X137" s="54"/>
      <c r="Y137" s="52"/>
      <c r="Z137" s="54"/>
      <c r="AA137" s="55"/>
      <c r="AB137" s="56"/>
      <c r="AC137" s="54"/>
      <c r="AD137" s="6">
        <f t="shared" ref="AD137:AD195" si="9">B137+F137-L137-G137-I137-V137-AC137-AE137</f>
        <v>0</v>
      </c>
      <c r="AE137" s="49">
        <v>0</v>
      </c>
      <c r="AF137" s="5" t="s">
        <v>15</v>
      </c>
    </row>
    <row r="138" spans="1:32" ht="15.75" thickBot="1">
      <c r="A138" s="11">
        <v>43962</v>
      </c>
      <c r="B138" s="2">
        <f t="shared" si="7"/>
        <v>0</v>
      </c>
      <c r="C138" s="3"/>
      <c r="D138" s="4"/>
      <c r="E138" s="124"/>
      <c r="F138" s="10">
        <f t="shared" si="8"/>
        <v>0</v>
      </c>
      <c r="G138" s="3"/>
      <c r="H138" s="4"/>
      <c r="I138" s="52"/>
      <c r="J138" s="53"/>
      <c r="K138" s="54"/>
      <c r="L138" s="52"/>
      <c r="M138" s="53"/>
      <c r="N138" s="53"/>
      <c r="O138" s="52"/>
      <c r="P138" s="54"/>
      <c r="Q138" s="52"/>
      <c r="R138" s="53"/>
      <c r="S138" s="57"/>
      <c r="T138" s="60"/>
      <c r="U138" s="61"/>
      <c r="V138" s="56"/>
      <c r="W138" s="54"/>
      <c r="X138" s="54"/>
      <c r="Y138" s="52"/>
      <c r="Z138" s="54"/>
      <c r="AA138" s="55"/>
      <c r="AB138" s="56"/>
      <c r="AC138" s="54"/>
      <c r="AD138" s="6">
        <f t="shared" si="9"/>
        <v>0</v>
      </c>
      <c r="AE138" s="49">
        <v>0</v>
      </c>
      <c r="AF138" s="5" t="s">
        <v>15</v>
      </c>
    </row>
    <row r="139" spans="1:32" ht="15.75" thickBot="1">
      <c r="A139" s="11">
        <v>43963</v>
      </c>
      <c r="B139" s="2">
        <f t="shared" si="7"/>
        <v>0</v>
      </c>
      <c r="C139" s="3"/>
      <c r="D139" s="4"/>
      <c r="E139" s="124"/>
      <c r="F139" s="10">
        <f t="shared" si="8"/>
        <v>0</v>
      </c>
      <c r="G139" s="3"/>
      <c r="H139" s="4"/>
      <c r="I139" s="52"/>
      <c r="J139" s="53"/>
      <c r="K139" s="54"/>
      <c r="L139" s="52"/>
      <c r="M139" s="53"/>
      <c r="N139" s="53"/>
      <c r="O139" s="52"/>
      <c r="P139" s="54"/>
      <c r="Q139" s="52"/>
      <c r="R139" s="53"/>
      <c r="S139" s="57"/>
      <c r="T139" s="60"/>
      <c r="U139" s="61"/>
      <c r="V139" s="56"/>
      <c r="W139" s="54"/>
      <c r="X139" s="54"/>
      <c r="Y139" s="52"/>
      <c r="Z139" s="54"/>
      <c r="AA139" s="55"/>
      <c r="AB139" s="56"/>
      <c r="AC139" s="54"/>
      <c r="AD139" s="6">
        <f t="shared" si="9"/>
        <v>0</v>
      </c>
      <c r="AE139" s="49">
        <v>0</v>
      </c>
      <c r="AF139" s="5" t="s">
        <v>15</v>
      </c>
    </row>
    <row r="140" spans="1:32" ht="15.75" thickBot="1">
      <c r="A140" s="11">
        <v>43964</v>
      </c>
      <c r="B140" s="2">
        <f t="shared" si="7"/>
        <v>0</v>
      </c>
      <c r="C140" s="3"/>
      <c r="D140" s="4"/>
      <c r="E140" s="124"/>
      <c r="F140" s="10">
        <f t="shared" si="8"/>
        <v>0</v>
      </c>
      <c r="G140" s="3"/>
      <c r="H140" s="4"/>
      <c r="I140" s="52"/>
      <c r="J140" s="53"/>
      <c r="K140" s="54"/>
      <c r="L140" s="52"/>
      <c r="M140" s="53"/>
      <c r="N140" s="53"/>
      <c r="O140" s="52"/>
      <c r="P140" s="54"/>
      <c r="Q140" s="52"/>
      <c r="R140" s="53"/>
      <c r="S140" s="57"/>
      <c r="T140" s="60"/>
      <c r="U140" s="61"/>
      <c r="V140" s="56"/>
      <c r="W140" s="54"/>
      <c r="X140" s="54"/>
      <c r="Y140" s="52"/>
      <c r="Z140" s="54"/>
      <c r="AA140" s="55"/>
      <c r="AB140" s="56"/>
      <c r="AC140" s="54"/>
      <c r="AD140" s="6">
        <f t="shared" si="9"/>
        <v>0</v>
      </c>
      <c r="AE140" s="49">
        <v>0</v>
      </c>
      <c r="AF140" s="5" t="s">
        <v>15</v>
      </c>
    </row>
    <row r="141" spans="1:32" ht="15.75" thickBot="1">
      <c r="A141" s="11">
        <v>43965</v>
      </c>
      <c r="B141" s="2">
        <f t="shared" si="7"/>
        <v>0</v>
      </c>
      <c r="C141" s="3"/>
      <c r="D141" s="4"/>
      <c r="E141" s="124"/>
      <c r="F141" s="10">
        <f t="shared" si="8"/>
        <v>0</v>
      </c>
      <c r="G141" s="3"/>
      <c r="H141" s="4"/>
      <c r="I141" s="52"/>
      <c r="J141" s="53"/>
      <c r="K141" s="54"/>
      <c r="L141" s="52"/>
      <c r="M141" s="53"/>
      <c r="N141" s="53"/>
      <c r="O141" s="52"/>
      <c r="P141" s="54"/>
      <c r="Q141" s="52"/>
      <c r="R141" s="53"/>
      <c r="S141" s="57"/>
      <c r="T141" s="60"/>
      <c r="U141" s="61"/>
      <c r="V141" s="56"/>
      <c r="W141" s="54"/>
      <c r="X141" s="54"/>
      <c r="Y141" s="52"/>
      <c r="Z141" s="54"/>
      <c r="AA141" s="55"/>
      <c r="AB141" s="56"/>
      <c r="AC141" s="54"/>
      <c r="AD141" s="6">
        <f t="shared" si="9"/>
        <v>0</v>
      </c>
      <c r="AE141" s="49">
        <v>0</v>
      </c>
      <c r="AF141" s="5" t="s">
        <v>15</v>
      </c>
    </row>
    <row r="142" spans="1:32" ht="15.75" thickBot="1">
      <c r="A142" s="11">
        <v>43966</v>
      </c>
      <c r="B142" s="2">
        <f t="shared" si="7"/>
        <v>0</v>
      </c>
      <c r="C142" s="3"/>
      <c r="D142" s="4"/>
      <c r="E142" s="124"/>
      <c r="F142" s="10">
        <f t="shared" si="8"/>
        <v>0</v>
      </c>
      <c r="G142" s="3"/>
      <c r="H142" s="4"/>
      <c r="I142" s="52"/>
      <c r="J142" s="53"/>
      <c r="K142" s="54"/>
      <c r="L142" s="52"/>
      <c r="M142" s="53"/>
      <c r="N142" s="53"/>
      <c r="O142" s="52"/>
      <c r="P142" s="54"/>
      <c r="Q142" s="52"/>
      <c r="R142" s="53"/>
      <c r="S142" s="57"/>
      <c r="T142" s="60"/>
      <c r="U142" s="61"/>
      <c r="V142" s="56"/>
      <c r="W142" s="54"/>
      <c r="X142" s="54"/>
      <c r="Y142" s="52"/>
      <c r="Z142" s="54"/>
      <c r="AA142" s="55"/>
      <c r="AB142" s="56"/>
      <c r="AC142" s="54"/>
      <c r="AD142" s="6">
        <f t="shared" si="9"/>
        <v>0</v>
      </c>
      <c r="AE142" s="49">
        <v>0</v>
      </c>
      <c r="AF142" s="5" t="s">
        <v>15</v>
      </c>
    </row>
    <row r="143" spans="1:32" ht="15.75" thickBot="1">
      <c r="A143" s="11">
        <v>43967</v>
      </c>
      <c r="B143" s="2">
        <f t="shared" si="7"/>
        <v>0</v>
      </c>
      <c r="C143" s="3"/>
      <c r="D143" s="4"/>
      <c r="E143" s="124"/>
      <c r="F143" s="10">
        <f t="shared" si="8"/>
        <v>0</v>
      </c>
      <c r="G143" s="3"/>
      <c r="H143" s="4"/>
      <c r="I143" s="52"/>
      <c r="J143" s="53"/>
      <c r="K143" s="54"/>
      <c r="L143" s="52"/>
      <c r="M143" s="53"/>
      <c r="N143" s="53"/>
      <c r="O143" s="52"/>
      <c r="P143" s="54"/>
      <c r="Q143" s="52"/>
      <c r="R143" s="53"/>
      <c r="S143" s="57"/>
      <c r="T143" s="60"/>
      <c r="U143" s="61"/>
      <c r="V143" s="56"/>
      <c r="W143" s="54"/>
      <c r="X143" s="54"/>
      <c r="Y143" s="52"/>
      <c r="Z143" s="54"/>
      <c r="AA143" s="55"/>
      <c r="AB143" s="56"/>
      <c r="AC143" s="54"/>
      <c r="AD143" s="6">
        <f t="shared" si="9"/>
        <v>0</v>
      </c>
      <c r="AE143" s="49">
        <v>0</v>
      </c>
      <c r="AF143" s="5" t="s">
        <v>15</v>
      </c>
    </row>
    <row r="144" spans="1:32" ht="15.75" thickBot="1">
      <c r="A144" s="11">
        <v>43968</v>
      </c>
      <c r="B144" s="2">
        <f t="shared" si="7"/>
        <v>0</v>
      </c>
      <c r="C144" s="3"/>
      <c r="D144" s="4"/>
      <c r="E144" s="124"/>
      <c r="F144" s="10">
        <f t="shared" si="8"/>
        <v>0</v>
      </c>
      <c r="G144" s="3"/>
      <c r="H144" s="4"/>
      <c r="I144" s="52"/>
      <c r="J144" s="53"/>
      <c r="K144" s="54"/>
      <c r="L144" s="52"/>
      <c r="M144" s="53"/>
      <c r="N144" s="53"/>
      <c r="O144" s="52"/>
      <c r="P144" s="54"/>
      <c r="Q144" s="52"/>
      <c r="R144" s="53"/>
      <c r="S144" s="57"/>
      <c r="T144" s="60"/>
      <c r="U144" s="61"/>
      <c r="V144" s="56"/>
      <c r="W144" s="54"/>
      <c r="X144" s="54"/>
      <c r="Y144" s="52">
        <v>450</v>
      </c>
      <c r="Z144" s="54">
        <v>1</v>
      </c>
      <c r="AA144" s="55" t="s">
        <v>266</v>
      </c>
      <c r="AB144" s="56"/>
      <c r="AC144" s="54"/>
      <c r="AD144" s="6">
        <f t="shared" si="9"/>
        <v>0</v>
      </c>
      <c r="AE144" s="49">
        <v>0</v>
      </c>
      <c r="AF144" s="5" t="s">
        <v>15</v>
      </c>
    </row>
    <row r="145" spans="1:32" ht="15.75" thickBot="1">
      <c r="A145" s="11">
        <v>43969</v>
      </c>
      <c r="B145" s="2">
        <f t="shared" si="7"/>
        <v>0</v>
      </c>
      <c r="C145" s="3"/>
      <c r="D145" s="4"/>
      <c r="E145" s="124"/>
      <c r="F145" s="10">
        <f t="shared" si="8"/>
        <v>0</v>
      </c>
      <c r="G145" s="3"/>
      <c r="H145" s="4"/>
      <c r="I145" s="52"/>
      <c r="J145" s="53"/>
      <c r="K145" s="54"/>
      <c r="L145" s="52"/>
      <c r="M145" s="53"/>
      <c r="N145" s="53"/>
      <c r="O145" s="52"/>
      <c r="P145" s="54"/>
      <c r="Q145" s="52"/>
      <c r="R145" s="53"/>
      <c r="S145" s="57"/>
      <c r="T145" s="60"/>
      <c r="U145" s="61"/>
      <c r="V145" s="56"/>
      <c r="W145" s="54"/>
      <c r="X145" s="54"/>
      <c r="Y145" s="52"/>
      <c r="Z145" s="54"/>
      <c r="AA145" s="55"/>
      <c r="AB145" s="56"/>
      <c r="AC145" s="54"/>
      <c r="AD145" s="6">
        <f t="shared" si="9"/>
        <v>0</v>
      </c>
      <c r="AE145" s="49">
        <v>0</v>
      </c>
      <c r="AF145" s="5" t="s">
        <v>15</v>
      </c>
    </row>
    <row r="146" spans="1:32" ht="15.75" thickBot="1">
      <c r="A146" s="11">
        <v>43970</v>
      </c>
      <c r="B146" s="2">
        <f t="shared" si="7"/>
        <v>0</v>
      </c>
      <c r="C146" s="3"/>
      <c r="D146" s="4"/>
      <c r="E146" s="124"/>
      <c r="F146" s="10">
        <f t="shared" si="8"/>
        <v>0</v>
      </c>
      <c r="G146" s="3"/>
      <c r="H146" s="4"/>
      <c r="I146" s="52"/>
      <c r="J146" s="53"/>
      <c r="K146" s="54"/>
      <c r="L146" s="52"/>
      <c r="M146" s="53"/>
      <c r="N146" s="53"/>
      <c r="O146" s="52"/>
      <c r="P146" s="54"/>
      <c r="Q146" s="52"/>
      <c r="R146" s="53"/>
      <c r="S146" s="57"/>
      <c r="T146" s="60"/>
      <c r="U146" s="61"/>
      <c r="V146" s="56"/>
      <c r="W146" s="54"/>
      <c r="X146" s="54"/>
      <c r="Y146" s="52" t="s">
        <v>267</v>
      </c>
      <c r="Z146" s="54"/>
      <c r="AA146" s="55"/>
      <c r="AB146" s="56"/>
      <c r="AC146" s="54"/>
      <c r="AD146" s="6">
        <f t="shared" si="9"/>
        <v>0</v>
      </c>
      <c r="AE146" s="49">
        <v>0</v>
      </c>
      <c r="AF146" s="5" t="s">
        <v>15</v>
      </c>
    </row>
    <row r="147" spans="1:32" ht="15.75" thickBot="1">
      <c r="A147" s="11">
        <v>43971</v>
      </c>
      <c r="B147" s="2">
        <f t="shared" si="7"/>
        <v>0</v>
      </c>
      <c r="C147" s="3"/>
      <c r="D147" s="4"/>
      <c r="E147" s="124"/>
      <c r="F147" s="10">
        <f t="shared" si="8"/>
        <v>0</v>
      </c>
      <c r="G147" s="3"/>
      <c r="H147" s="4"/>
      <c r="I147" s="52"/>
      <c r="J147" s="53"/>
      <c r="K147" s="54"/>
      <c r="L147" s="52"/>
      <c r="M147" s="53"/>
      <c r="N147" s="53"/>
      <c r="O147" s="52"/>
      <c r="P147" s="54"/>
      <c r="Q147" s="73">
        <f>290+400</f>
        <v>690</v>
      </c>
      <c r="R147" s="53">
        <v>1</v>
      </c>
      <c r="S147" s="57" t="s">
        <v>265</v>
      </c>
      <c r="T147" s="60"/>
      <c r="U147" s="61"/>
      <c r="V147" s="56"/>
      <c r="W147" s="54"/>
      <c r="X147" s="54"/>
      <c r="Y147" s="52">
        <v>450</v>
      </c>
      <c r="Z147" s="54">
        <v>1</v>
      </c>
      <c r="AA147" s="55" t="s">
        <v>266</v>
      </c>
      <c r="AB147" s="56"/>
      <c r="AC147" s="54"/>
      <c r="AD147" s="6">
        <f t="shared" si="9"/>
        <v>0</v>
      </c>
      <c r="AE147" s="49">
        <v>0</v>
      </c>
      <c r="AF147" s="5" t="s">
        <v>15</v>
      </c>
    </row>
    <row r="148" spans="1:32" ht="15.75" thickBot="1">
      <c r="A148" s="11">
        <v>43972</v>
      </c>
      <c r="B148" s="2">
        <f t="shared" si="7"/>
        <v>0</v>
      </c>
      <c r="C148" s="3"/>
      <c r="D148" s="4"/>
      <c r="E148" s="124"/>
      <c r="F148" s="10">
        <f t="shared" si="8"/>
        <v>0</v>
      </c>
      <c r="G148" s="3"/>
      <c r="H148" s="4"/>
      <c r="I148" s="52"/>
      <c r="J148" s="53"/>
      <c r="K148" s="54"/>
      <c r="L148" s="52"/>
      <c r="M148" s="53"/>
      <c r="N148" s="53"/>
      <c r="O148" s="52"/>
      <c r="P148" s="54"/>
      <c r="Q148" s="73"/>
      <c r="R148" s="53"/>
      <c r="S148" s="57"/>
      <c r="T148" s="60"/>
      <c r="U148" s="61"/>
      <c r="V148" s="56"/>
      <c r="W148" s="54"/>
      <c r="X148" s="54"/>
      <c r="Y148" s="52"/>
      <c r="Z148" s="54"/>
      <c r="AA148" s="55"/>
      <c r="AB148" s="56"/>
      <c r="AC148" s="54"/>
      <c r="AD148" s="6">
        <f t="shared" si="9"/>
        <v>0</v>
      </c>
      <c r="AE148" s="49">
        <v>0</v>
      </c>
      <c r="AF148" s="5" t="s">
        <v>15</v>
      </c>
    </row>
    <row r="149" spans="1:32" ht="15.75" thickBot="1">
      <c r="A149" s="11">
        <v>43973</v>
      </c>
      <c r="B149" s="2">
        <f t="shared" si="7"/>
        <v>0</v>
      </c>
      <c r="C149" s="3"/>
      <c r="D149" s="4"/>
      <c r="E149" s="124"/>
      <c r="F149" s="10">
        <f t="shared" si="8"/>
        <v>0</v>
      </c>
      <c r="G149" s="3"/>
      <c r="H149" s="4"/>
      <c r="I149" s="52"/>
      <c r="J149" s="53"/>
      <c r="K149" s="54"/>
      <c r="L149" s="52"/>
      <c r="M149" s="53"/>
      <c r="N149" s="53"/>
      <c r="O149" s="52"/>
      <c r="P149" s="54"/>
      <c r="Q149" s="73">
        <f>290+400</f>
        <v>690</v>
      </c>
      <c r="R149" s="53">
        <v>1</v>
      </c>
      <c r="S149" s="57" t="s">
        <v>265</v>
      </c>
      <c r="T149" s="60"/>
      <c r="U149" s="61"/>
      <c r="V149" s="56"/>
      <c r="W149" s="54"/>
      <c r="X149" s="54"/>
      <c r="Y149" s="52">
        <v>290</v>
      </c>
      <c r="Z149" s="54">
        <v>1</v>
      </c>
      <c r="AA149" s="55" t="s">
        <v>266</v>
      </c>
      <c r="AB149" s="56"/>
      <c r="AC149" s="54"/>
      <c r="AD149" s="6">
        <f t="shared" si="9"/>
        <v>0</v>
      </c>
      <c r="AE149" s="49">
        <v>0</v>
      </c>
      <c r="AF149" s="5" t="s">
        <v>15</v>
      </c>
    </row>
    <row r="150" spans="1:32" ht="15.75" thickBot="1">
      <c r="A150" s="11">
        <v>43974</v>
      </c>
      <c r="B150" s="2">
        <f t="shared" si="7"/>
        <v>0</v>
      </c>
      <c r="C150" s="3"/>
      <c r="D150" s="4"/>
      <c r="E150" s="124"/>
      <c r="F150" s="10">
        <f t="shared" si="8"/>
        <v>0</v>
      </c>
      <c r="G150" s="3"/>
      <c r="H150" s="4"/>
      <c r="I150" s="52"/>
      <c r="J150" s="53"/>
      <c r="K150" s="54"/>
      <c r="L150" s="52"/>
      <c r="M150" s="53"/>
      <c r="N150" s="53"/>
      <c r="O150" s="52"/>
      <c r="P150" s="54"/>
      <c r="Q150" s="73"/>
      <c r="R150" s="53"/>
      <c r="S150" s="57"/>
      <c r="T150" s="60"/>
      <c r="U150" s="61"/>
      <c r="V150" s="56"/>
      <c r="W150" s="54"/>
      <c r="X150" s="54"/>
      <c r="Y150" s="52"/>
      <c r="Z150" s="54"/>
      <c r="AA150" s="55"/>
      <c r="AB150" s="56"/>
      <c r="AC150" s="54"/>
      <c r="AD150" s="6">
        <f t="shared" si="9"/>
        <v>0</v>
      </c>
      <c r="AE150" s="49">
        <v>0</v>
      </c>
      <c r="AF150" s="5" t="s">
        <v>15</v>
      </c>
    </row>
    <row r="151" spans="1:32" ht="15.75" thickBot="1">
      <c r="A151" s="11">
        <v>43975</v>
      </c>
      <c r="B151" s="2">
        <f t="shared" si="7"/>
        <v>0</v>
      </c>
      <c r="C151" s="3"/>
      <c r="D151" s="4"/>
      <c r="E151" s="124"/>
      <c r="F151" s="10">
        <f t="shared" si="8"/>
        <v>0</v>
      </c>
      <c r="G151" s="3"/>
      <c r="H151" s="4"/>
      <c r="I151" s="52"/>
      <c r="J151" s="53"/>
      <c r="K151" s="54"/>
      <c r="L151" s="52"/>
      <c r="M151" s="53"/>
      <c r="N151" s="53"/>
      <c r="O151" s="52"/>
      <c r="P151" s="54"/>
      <c r="Q151" s="73"/>
      <c r="R151" s="53"/>
      <c r="S151" s="57"/>
      <c r="T151" s="60"/>
      <c r="U151" s="61"/>
      <c r="V151" s="56"/>
      <c r="W151" s="54"/>
      <c r="X151" s="54"/>
      <c r="Y151" s="52"/>
      <c r="Z151" s="54"/>
      <c r="AA151" s="55"/>
      <c r="AB151" s="56"/>
      <c r="AC151" s="54"/>
      <c r="AD151" s="6">
        <f t="shared" si="9"/>
        <v>0</v>
      </c>
      <c r="AE151" s="49">
        <v>0</v>
      </c>
      <c r="AF151" s="5" t="s">
        <v>15</v>
      </c>
    </row>
    <row r="152" spans="1:32" ht="15.75" thickBot="1">
      <c r="A152" s="11">
        <v>43976</v>
      </c>
      <c r="B152" s="2">
        <f t="shared" si="7"/>
        <v>0</v>
      </c>
      <c r="C152" s="3"/>
      <c r="D152" s="4"/>
      <c r="E152" s="124"/>
      <c r="F152" s="10">
        <f t="shared" si="8"/>
        <v>0</v>
      </c>
      <c r="G152" s="3"/>
      <c r="H152" s="4"/>
      <c r="I152" s="52"/>
      <c r="J152" s="53"/>
      <c r="K152" s="54"/>
      <c r="L152" s="52"/>
      <c r="M152" s="53"/>
      <c r="N152" s="53"/>
      <c r="O152" s="52"/>
      <c r="P152" s="54"/>
      <c r="Q152" s="64">
        <f>290+400</f>
        <v>690</v>
      </c>
      <c r="R152" s="53">
        <v>1</v>
      </c>
      <c r="S152" s="57" t="s">
        <v>265</v>
      </c>
      <c r="T152" s="60"/>
      <c r="U152" s="61"/>
      <c r="V152" s="56"/>
      <c r="W152" s="54"/>
      <c r="X152" s="54"/>
      <c r="Y152" s="52">
        <v>450</v>
      </c>
      <c r="Z152" s="54">
        <v>1</v>
      </c>
      <c r="AA152" s="55" t="s">
        <v>266</v>
      </c>
      <c r="AB152" s="56"/>
      <c r="AC152" s="54"/>
      <c r="AD152" s="6">
        <f t="shared" si="9"/>
        <v>0</v>
      </c>
      <c r="AE152" s="49">
        <v>0</v>
      </c>
      <c r="AF152" s="5" t="s">
        <v>15</v>
      </c>
    </row>
    <row r="153" spans="1:32" ht="15.75" thickBot="1">
      <c r="A153" s="11">
        <v>43977</v>
      </c>
      <c r="B153" s="2">
        <f t="shared" si="7"/>
        <v>0</v>
      </c>
      <c r="C153" s="3"/>
      <c r="D153" s="4"/>
      <c r="E153" s="124"/>
      <c r="F153" s="10">
        <f t="shared" si="8"/>
        <v>0</v>
      </c>
      <c r="G153" s="3"/>
      <c r="H153" s="4"/>
      <c r="I153" s="52"/>
      <c r="J153" s="53"/>
      <c r="K153" s="54"/>
      <c r="L153" s="52"/>
      <c r="M153" s="53"/>
      <c r="N153" s="53"/>
      <c r="O153" s="52"/>
      <c r="P153" s="54"/>
      <c r="Q153" s="64"/>
      <c r="R153" s="53"/>
      <c r="S153" s="57"/>
      <c r="T153" s="60"/>
      <c r="U153" s="61"/>
      <c r="V153" s="56"/>
      <c r="W153" s="54"/>
      <c r="X153" s="54"/>
      <c r="Y153" s="52"/>
      <c r="Z153" s="54"/>
      <c r="AA153" s="55"/>
      <c r="AB153" s="56"/>
      <c r="AC153" s="54"/>
      <c r="AD153" s="6">
        <f t="shared" si="9"/>
        <v>0</v>
      </c>
      <c r="AE153" s="49">
        <v>0</v>
      </c>
      <c r="AF153" s="5" t="s">
        <v>15</v>
      </c>
    </row>
    <row r="154" spans="1:32" ht="15.75" thickBot="1">
      <c r="A154" s="11">
        <v>43978</v>
      </c>
      <c r="B154" s="2">
        <f t="shared" si="7"/>
        <v>0</v>
      </c>
      <c r="C154" s="3"/>
      <c r="D154" s="4"/>
      <c r="E154" s="124"/>
      <c r="F154" s="10">
        <f t="shared" si="8"/>
        <v>0</v>
      </c>
      <c r="G154" s="3"/>
      <c r="H154" s="4"/>
      <c r="I154" s="52"/>
      <c r="J154" s="53"/>
      <c r="K154" s="54"/>
      <c r="L154" s="52"/>
      <c r="M154" s="53"/>
      <c r="N154" s="53"/>
      <c r="O154" s="52"/>
      <c r="P154" s="54"/>
      <c r="Q154" s="64">
        <f>290+400</f>
        <v>690</v>
      </c>
      <c r="R154" s="53">
        <v>1</v>
      </c>
      <c r="S154" s="57" t="s">
        <v>265</v>
      </c>
      <c r="T154" s="60"/>
      <c r="U154" s="61"/>
      <c r="V154" s="56"/>
      <c r="W154" s="54"/>
      <c r="X154" s="54"/>
      <c r="Y154" s="52"/>
      <c r="Z154" s="54"/>
      <c r="AA154" s="55"/>
      <c r="AB154" s="56"/>
      <c r="AC154" s="54"/>
      <c r="AD154" s="6">
        <f t="shared" si="9"/>
        <v>0</v>
      </c>
      <c r="AE154" s="49">
        <v>0</v>
      </c>
      <c r="AF154" s="5" t="s">
        <v>15</v>
      </c>
    </row>
    <row r="155" spans="1:32" ht="15.75" thickBot="1">
      <c r="A155" s="11">
        <v>43979</v>
      </c>
      <c r="B155" s="2">
        <f t="shared" si="7"/>
        <v>0</v>
      </c>
      <c r="C155" s="3"/>
      <c r="D155" s="4"/>
      <c r="E155" s="124"/>
      <c r="F155" s="10">
        <f t="shared" si="8"/>
        <v>0</v>
      </c>
      <c r="G155" s="3"/>
      <c r="H155" s="4"/>
      <c r="I155" s="52"/>
      <c r="J155" s="53"/>
      <c r="K155" s="54"/>
      <c r="L155" s="52"/>
      <c r="M155" s="53"/>
      <c r="N155" s="53"/>
      <c r="O155" s="52"/>
      <c r="P155" s="54"/>
      <c r="Q155" s="64"/>
      <c r="R155" s="53"/>
      <c r="S155" s="57"/>
      <c r="T155" s="60"/>
      <c r="U155" s="61"/>
      <c r="V155" s="56"/>
      <c r="W155" s="54"/>
      <c r="X155" s="54"/>
      <c r="Y155" s="52">
        <v>450</v>
      </c>
      <c r="Z155" s="54">
        <v>1</v>
      </c>
      <c r="AA155" s="55" t="s">
        <v>266</v>
      </c>
      <c r="AB155" s="56"/>
      <c r="AC155" s="54"/>
      <c r="AD155" s="6">
        <f t="shared" si="9"/>
        <v>0</v>
      </c>
      <c r="AE155" s="49">
        <v>0</v>
      </c>
      <c r="AF155" s="5" t="s">
        <v>15</v>
      </c>
    </row>
    <row r="156" spans="1:32" ht="15.75" thickBot="1">
      <c r="A156" s="11">
        <v>43980</v>
      </c>
      <c r="B156" s="2">
        <f t="shared" si="7"/>
        <v>0</v>
      </c>
      <c r="C156" s="3"/>
      <c r="D156" s="4"/>
      <c r="E156" s="124"/>
      <c r="F156" s="10">
        <f t="shared" si="8"/>
        <v>0</v>
      </c>
      <c r="G156" s="3"/>
      <c r="H156" s="4"/>
      <c r="I156" s="52"/>
      <c r="J156" s="53"/>
      <c r="K156" s="54"/>
      <c r="L156" s="52"/>
      <c r="M156" s="53"/>
      <c r="N156" s="53"/>
      <c r="O156" s="52"/>
      <c r="P156" s="54"/>
      <c r="Q156" s="64">
        <v>290</v>
      </c>
      <c r="R156" s="53"/>
      <c r="S156" s="57" t="s">
        <v>268</v>
      </c>
      <c r="T156" s="60"/>
      <c r="U156" s="61"/>
      <c r="V156" s="56"/>
      <c r="W156" s="54"/>
      <c r="X156" s="54"/>
      <c r="Y156" s="52"/>
      <c r="Z156" s="54"/>
      <c r="AA156" s="55"/>
      <c r="AB156" s="56"/>
      <c r="AC156" s="54"/>
      <c r="AD156" s="6">
        <f t="shared" si="9"/>
        <v>0</v>
      </c>
      <c r="AE156" s="49">
        <v>0</v>
      </c>
      <c r="AF156" s="5" t="s">
        <v>15</v>
      </c>
    </row>
    <row r="157" spans="1:32" ht="15.75" thickBot="1">
      <c r="A157" s="11">
        <v>43981</v>
      </c>
      <c r="B157" s="2">
        <f t="shared" si="7"/>
        <v>0</v>
      </c>
      <c r="C157" s="3"/>
      <c r="D157" s="4"/>
      <c r="E157" s="124"/>
      <c r="F157" s="10">
        <f t="shared" si="8"/>
        <v>0</v>
      </c>
      <c r="G157" s="3"/>
      <c r="H157" s="4"/>
      <c r="I157" s="52"/>
      <c r="J157" s="53"/>
      <c r="K157" s="54"/>
      <c r="L157" s="52"/>
      <c r="M157" s="53"/>
      <c r="N157" s="53"/>
      <c r="O157" s="52"/>
      <c r="P157" s="54"/>
      <c r="Q157" s="64">
        <v>400</v>
      </c>
      <c r="R157" s="53"/>
      <c r="S157" s="57" t="s">
        <v>194</v>
      </c>
      <c r="T157" s="60"/>
      <c r="U157" s="61"/>
      <c r="V157" s="56"/>
      <c r="W157" s="54"/>
      <c r="X157" s="54"/>
      <c r="Y157" s="52"/>
      <c r="Z157" s="54"/>
      <c r="AA157" s="55"/>
      <c r="AB157" s="56"/>
      <c r="AC157" s="54"/>
      <c r="AD157" s="6">
        <f t="shared" si="9"/>
        <v>0</v>
      </c>
      <c r="AE157" s="49">
        <v>0</v>
      </c>
      <c r="AF157" s="5" t="s">
        <v>15</v>
      </c>
    </row>
    <row r="158" spans="1:32" ht="15.75" thickBot="1">
      <c r="A158" s="11">
        <v>43982</v>
      </c>
      <c r="B158" s="2">
        <f t="shared" si="7"/>
        <v>0</v>
      </c>
      <c r="C158" s="3"/>
      <c r="D158" s="4"/>
      <c r="E158" s="124"/>
      <c r="F158" s="10">
        <f t="shared" si="8"/>
        <v>0</v>
      </c>
      <c r="G158" s="3"/>
      <c r="H158" s="4"/>
      <c r="I158" s="52"/>
      <c r="J158" s="53"/>
      <c r="K158" s="54"/>
      <c r="L158" s="52"/>
      <c r="M158" s="53"/>
      <c r="N158" s="53"/>
      <c r="O158" s="52"/>
      <c r="P158" s="54"/>
      <c r="Q158" s="52"/>
      <c r="R158" s="53"/>
      <c r="S158" s="57"/>
      <c r="T158" s="60"/>
      <c r="U158" s="61"/>
      <c r="V158" s="56"/>
      <c r="W158" s="54"/>
      <c r="X158" s="54"/>
      <c r="Y158" s="52"/>
      <c r="Z158" s="54"/>
      <c r="AA158" s="55"/>
      <c r="AB158" s="56"/>
      <c r="AC158" s="54"/>
      <c r="AD158" s="6">
        <f t="shared" si="9"/>
        <v>0</v>
      </c>
      <c r="AE158" s="49">
        <v>0</v>
      </c>
      <c r="AF158" s="5" t="s">
        <v>15</v>
      </c>
    </row>
    <row r="159" spans="1:32" ht="15.75" thickBot="1">
      <c r="A159" s="11">
        <v>43983</v>
      </c>
      <c r="B159" s="2">
        <f t="shared" si="7"/>
        <v>0</v>
      </c>
      <c r="C159" s="3"/>
      <c r="D159" s="4"/>
      <c r="E159" s="124"/>
      <c r="F159" s="10">
        <f t="shared" si="8"/>
        <v>0</v>
      </c>
      <c r="G159" s="3"/>
      <c r="H159" s="4"/>
      <c r="I159" s="52"/>
      <c r="J159" s="53"/>
      <c r="K159" s="54"/>
      <c r="L159" s="52"/>
      <c r="M159" s="53"/>
      <c r="N159" s="53"/>
      <c r="O159" s="52"/>
      <c r="P159" s="54"/>
      <c r="Q159" s="64">
        <v>690</v>
      </c>
      <c r="R159" s="53"/>
      <c r="S159" s="57" t="s">
        <v>265</v>
      </c>
      <c r="T159" s="60"/>
      <c r="U159" s="61"/>
      <c r="V159" s="56"/>
      <c r="W159" s="54"/>
      <c r="X159" s="54"/>
      <c r="Y159" s="52">
        <v>290</v>
      </c>
      <c r="Z159" s="54">
        <v>1</v>
      </c>
      <c r="AA159" s="55" t="s">
        <v>266</v>
      </c>
      <c r="AB159" s="56"/>
      <c r="AC159" s="54"/>
      <c r="AD159" s="6">
        <f t="shared" si="9"/>
        <v>0</v>
      </c>
      <c r="AE159" s="49">
        <v>0</v>
      </c>
      <c r="AF159" s="5" t="s">
        <v>15</v>
      </c>
    </row>
    <row r="160" spans="1:32" ht="15.75" thickBot="1">
      <c r="A160" s="11">
        <v>43984</v>
      </c>
      <c r="B160" s="2">
        <f t="shared" si="7"/>
        <v>0</v>
      </c>
      <c r="C160" s="3"/>
      <c r="D160" s="4"/>
      <c r="E160" s="124"/>
      <c r="F160" s="10">
        <f t="shared" si="8"/>
        <v>0</v>
      </c>
      <c r="G160" s="3"/>
      <c r="H160" s="4"/>
      <c r="I160" s="52"/>
      <c r="J160" s="53"/>
      <c r="K160" s="54"/>
      <c r="L160" s="52"/>
      <c r="M160" s="53"/>
      <c r="N160" s="53"/>
      <c r="O160" s="52"/>
      <c r="P160" s="54"/>
      <c r="Q160" s="64"/>
      <c r="R160" s="53"/>
      <c r="S160" s="57"/>
      <c r="T160" s="60"/>
      <c r="U160" s="61"/>
      <c r="V160" s="56"/>
      <c r="W160" s="54"/>
      <c r="X160" s="54"/>
      <c r="Y160" s="52"/>
      <c r="Z160" s="54"/>
      <c r="AA160" s="55"/>
      <c r="AB160" s="56"/>
      <c r="AC160" s="54"/>
      <c r="AD160" s="6">
        <f t="shared" si="9"/>
        <v>0</v>
      </c>
      <c r="AE160" s="49">
        <v>0</v>
      </c>
      <c r="AF160" s="5" t="s">
        <v>15</v>
      </c>
    </row>
    <row r="161" spans="1:32" ht="15.75" thickBot="1">
      <c r="A161" s="11">
        <v>43985</v>
      </c>
      <c r="B161" s="2">
        <f t="shared" si="7"/>
        <v>0</v>
      </c>
      <c r="C161" s="3"/>
      <c r="D161" s="4"/>
      <c r="E161" s="124"/>
      <c r="F161" s="10">
        <f t="shared" si="8"/>
        <v>0</v>
      </c>
      <c r="G161" s="3"/>
      <c r="H161" s="4"/>
      <c r="I161" s="52"/>
      <c r="J161" s="53"/>
      <c r="K161" s="54"/>
      <c r="L161" s="52"/>
      <c r="M161" s="53"/>
      <c r="N161" s="53"/>
      <c r="O161" s="52"/>
      <c r="P161" s="54"/>
      <c r="Q161" s="64">
        <v>290</v>
      </c>
      <c r="R161" s="53"/>
      <c r="S161" s="57" t="s">
        <v>268</v>
      </c>
      <c r="T161" s="60"/>
      <c r="U161" s="61"/>
      <c r="V161" s="93">
        <v>290</v>
      </c>
      <c r="W161" s="54">
        <v>1</v>
      </c>
      <c r="X161" s="54" t="s">
        <v>269</v>
      </c>
      <c r="Y161" s="52">
        <v>450</v>
      </c>
      <c r="Z161" s="54">
        <v>1</v>
      </c>
      <c r="AA161" s="55" t="s">
        <v>266</v>
      </c>
      <c r="AB161" s="56"/>
      <c r="AC161" s="54"/>
      <c r="AD161" s="6">
        <f t="shared" si="9"/>
        <v>-290</v>
      </c>
      <c r="AE161" s="49">
        <v>0</v>
      </c>
      <c r="AF161" s="5" t="s">
        <v>15</v>
      </c>
    </row>
    <row r="162" spans="1:32" ht="15.75" thickBot="1">
      <c r="A162" s="11">
        <v>43986</v>
      </c>
      <c r="B162" s="2">
        <f t="shared" si="7"/>
        <v>0</v>
      </c>
      <c r="C162" s="3"/>
      <c r="D162" s="4"/>
      <c r="E162" s="124"/>
      <c r="F162" s="10">
        <f t="shared" si="8"/>
        <v>0</v>
      </c>
      <c r="G162" s="3"/>
      <c r="H162" s="4"/>
      <c r="I162" s="52"/>
      <c r="J162" s="53"/>
      <c r="K162" s="54"/>
      <c r="L162" s="52"/>
      <c r="M162" s="53"/>
      <c r="N162" s="53"/>
      <c r="O162" s="52"/>
      <c r="P162" s="54"/>
      <c r="Q162" s="64"/>
      <c r="R162" s="53"/>
      <c r="S162" s="57"/>
      <c r="T162" s="60"/>
      <c r="U162" s="61"/>
      <c r="V162" s="93"/>
      <c r="W162" s="54"/>
      <c r="X162" s="54"/>
      <c r="Y162" s="52"/>
      <c r="Z162" s="54"/>
      <c r="AA162" s="55"/>
      <c r="AB162" s="56"/>
      <c r="AC162" s="54"/>
      <c r="AD162" s="6">
        <f t="shared" si="9"/>
        <v>0</v>
      </c>
      <c r="AE162" s="49">
        <v>0</v>
      </c>
      <c r="AF162" s="5" t="s">
        <v>15</v>
      </c>
    </row>
    <row r="163" spans="1:32" ht="15.75" thickBot="1">
      <c r="A163" s="11">
        <v>43987</v>
      </c>
      <c r="B163" s="2">
        <f t="shared" si="7"/>
        <v>0</v>
      </c>
      <c r="C163" s="3"/>
      <c r="D163" s="4"/>
      <c r="E163" s="124"/>
      <c r="F163" s="10">
        <f t="shared" si="8"/>
        <v>0</v>
      </c>
      <c r="G163" s="3"/>
      <c r="H163" s="4"/>
      <c r="I163" s="52"/>
      <c r="J163" s="53"/>
      <c r="K163" s="54"/>
      <c r="L163" s="52"/>
      <c r="M163" s="53"/>
      <c r="N163" s="53"/>
      <c r="O163" s="52"/>
      <c r="P163" s="54"/>
      <c r="Q163" s="64">
        <v>690</v>
      </c>
      <c r="R163" s="53">
        <v>2</v>
      </c>
      <c r="S163" s="57" t="s">
        <v>265</v>
      </c>
      <c r="T163" s="60"/>
      <c r="U163" s="61"/>
      <c r="V163" s="93"/>
      <c r="W163" s="54"/>
      <c r="X163" s="54"/>
      <c r="Y163" s="52"/>
      <c r="Z163" s="54"/>
      <c r="AA163" s="55"/>
      <c r="AB163" s="56"/>
      <c r="AC163" s="54"/>
      <c r="AD163" s="6">
        <f t="shared" si="9"/>
        <v>0</v>
      </c>
      <c r="AE163" s="49">
        <v>0</v>
      </c>
      <c r="AF163" s="5" t="s">
        <v>15</v>
      </c>
    </row>
    <row r="164" spans="1:32" ht="15.75" thickBot="1">
      <c r="A164" s="11">
        <v>43988</v>
      </c>
      <c r="B164" s="2">
        <f t="shared" si="7"/>
        <v>0</v>
      </c>
      <c r="C164" s="3"/>
      <c r="D164" s="4"/>
      <c r="E164" s="124"/>
      <c r="F164" s="10">
        <f t="shared" si="8"/>
        <v>0</v>
      </c>
      <c r="G164" s="3"/>
      <c r="H164" s="4"/>
      <c r="I164" s="52"/>
      <c r="J164" s="53"/>
      <c r="K164" s="54"/>
      <c r="L164" s="52"/>
      <c r="M164" s="53"/>
      <c r="N164" s="53"/>
      <c r="O164" s="52"/>
      <c r="P164" s="54"/>
      <c r="Q164" s="52"/>
      <c r="R164" s="53"/>
      <c r="S164" s="57"/>
      <c r="T164" s="60"/>
      <c r="U164" s="61"/>
      <c r="V164" s="93">
        <v>290</v>
      </c>
      <c r="W164" s="54">
        <v>1</v>
      </c>
      <c r="X164" s="54" t="s">
        <v>269</v>
      </c>
      <c r="Y164" s="52">
        <v>450</v>
      </c>
      <c r="Z164" s="54">
        <v>1</v>
      </c>
      <c r="AA164" s="55" t="s">
        <v>266</v>
      </c>
      <c r="AB164" s="56"/>
      <c r="AC164" s="54"/>
      <c r="AD164" s="6">
        <f t="shared" si="9"/>
        <v>-290</v>
      </c>
      <c r="AE164" s="49">
        <v>0</v>
      </c>
      <c r="AF164" s="5" t="s">
        <v>15</v>
      </c>
    </row>
    <row r="165" spans="1:32" ht="15.75" thickBot="1">
      <c r="A165" s="11">
        <v>43989</v>
      </c>
      <c r="B165" s="2">
        <f t="shared" si="7"/>
        <v>0</v>
      </c>
      <c r="C165" s="3"/>
      <c r="D165" s="4"/>
      <c r="E165" s="124"/>
      <c r="F165" s="10">
        <f t="shared" si="8"/>
        <v>0</v>
      </c>
      <c r="G165" s="3"/>
      <c r="H165" s="4"/>
      <c r="I165" s="52"/>
      <c r="J165" s="53"/>
      <c r="K165" s="54"/>
      <c r="L165" s="52"/>
      <c r="M165" s="53"/>
      <c r="N165" s="53"/>
      <c r="O165" s="52"/>
      <c r="P165" s="54"/>
      <c r="Q165" s="52"/>
      <c r="R165" s="53"/>
      <c r="S165" s="57"/>
      <c r="T165" s="60"/>
      <c r="U165" s="61"/>
      <c r="V165" s="56"/>
      <c r="W165" s="54"/>
      <c r="X165" s="54"/>
      <c r="Y165" s="52"/>
      <c r="Z165" s="54"/>
      <c r="AA165" s="55"/>
      <c r="AB165" s="56"/>
      <c r="AC165" s="54"/>
      <c r="AD165" s="6">
        <f t="shared" si="9"/>
        <v>0</v>
      </c>
      <c r="AE165" s="49">
        <v>0</v>
      </c>
      <c r="AF165" s="5" t="s">
        <v>15</v>
      </c>
    </row>
    <row r="166" spans="1:32" ht="15.75" thickBot="1">
      <c r="A166" s="11">
        <v>43990</v>
      </c>
      <c r="B166" s="2">
        <f t="shared" si="7"/>
        <v>0</v>
      </c>
      <c r="C166" s="3"/>
      <c r="D166" s="4"/>
      <c r="E166" s="124"/>
      <c r="F166" s="10">
        <f t="shared" si="8"/>
        <v>0</v>
      </c>
      <c r="G166" s="3"/>
      <c r="H166" s="4"/>
      <c r="I166" s="52"/>
      <c r="J166" s="53"/>
      <c r="K166" s="54"/>
      <c r="L166" s="52"/>
      <c r="M166" s="53"/>
      <c r="N166" s="53"/>
      <c r="O166" s="73">
        <f>300+300</f>
        <v>600</v>
      </c>
      <c r="P166" s="54">
        <v>1</v>
      </c>
      <c r="Q166" s="73">
        <v>290</v>
      </c>
      <c r="R166" s="53">
        <v>1</v>
      </c>
      <c r="S166" s="57" t="s">
        <v>268</v>
      </c>
      <c r="T166" s="60"/>
      <c r="U166" s="61"/>
      <c r="V166" s="94"/>
      <c r="W166" s="54"/>
      <c r="X166" s="54"/>
      <c r="Y166" s="52"/>
      <c r="Z166" s="54"/>
      <c r="AA166" s="55"/>
      <c r="AB166" s="56"/>
      <c r="AC166" s="54"/>
      <c r="AD166" s="6">
        <f t="shared" si="9"/>
        <v>0</v>
      </c>
      <c r="AE166" s="49">
        <v>0</v>
      </c>
      <c r="AF166" s="5" t="s">
        <v>15</v>
      </c>
    </row>
    <row r="167" spans="1:32" ht="15.75" thickBot="1">
      <c r="A167" s="11">
        <v>43991</v>
      </c>
      <c r="B167" s="2">
        <f t="shared" si="7"/>
        <v>0</v>
      </c>
      <c r="C167" s="3"/>
      <c r="D167" s="4"/>
      <c r="E167" s="124"/>
      <c r="F167" s="10">
        <f t="shared" si="8"/>
        <v>0</v>
      </c>
      <c r="G167" s="3"/>
      <c r="H167" s="4"/>
      <c r="I167" s="52">
        <v>300</v>
      </c>
      <c r="J167" s="53">
        <v>1</v>
      </c>
      <c r="K167" s="54" t="s">
        <v>117</v>
      </c>
      <c r="L167" s="52"/>
      <c r="M167" s="53"/>
      <c r="N167" s="53"/>
      <c r="O167" s="73"/>
      <c r="P167" s="54"/>
      <c r="Q167" s="73"/>
      <c r="R167" s="53"/>
      <c r="S167" s="57"/>
      <c r="T167" s="60"/>
      <c r="U167" s="61"/>
      <c r="V167" s="94">
        <v>290</v>
      </c>
      <c r="W167" s="54">
        <v>1</v>
      </c>
      <c r="X167" s="54" t="s">
        <v>269</v>
      </c>
      <c r="Y167" s="52">
        <v>450</v>
      </c>
      <c r="Z167" s="54">
        <v>1</v>
      </c>
      <c r="AA167" s="55" t="s">
        <v>266</v>
      </c>
      <c r="AB167" s="56"/>
      <c r="AC167" s="54"/>
      <c r="AD167" s="6">
        <f t="shared" si="9"/>
        <v>-590</v>
      </c>
      <c r="AE167" s="49">
        <v>0</v>
      </c>
      <c r="AF167" s="5" t="s">
        <v>15</v>
      </c>
    </row>
    <row r="168" spans="1:32" ht="15.75" thickBot="1">
      <c r="A168" s="11">
        <v>43992</v>
      </c>
      <c r="B168" s="2">
        <f t="shared" si="7"/>
        <v>0</v>
      </c>
      <c r="C168" s="3"/>
      <c r="D168" s="4"/>
      <c r="E168" s="124"/>
      <c r="F168" s="10">
        <f t="shared" si="8"/>
        <v>0</v>
      </c>
      <c r="G168" s="3"/>
      <c r="H168" s="4"/>
      <c r="I168" s="52"/>
      <c r="J168" s="53"/>
      <c r="K168" s="54"/>
      <c r="L168" s="52"/>
      <c r="M168" s="53"/>
      <c r="N168" s="53"/>
      <c r="O168" s="73">
        <v>300</v>
      </c>
      <c r="P168" s="54">
        <v>1</v>
      </c>
      <c r="Q168" s="73">
        <v>690</v>
      </c>
      <c r="R168" s="53">
        <v>2</v>
      </c>
      <c r="S168" s="57" t="s">
        <v>265</v>
      </c>
      <c r="T168" s="60"/>
      <c r="U168" s="61"/>
      <c r="V168" s="94"/>
      <c r="W168" s="54"/>
      <c r="X168" s="54"/>
      <c r="Y168" s="52"/>
      <c r="Z168" s="54"/>
      <c r="AA168" s="55"/>
      <c r="AB168" s="56"/>
      <c r="AC168" s="54"/>
      <c r="AD168" s="6">
        <f t="shared" si="9"/>
        <v>0</v>
      </c>
      <c r="AE168" s="49">
        <v>0</v>
      </c>
      <c r="AF168" s="5" t="s">
        <v>15</v>
      </c>
    </row>
    <row r="169" spans="1:32" ht="15.75" thickBot="1">
      <c r="A169" s="11">
        <v>43993</v>
      </c>
      <c r="B169" s="2">
        <f t="shared" si="7"/>
        <v>0</v>
      </c>
      <c r="C169" s="3"/>
      <c r="D169" s="4"/>
      <c r="E169" s="124"/>
      <c r="F169" s="10">
        <f t="shared" si="8"/>
        <v>0</v>
      </c>
      <c r="G169" s="3"/>
      <c r="H169" s="4"/>
      <c r="I169" s="52"/>
      <c r="J169" s="53"/>
      <c r="K169" s="54"/>
      <c r="L169" s="52"/>
      <c r="M169" s="53"/>
      <c r="N169" s="53"/>
      <c r="O169" s="73"/>
      <c r="P169" s="54"/>
      <c r="Q169" s="73"/>
      <c r="R169" s="53"/>
      <c r="S169" s="57"/>
      <c r="T169" s="60"/>
      <c r="U169" s="61"/>
      <c r="V169" s="94">
        <f>290+400</f>
        <v>690</v>
      </c>
      <c r="W169" s="54">
        <v>1</v>
      </c>
      <c r="X169" s="54" t="s">
        <v>270</v>
      </c>
      <c r="Y169" s="52">
        <v>450</v>
      </c>
      <c r="Z169" s="54">
        <v>1</v>
      </c>
      <c r="AA169" s="55" t="s">
        <v>266</v>
      </c>
      <c r="AB169" s="56"/>
      <c r="AC169" s="54"/>
      <c r="AD169" s="6">
        <f t="shared" si="9"/>
        <v>-690</v>
      </c>
      <c r="AE169" s="49">
        <v>0</v>
      </c>
      <c r="AF169" s="5" t="s">
        <v>15</v>
      </c>
    </row>
    <row r="170" spans="1:32" ht="15.75" thickBot="1">
      <c r="A170" s="11">
        <v>43994</v>
      </c>
      <c r="B170" s="2">
        <f t="shared" si="7"/>
        <v>0</v>
      </c>
      <c r="C170" s="3"/>
      <c r="D170" s="4"/>
      <c r="E170" s="124"/>
      <c r="F170" s="10">
        <f t="shared" si="8"/>
        <v>0</v>
      </c>
      <c r="G170" s="3"/>
      <c r="H170" s="4"/>
      <c r="I170" s="52"/>
      <c r="J170" s="53"/>
      <c r="K170" s="54"/>
      <c r="L170" s="52"/>
      <c r="M170" s="53"/>
      <c r="N170" s="53"/>
      <c r="O170" s="73"/>
      <c r="P170" s="54"/>
      <c r="Q170" s="73">
        <f>350+290</f>
        <v>640</v>
      </c>
      <c r="R170" s="53">
        <v>2</v>
      </c>
      <c r="S170" s="57" t="s">
        <v>265</v>
      </c>
      <c r="T170" s="60"/>
      <c r="U170" s="61"/>
      <c r="V170" s="94"/>
      <c r="W170" s="54"/>
      <c r="X170" s="54"/>
      <c r="Y170" s="52"/>
      <c r="Z170" s="54"/>
      <c r="AA170" s="55"/>
      <c r="AB170" s="56"/>
      <c r="AC170" s="54"/>
      <c r="AD170" s="6">
        <f t="shared" si="9"/>
        <v>0</v>
      </c>
      <c r="AE170" s="49">
        <v>0</v>
      </c>
      <c r="AF170" s="5" t="s">
        <v>15</v>
      </c>
    </row>
    <row r="171" spans="1:32" ht="15.75" thickBot="1">
      <c r="A171" s="11">
        <v>43995</v>
      </c>
      <c r="B171" s="2">
        <f t="shared" si="7"/>
        <v>0</v>
      </c>
      <c r="C171" s="3"/>
      <c r="D171" s="4"/>
      <c r="E171" s="124"/>
      <c r="F171" s="10">
        <f t="shared" si="8"/>
        <v>0</v>
      </c>
      <c r="G171" s="3"/>
      <c r="H171" s="4"/>
      <c r="I171" s="52"/>
      <c r="J171" s="53"/>
      <c r="K171" s="54"/>
      <c r="L171" s="52"/>
      <c r="M171" s="53"/>
      <c r="N171" s="53"/>
      <c r="O171" s="73">
        <v>300</v>
      </c>
      <c r="P171" s="54">
        <v>1</v>
      </c>
      <c r="Q171" s="73">
        <v>350</v>
      </c>
      <c r="R171" s="53">
        <v>1</v>
      </c>
      <c r="S171" s="57" t="s">
        <v>194</v>
      </c>
      <c r="T171" s="60"/>
      <c r="U171" s="61"/>
      <c r="V171" s="94">
        <v>400</v>
      </c>
      <c r="W171" s="54">
        <v>1</v>
      </c>
      <c r="X171" s="54" t="s">
        <v>178</v>
      </c>
      <c r="Y171" s="52"/>
      <c r="Z171" s="54"/>
      <c r="AA171" s="55"/>
      <c r="AB171" s="56"/>
      <c r="AC171" s="54"/>
      <c r="AD171" s="6">
        <f t="shared" si="9"/>
        <v>-400</v>
      </c>
      <c r="AE171" s="49">
        <v>0</v>
      </c>
      <c r="AF171" s="5" t="s">
        <v>15</v>
      </c>
    </row>
    <row r="172" spans="1:32" ht="15.75" thickBot="1">
      <c r="A172" s="11">
        <v>43996</v>
      </c>
      <c r="B172" s="2">
        <f t="shared" si="7"/>
        <v>0</v>
      </c>
      <c r="C172" s="3"/>
      <c r="D172" s="4"/>
      <c r="E172" s="124"/>
      <c r="F172" s="10">
        <f t="shared" si="8"/>
        <v>0</v>
      </c>
      <c r="G172" s="3"/>
      <c r="H172" s="4"/>
      <c r="I172" s="52"/>
      <c r="J172" s="53"/>
      <c r="K172" s="54"/>
      <c r="L172" s="52"/>
      <c r="M172" s="53"/>
      <c r="N172" s="53"/>
      <c r="O172" s="52"/>
      <c r="P172" s="54"/>
      <c r="Q172" s="52"/>
      <c r="R172" s="53"/>
      <c r="S172" s="57"/>
      <c r="T172" s="60"/>
      <c r="U172" s="61"/>
      <c r="V172" s="56"/>
      <c r="W172" s="54"/>
      <c r="X172" s="54"/>
      <c r="Y172" s="52"/>
      <c r="Z172" s="54"/>
      <c r="AA172" s="55"/>
      <c r="AB172" s="56"/>
      <c r="AC172" s="54"/>
      <c r="AD172" s="6">
        <f t="shared" si="9"/>
        <v>0</v>
      </c>
      <c r="AE172" s="49">
        <v>0</v>
      </c>
      <c r="AF172" s="5" t="s">
        <v>15</v>
      </c>
    </row>
    <row r="173" spans="1:32" ht="15.75" thickBot="1">
      <c r="A173" s="11">
        <v>43997</v>
      </c>
      <c r="B173" s="2">
        <f t="shared" si="7"/>
        <v>0</v>
      </c>
      <c r="C173" s="3"/>
      <c r="D173" s="4"/>
      <c r="E173" s="124"/>
      <c r="F173" s="10">
        <f t="shared" si="8"/>
        <v>0</v>
      </c>
      <c r="G173" s="3"/>
      <c r="H173" s="4"/>
      <c r="I173" s="52"/>
      <c r="J173" s="53"/>
      <c r="K173" s="54"/>
      <c r="L173" s="52"/>
      <c r="M173" s="53"/>
      <c r="N173" s="53"/>
      <c r="O173" s="73">
        <v>300</v>
      </c>
      <c r="P173" s="54">
        <v>1</v>
      </c>
      <c r="Q173" s="73">
        <f>350+290</f>
        <v>640</v>
      </c>
      <c r="R173" s="53">
        <v>2</v>
      </c>
      <c r="S173" s="57" t="s">
        <v>265</v>
      </c>
      <c r="T173" s="60"/>
      <c r="U173" s="61"/>
      <c r="V173" s="94">
        <v>400</v>
      </c>
      <c r="W173" s="54">
        <v>2</v>
      </c>
      <c r="X173" s="54" t="s">
        <v>112</v>
      </c>
      <c r="Y173" s="52">
        <v>450</v>
      </c>
      <c r="Z173" s="54">
        <v>1</v>
      </c>
      <c r="AA173" s="55" t="s">
        <v>266</v>
      </c>
      <c r="AB173" s="56"/>
      <c r="AC173" s="54"/>
      <c r="AD173" s="6">
        <f t="shared" si="9"/>
        <v>-400</v>
      </c>
      <c r="AE173" s="49">
        <v>0</v>
      </c>
      <c r="AF173" s="5" t="s">
        <v>15</v>
      </c>
    </row>
    <row r="174" spans="1:32" ht="15.75" thickBot="1">
      <c r="A174" s="11">
        <v>43998</v>
      </c>
      <c r="B174" s="2">
        <f t="shared" si="7"/>
        <v>0</v>
      </c>
      <c r="C174" s="3"/>
      <c r="D174" s="4"/>
      <c r="E174" s="124"/>
      <c r="F174" s="10">
        <f t="shared" si="8"/>
        <v>0</v>
      </c>
      <c r="G174" s="3"/>
      <c r="H174" s="4"/>
      <c r="I174" s="52"/>
      <c r="J174" s="53"/>
      <c r="K174" s="54"/>
      <c r="L174" s="52"/>
      <c r="M174" s="53"/>
      <c r="N174" s="53"/>
      <c r="O174" s="73"/>
      <c r="P174" s="54"/>
      <c r="Q174" s="52"/>
      <c r="R174" s="53"/>
      <c r="S174" s="57"/>
      <c r="T174" s="60"/>
      <c r="U174" s="61"/>
      <c r="V174" s="94">
        <v>400</v>
      </c>
      <c r="W174" s="54"/>
      <c r="X174" s="54" t="s">
        <v>178</v>
      </c>
      <c r="Y174" s="52"/>
      <c r="Z174" s="54"/>
      <c r="AA174" s="55"/>
      <c r="AB174" s="56"/>
      <c r="AC174" s="54"/>
      <c r="AD174" s="6">
        <f t="shared" si="9"/>
        <v>-400</v>
      </c>
      <c r="AE174" s="49">
        <v>0</v>
      </c>
      <c r="AF174" s="5" t="s">
        <v>15</v>
      </c>
    </row>
    <row r="175" spans="1:32" ht="15.75" thickBot="1">
      <c r="A175" s="11">
        <v>43999</v>
      </c>
      <c r="B175" s="2">
        <f t="shared" si="7"/>
        <v>0</v>
      </c>
      <c r="C175" s="3"/>
      <c r="D175" s="4"/>
      <c r="E175" s="124"/>
      <c r="F175" s="10">
        <f t="shared" si="8"/>
        <v>0</v>
      </c>
      <c r="G175" s="3"/>
      <c r="H175" s="4"/>
      <c r="I175" s="52"/>
      <c r="J175" s="53"/>
      <c r="K175" s="54"/>
      <c r="L175" s="52"/>
      <c r="M175" s="53"/>
      <c r="N175" s="53"/>
      <c r="O175" s="73">
        <v>300</v>
      </c>
      <c r="P175" s="54">
        <v>1</v>
      </c>
      <c r="Q175" s="52"/>
      <c r="R175" s="53"/>
      <c r="S175" s="57"/>
      <c r="T175" s="60"/>
      <c r="U175" s="61"/>
      <c r="V175" s="94"/>
      <c r="W175" s="54"/>
      <c r="X175" s="54"/>
      <c r="Y175" s="52">
        <v>450</v>
      </c>
      <c r="Z175" s="54">
        <v>1</v>
      </c>
      <c r="AA175" s="55" t="s">
        <v>266</v>
      </c>
      <c r="AB175" s="56"/>
      <c r="AC175" s="54"/>
      <c r="AD175" s="6">
        <f t="shared" si="9"/>
        <v>0</v>
      </c>
      <c r="AE175" s="49">
        <v>0</v>
      </c>
      <c r="AF175" s="5" t="s">
        <v>15</v>
      </c>
    </row>
    <row r="176" spans="1:32" ht="15.75" thickBot="1">
      <c r="A176" s="11">
        <v>44000</v>
      </c>
      <c r="B176" s="2">
        <f t="shared" si="7"/>
        <v>0</v>
      </c>
      <c r="C176" s="3">
        <v>7840</v>
      </c>
      <c r="D176" s="4">
        <v>7840</v>
      </c>
      <c r="E176" s="124"/>
      <c r="F176" s="10">
        <f t="shared" si="8"/>
        <v>0</v>
      </c>
      <c r="G176" s="3"/>
      <c r="H176" s="4"/>
      <c r="I176" s="52">
        <v>300</v>
      </c>
      <c r="J176" s="53">
        <v>1</v>
      </c>
      <c r="K176" s="54" t="s">
        <v>117</v>
      </c>
      <c r="L176" s="52"/>
      <c r="M176" s="53"/>
      <c r="N176" s="53"/>
      <c r="O176" s="73"/>
      <c r="P176" s="54"/>
      <c r="Q176" s="52"/>
      <c r="R176" s="53"/>
      <c r="S176" s="57"/>
      <c r="T176" s="60"/>
      <c r="U176" s="61"/>
      <c r="V176" s="94">
        <v>400</v>
      </c>
      <c r="W176" s="54">
        <v>1</v>
      </c>
      <c r="X176" s="54" t="s">
        <v>178</v>
      </c>
      <c r="Y176" s="52"/>
      <c r="Z176" s="54"/>
      <c r="AA176" s="55"/>
      <c r="AB176" s="56"/>
      <c r="AC176" s="54"/>
      <c r="AD176" s="6">
        <f>B176+F176-L176-G176-I176-AC176-AE176</f>
        <v>-300</v>
      </c>
      <c r="AE176" s="49">
        <v>0</v>
      </c>
      <c r="AF176" s="5" t="s">
        <v>15</v>
      </c>
    </row>
    <row r="177" spans="1:32" ht="15.75" thickBot="1">
      <c r="A177" s="11">
        <v>44001</v>
      </c>
      <c r="B177" s="2">
        <f t="shared" si="7"/>
        <v>0</v>
      </c>
      <c r="C177" s="3">
        <v>2960</v>
      </c>
      <c r="D177" s="4">
        <v>2960</v>
      </c>
      <c r="E177" s="124"/>
      <c r="F177" s="10">
        <f t="shared" si="8"/>
        <v>0</v>
      </c>
      <c r="G177" s="3"/>
      <c r="H177" s="4"/>
      <c r="I177" s="52"/>
      <c r="J177" s="53"/>
      <c r="K177" s="54"/>
      <c r="L177" s="52"/>
      <c r="M177" s="53"/>
      <c r="N177" s="53"/>
      <c r="O177" s="73">
        <v>300</v>
      </c>
      <c r="P177" s="54">
        <v>1</v>
      </c>
      <c r="Q177" s="52"/>
      <c r="R177" s="53"/>
      <c r="S177" s="57"/>
      <c r="T177" s="60"/>
      <c r="U177" s="61"/>
      <c r="V177" s="94">
        <v>400</v>
      </c>
      <c r="W177" s="54">
        <v>1</v>
      </c>
      <c r="X177" s="54" t="s">
        <v>112</v>
      </c>
      <c r="Y177" s="52">
        <v>450</v>
      </c>
      <c r="Z177" s="54">
        <v>1</v>
      </c>
      <c r="AA177" s="55" t="s">
        <v>266</v>
      </c>
      <c r="AB177" s="56"/>
      <c r="AC177" s="54"/>
      <c r="AD177" s="6">
        <f t="shared" si="9"/>
        <v>-400</v>
      </c>
      <c r="AE177" s="49">
        <v>0</v>
      </c>
      <c r="AF177" s="5" t="s">
        <v>15</v>
      </c>
    </row>
    <row r="178" spans="1:32" ht="15.75" thickBot="1">
      <c r="A178" s="11">
        <v>44002</v>
      </c>
      <c r="B178" s="2">
        <f t="shared" si="7"/>
        <v>0</v>
      </c>
      <c r="C178" s="3">
        <v>5740</v>
      </c>
      <c r="D178" s="4">
        <v>5740</v>
      </c>
      <c r="E178" s="124"/>
      <c r="F178" s="10">
        <f t="shared" si="8"/>
        <v>0</v>
      </c>
      <c r="G178" s="3"/>
      <c r="H178" s="4"/>
      <c r="I178" s="52"/>
      <c r="J178" s="53"/>
      <c r="K178" s="54"/>
      <c r="L178" s="73">
        <v>250</v>
      </c>
      <c r="M178" s="53">
        <v>1</v>
      </c>
      <c r="N178" s="53" t="s">
        <v>110</v>
      </c>
      <c r="O178" s="73"/>
      <c r="P178" s="54"/>
      <c r="Q178" s="52"/>
      <c r="R178" s="53"/>
      <c r="S178" s="57"/>
      <c r="T178" s="60"/>
      <c r="U178" s="61"/>
      <c r="V178" s="56"/>
      <c r="W178" s="54"/>
      <c r="X178" s="54"/>
      <c r="Y178" s="52">
        <v>400</v>
      </c>
      <c r="Z178" s="54">
        <v>1</v>
      </c>
      <c r="AA178" s="55" t="s">
        <v>271</v>
      </c>
      <c r="AB178" s="56"/>
      <c r="AC178" s="54"/>
      <c r="AD178" s="6">
        <f t="shared" si="9"/>
        <v>-250</v>
      </c>
      <c r="AE178" s="49">
        <v>0</v>
      </c>
      <c r="AF178" s="5" t="s">
        <v>15</v>
      </c>
    </row>
    <row r="179" spans="1:32" ht="15.75" thickBot="1">
      <c r="A179" s="11">
        <v>44003</v>
      </c>
      <c r="B179" s="2">
        <f t="shared" si="7"/>
        <v>0</v>
      </c>
      <c r="C179" s="3">
        <v>1980</v>
      </c>
      <c r="D179" s="4">
        <v>1980</v>
      </c>
      <c r="E179" s="124"/>
      <c r="F179" s="10">
        <f t="shared" si="8"/>
        <v>0</v>
      </c>
      <c r="G179" s="3"/>
      <c r="H179" s="4"/>
      <c r="I179" s="52"/>
      <c r="J179" s="53"/>
      <c r="K179" s="54"/>
      <c r="L179" s="73"/>
      <c r="M179" s="53"/>
      <c r="N179" s="53"/>
      <c r="O179" s="73"/>
      <c r="P179" s="54"/>
      <c r="Q179" s="52"/>
      <c r="R179" s="53"/>
      <c r="S179" s="57"/>
      <c r="T179" s="60"/>
      <c r="U179" s="61"/>
      <c r="V179" s="56"/>
      <c r="W179" s="54"/>
      <c r="X179" s="54"/>
      <c r="Y179" s="52"/>
      <c r="Z179" s="54"/>
      <c r="AA179" s="55"/>
      <c r="AB179" s="56"/>
      <c r="AC179" s="54"/>
      <c r="AD179" s="6">
        <f t="shared" si="9"/>
        <v>0</v>
      </c>
      <c r="AE179" s="49">
        <v>0</v>
      </c>
      <c r="AF179" s="5" t="s">
        <v>15</v>
      </c>
    </row>
    <row r="180" spans="1:32" ht="15.75" thickBot="1">
      <c r="A180" s="11">
        <v>44004</v>
      </c>
      <c r="B180" s="2">
        <f t="shared" si="7"/>
        <v>0</v>
      </c>
      <c r="C180" s="3">
        <v>5420</v>
      </c>
      <c r="D180" s="4">
        <v>5420</v>
      </c>
      <c r="E180" s="124"/>
      <c r="F180" s="10">
        <f t="shared" si="8"/>
        <v>0</v>
      </c>
      <c r="G180" s="3"/>
      <c r="H180" s="4"/>
      <c r="I180" s="52"/>
      <c r="J180" s="53"/>
      <c r="K180" s="54"/>
      <c r="L180" s="73"/>
      <c r="M180" s="53"/>
      <c r="N180" s="53"/>
      <c r="O180" s="73">
        <f>300+5*80</f>
        <v>700</v>
      </c>
      <c r="P180" s="54">
        <f>1+5</f>
        <v>6</v>
      </c>
      <c r="Q180" s="73">
        <f>350+290+4*80</f>
        <v>960</v>
      </c>
      <c r="R180" s="53">
        <f>2+4</f>
        <v>6</v>
      </c>
      <c r="S180" s="57" t="s">
        <v>272</v>
      </c>
      <c r="T180" s="60"/>
      <c r="U180" s="61"/>
      <c r="V180" s="94">
        <v>400</v>
      </c>
      <c r="W180" s="54">
        <v>1</v>
      </c>
      <c r="X180" s="54" t="s">
        <v>178</v>
      </c>
      <c r="Y180" s="52"/>
      <c r="Z180" s="54"/>
      <c r="AA180" s="55"/>
      <c r="AB180" s="56"/>
      <c r="AC180" s="54"/>
      <c r="AD180" s="6">
        <f t="shared" si="9"/>
        <v>-400</v>
      </c>
      <c r="AE180" s="49">
        <v>0</v>
      </c>
      <c r="AF180" s="5" t="s">
        <v>15</v>
      </c>
    </row>
    <row r="181" spans="1:32" ht="15.75" thickBot="1">
      <c r="A181" s="11">
        <v>44005</v>
      </c>
      <c r="B181" s="2">
        <f t="shared" si="7"/>
        <v>0</v>
      </c>
      <c r="C181" s="3">
        <v>7320</v>
      </c>
      <c r="D181" s="4">
        <v>7320</v>
      </c>
      <c r="E181" s="124"/>
      <c r="F181" s="10">
        <f t="shared" si="8"/>
        <v>0</v>
      </c>
      <c r="G181" s="3">
        <f>4*80</f>
        <v>320</v>
      </c>
      <c r="H181" s="4">
        <v>4</v>
      </c>
      <c r="I181" s="52"/>
      <c r="J181" s="53"/>
      <c r="K181" s="54"/>
      <c r="L181" s="73">
        <v>250</v>
      </c>
      <c r="M181" s="53">
        <v>1</v>
      </c>
      <c r="N181" s="53" t="s">
        <v>110</v>
      </c>
      <c r="O181" s="73"/>
      <c r="P181" s="54"/>
      <c r="Q181" s="73">
        <v>350</v>
      </c>
      <c r="R181" s="53">
        <v>1</v>
      </c>
      <c r="S181" s="57" t="s">
        <v>273</v>
      </c>
      <c r="T181" s="60"/>
      <c r="U181" s="61"/>
      <c r="V181" s="94">
        <v>350</v>
      </c>
      <c r="W181" s="54">
        <v>1</v>
      </c>
      <c r="X181" s="54" t="s">
        <v>112</v>
      </c>
      <c r="Y181" s="52">
        <v>400</v>
      </c>
      <c r="Z181" s="54">
        <v>1</v>
      </c>
      <c r="AA181" s="55" t="s">
        <v>271</v>
      </c>
      <c r="AB181" s="56"/>
      <c r="AC181" s="54"/>
      <c r="AD181" s="6">
        <f t="shared" si="9"/>
        <v>-920</v>
      </c>
      <c r="AE181" s="49">
        <v>0</v>
      </c>
      <c r="AF181" s="5" t="s">
        <v>15</v>
      </c>
    </row>
    <row r="182" spans="1:32" ht="15.75" thickBot="1">
      <c r="A182" s="11">
        <v>44006</v>
      </c>
      <c r="B182" s="2">
        <f t="shared" si="7"/>
        <v>0</v>
      </c>
      <c r="C182" s="3">
        <v>5110</v>
      </c>
      <c r="D182" s="4">
        <v>5110</v>
      </c>
      <c r="E182" s="124"/>
      <c r="F182" s="10">
        <f t="shared" si="8"/>
        <v>0</v>
      </c>
      <c r="G182" s="3"/>
      <c r="H182" s="4"/>
      <c r="I182" s="52"/>
      <c r="J182" s="53"/>
      <c r="K182" s="54"/>
      <c r="L182" s="52"/>
      <c r="M182" s="53"/>
      <c r="N182" s="53"/>
      <c r="O182" s="73">
        <v>300</v>
      </c>
      <c r="P182" s="54">
        <v>1</v>
      </c>
      <c r="Q182" s="73"/>
      <c r="R182" s="53"/>
      <c r="S182" s="57"/>
      <c r="T182" s="60"/>
      <c r="U182" s="61"/>
      <c r="V182" s="94"/>
      <c r="W182" s="54"/>
      <c r="X182" s="54"/>
      <c r="Y182" s="52"/>
      <c r="Z182" s="54"/>
      <c r="AA182" s="55"/>
      <c r="AB182" s="56"/>
      <c r="AC182" s="54"/>
      <c r="AD182" s="6">
        <f t="shared" si="9"/>
        <v>0</v>
      </c>
      <c r="AE182" s="49">
        <v>0</v>
      </c>
      <c r="AF182" s="5" t="s">
        <v>15</v>
      </c>
    </row>
    <row r="183" spans="1:32" ht="15.75" thickBot="1">
      <c r="A183" s="11">
        <v>44007</v>
      </c>
      <c r="B183" s="2">
        <f t="shared" si="7"/>
        <v>0</v>
      </c>
      <c r="C183" s="3">
        <v>4040</v>
      </c>
      <c r="D183" s="4">
        <v>4040</v>
      </c>
      <c r="E183" s="124"/>
      <c r="F183" s="10">
        <f t="shared" si="8"/>
        <v>0</v>
      </c>
      <c r="G183" s="3"/>
      <c r="H183" s="4"/>
      <c r="I183" s="52"/>
      <c r="J183" s="53"/>
      <c r="K183" s="54"/>
      <c r="L183" s="73">
        <v>250</v>
      </c>
      <c r="M183" s="53">
        <v>1</v>
      </c>
      <c r="N183" s="53" t="s">
        <v>110</v>
      </c>
      <c r="O183" s="73">
        <f>80*6</f>
        <v>480</v>
      </c>
      <c r="P183" s="54">
        <v>6</v>
      </c>
      <c r="Q183" s="73">
        <f>290+350+350</f>
        <v>990</v>
      </c>
      <c r="R183" s="53">
        <v>1</v>
      </c>
      <c r="S183" s="57" t="s">
        <v>265</v>
      </c>
      <c r="T183" s="60"/>
      <c r="U183" s="61"/>
      <c r="V183" s="94"/>
      <c r="W183" s="54"/>
      <c r="X183" s="54"/>
      <c r="Y183" s="52"/>
      <c r="Z183" s="54"/>
      <c r="AA183" s="55"/>
      <c r="AB183" s="56"/>
      <c r="AC183" s="54"/>
      <c r="AD183" s="6">
        <f t="shared" si="9"/>
        <v>-250</v>
      </c>
      <c r="AE183" s="49">
        <v>0</v>
      </c>
      <c r="AF183" s="5" t="s">
        <v>15</v>
      </c>
    </row>
    <row r="184" spans="1:32" ht="15.75" thickBot="1">
      <c r="A184" s="11">
        <v>44008</v>
      </c>
      <c r="B184" s="2">
        <f t="shared" si="7"/>
        <v>0</v>
      </c>
      <c r="C184" s="3">
        <v>2980</v>
      </c>
      <c r="D184" s="4">
        <v>2980</v>
      </c>
      <c r="E184" s="124"/>
      <c r="F184" s="10">
        <f t="shared" si="8"/>
        <v>0</v>
      </c>
      <c r="G184" s="3"/>
      <c r="H184" s="4"/>
      <c r="I184" s="52"/>
      <c r="J184" s="53"/>
      <c r="K184" s="54"/>
      <c r="L184" s="73"/>
      <c r="M184" s="53"/>
      <c r="N184" s="53"/>
      <c r="O184" s="73"/>
      <c r="P184" s="54"/>
      <c r="Q184" s="73">
        <f>80*5</f>
        <v>400</v>
      </c>
      <c r="R184" s="53">
        <v>5</v>
      </c>
      <c r="S184" s="57" t="s">
        <v>275</v>
      </c>
      <c r="T184" s="60"/>
      <c r="U184" s="61"/>
      <c r="V184" s="94"/>
      <c r="W184" s="54"/>
      <c r="X184" s="54"/>
      <c r="Y184" s="52">
        <v>600</v>
      </c>
      <c r="Z184" s="54">
        <v>1</v>
      </c>
      <c r="AA184" s="55" t="s">
        <v>274</v>
      </c>
      <c r="AB184" s="56"/>
      <c r="AC184" s="54"/>
      <c r="AD184" s="6">
        <f t="shared" si="9"/>
        <v>0</v>
      </c>
      <c r="AE184" s="49">
        <v>0</v>
      </c>
      <c r="AF184" s="5" t="s">
        <v>15</v>
      </c>
    </row>
    <row r="185" spans="1:32" ht="15.75" thickBot="1">
      <c r="A185" s="11">
        <v>44009</v>
      </c>
      <c r="B185" s="2">
        <f t="shared" si="7"/>
        <v>0</v>
      </c>
      <c r="C185" s="3">
        <v>5000</v>
      </c>
      <c r="D185" s="4">
        <v>5000</v>
      </c>
      <c r="E185" s="124"/>
      <c r="F185" s="10">
        <f t="shared" si="8"/>
        <v>0</v>
      </c>
      <c r="G185" s="3"/>
      <c r="H185" s="4"/>
      <c r="I185" s="52"/>
      <c r="J185" s="53"/>
      <c r="K185" s="54"/>
      <c r="L185" s="73">
        <v>450</v>
      </c>
      <c r="M185" s="53">
        <v>1</v>
      </c>
      <c r="N185" s="53" t="s">
        <v>243</v>
      </c>
      <c r="O185" s="73">
        <v>300</v>
      </c>
      <c r="P185" s="54">
        <v>1</v>
      </c>
      <c r="Q185" s="73"/>
      <c r="R185" s="53"/>
      <c r="S185" s="57"/>
      <c r="T185" s="60"/>
      <c r="U185" s="61"/>
      <c r="V185" s="94"/>
      <c r="W185" s="54"/>
      <c r="X185" s="54"/>
      <c r="Y185" s="52"/>
      <c r="Z185" s="54"/>
      <c r="AA185" s="55"/>
      <c r="AB185" s="56"/>
      <c r="AC185" s="54"/>
      <c r="AD185" s="6">
        <f t="shared" si="9"/>
        <v>-450</v>
      </c>
      <c r="AE185" s="49">
        <v>0</v>
      </c>
      <c r="AF185" s="5" t="s">
        <v>15</v>
      </c>
    </row>
    <row r="186" spans="1:32" ht="15.75" thickBot="1">
      <c r="A186" s="11">
        <v>44010</v>
      </c>
      <c r="B186" s="2">
        <f t="shared" si="7"/>
        <v>0</v>
      </c>
      <c r="C186" s="3">
        <v>5980</v>
      </c>
      <c r="D186" s="4">
        <v>5980</v>
      </c>
      <c r="E186" s="124"/>
      <c r="F186" s="10">
        <f t="shared" si="8"/>
        <v>0</v>
      </c>
      <c r="G186" s="3"/>
      <c r="H186" s="4"/>
      <c r="I186" s="52"/>
      <c r="J186" s="53"/>
      <c r="K186" s="54"/>
      <c r="L186" s="52"/>
      <c r="M186" s="53"/>
      <c r="N186" s="53"/>
      <c r="O186" s="52"/>
      <c r="P186" s="54"/>
      <c r="Q186" s="73">
        <f>300+290+350</f>
        <v>940</v>
      </c>
      <c r="R186" s="53">
        <v>1</v>
      </c>
      <c r="S186" s="57" t="s">
        <v>276</v>
      </c>
      <c r="T186" s="60"/>
      <c r="U186" s="61"/>
      <c r="V186" s="94"/>
      <c r="W186" s="54"/>
      <c r="X186" s="54"/>
      <c r="Y186" s="52"/>
      <c r="Z186" s="54"/>
      <c r="AA186" s="55"/>
      <c r="AB186" s="56"/>
      <c r="AC186" s="54">
        <v>0</v>
      </c>
      <c r="AD186" s="6">
        <f t="shared" si="9"/>
        <v>0</v>
      </c>
      <c r="AE186" s="49">
        <v>0</v>
      </c>
      <c r="AF186" s="5" t="s">
        <v>15</v>
      </c>
    </row>
    <row r="187" spans="1:32" ht="15.75" thickBot="1">
      <c r="A187" s="11">
        <v>44011</v>
      </c>
      <c r="B187" s="2">
        <f t="shared" si="7"/>
        <v>0</v>
      </c>
      <c r="C187" s="3">
        <v>12040</v>
      </c>
      <c r="D187" s="4">
        <v>12040</v>
      </c>
      <c r="E187" s="124"/>
      <c r="F187" s="10">
        <f t="shared" si="8"/>
        <v>0</v>
      </c>
      <c r="G187" s="3"/>
      <c r="H187" s="4"/>
      <c r="I187" s="52"/>
      <c r="J187" s="53"/>
      <c r="K187" s="54"/>
      <c r="L187" s="52"/>
      <c r="M187" s="53"/>
      <c r="N187" s="53"/>
      <c r="O187" s="73">
        <f>300+7*80</f>
        <v>860</v>
      </c>
      <c r="P187" s="54">
        <f>1+7</f>
        <v>8</v>
      </c>
      <c r="Q187" s="73">
        <f>5*80</f>
        <v>400</v>
      </c>
      <c r="R187" s="53">
        <v>5</v>
      </c>
      <c r="S187" s="57"/>
      <c r="T187" s="60"/>
      <c r="U187" s="61"/>
      <c r="V187" s="94"/>
      <c r="W187" s="54"/>
      <c r="X187" s="54"/>
      <c r="Y187" s="52">
        <v>600</v>
      </c>
      <c r="Z187" s="54">
        <v>1</v>
      </c>
      <c r="AA187" s="55" t="s">
        <v>274</v>
      </c>
      <c r="AB187" s="56" t="s">
        <v>277</v>
      </c>
      <c r="AC187" s="54">
        <v>500</v>
      </c>
      <c r="AD187" s="6">
        <f t="shared" si="9"/>
        <v>-500</v>
      </c>
      <c r="AE187" s="49">
        <v>0</v>
      </c>
      <c r="AF187" s="5" t="s">
        <v>15</v>
      </c>
    </row>
    <row r="188" spans="1:32" ht="15.75" thickBot="1">
      <c r="A188" s="11">
        <v>44012</v>
      </c>
      <c r="B188" s="2">
        <f t="shared" si="7"/>
        <v>0</v>
      </c>
      <c r="C188" s="3">
        <v>7900</v>
      </c>
      <c r="D188" s="4">
        <v>7900</v>
      </c>
      <c r="E188" s="124"/>
      <c r="F188" s="10">
        <f t="shared" si="8"/>
        <v>0</v>
      </c>
      <c r="G188" s="3"/>
      <c r="H188" s="4"/>
      <c r="I188" s="73">
        <v>300</v>
      </c>
      <c r="J188" s="53">
        <v>1</v>
      </c>
      <c r="K188" s="54" t="s">
        <v>117</v>
      </c>
      <c r="L188" s="52"/>
      <c r="M188" s="53"/>
      <c r="N188" s="53"/>
      <c r="O188" s="73"/>
      <c r="P188" s="54"/>
      <c r="Q188" s="73">
        <f>350+290+300</f>
        <v>940</v>
      </c>
      <c r="R188" s="53">
        <v>1</v>
      </c>
      <c r="S188" s="57" t="s">
        <v>279</v>
      </c>
      <c r="T188" s="60"/>
      <c r="U188" s="61"/>
      <c r="V188" s="94">
        <f>290+290+290</f>
        <v>870</v>
      </c>
      <c r="W188" s="54">
        <v>1</v>
      </c>
      <c r="X188" s="54" t="s">
        <v>278</v>
      </c>
      <c r="Y188" s="52">
        <v>400</v>
      </c>
      <c r="Z188" s="54">
        <v>1</v>
      </c>
      <c r="AA188" s="55" t="s">
        <v>271</v>
      </c>
      <c r="AB188" s="56"/>
      <c r="AC188" s="54"/>
      <c r="AD188" s="6">
        <f t="shared" si="9"/>
        <v>-1170</v>
      </c>
      <c r="AE188" s="49">
        <v>0</v>
      </c>
      <c r="AF188" s="5" t="s">
        <v>15</v>
      </c>
    </row>
    <row r="189" spans="1:32" ht="15.75" thickBot="1">
      <c r="A189" s="11">
        <v>44013</v>
      </c>
      <c r="B189" s="2">
        <f t="shared" si="7"/>
        <v>0</v>
      </c>
      <c r="C189" s="3">
        <v>2890</v>
      </c>
      <c r="D189" s="4">
        <v>2890</v>
      </c>
      <c r="E189" s="124"/>
      <c r="F189" s="10">
        <f t="shared" si="8"/>
        <v>0</v>
      </c>
      <c r="G189" s="3"/>
      <c r="H189" s="4"/>
      <c r="I189" s="52"/>
      <c r="J189" s="53"/>
      <c r="K189" s="54"/>
      <c r="L189" s="73">
        <f>400+250</f>
        <v>650</v>
      </c>
      <c r="M189" s="53">
        <v>1</v>
      </c>
      <c r="N189" s="53" t="s">
        <v>280</v>
      </c>
      <c r="O189" s="73">
        <v>300</v>
      </c>
      <c r="P189" s="54">
        <v>1</v>
      </c>
      <c r="Q189" s="73">
        <v>290</v>
      </c>
      <c r="R189" s="53">
        <v>1</v>
      </c>
      <c r="S189" s="57" t="s">
        <v>268</v>
      </c>
      <c r="T189" s="60"/>
      <c r="U189" s="61"/>
      <c r="V189" s="56"/>
      <c r="W189" s="54"/>
      <c r="X189" s="54"/>
      <c r="Y189" s="52"/>
      <c r="Z189" s="54"/>
      <c r="AA189" s="55"/>
      <c r="AB189" s="56"/>
      <c r="AC189" s="54"/>
      <c r="AD189" s="6">
        <f t="shared" si="9"/>
        <v>-650</v>
      </c>
      <c r="AE189" s="49">
        <v>0</v>
      </c>
      <c r="AF189" s="5" t="s">
        <v>15</v>
      </c>
    </row>
    <row r="190" spans="1:32" ht="15.75" thickBot="1">
      <c r="A190" s="11">
        <v>44014</v>
      </c>
      <c r="B190" s="2">
        <f t="shared" si="7"/>
        <v>0</v>
      </c>
      <c r="C190" s="3">
        <v>8500</v>
      </c>
      <c r="D190" s="4">
        <f>2180+2500</f>
        <v>4680</v>
      </c>
      <c r="E190" s="124"/>
      <c r="F190" s="10">
        <f t="shared" si="8"/>
        <v>3820</v>
      </c>
      <c r="G190" s="3"/>
      <c r="H190" s="4"/>
      <c r="I190" s="73">
        <v>300</v>
      </c>
      <c r="J190" s="53">
        <v>1</v>
      </c>
      <c r="K190" s="54" t="s">
        <v>117</v>
      </c>
      <c r="L190" s="52"/>
      <c r="M190" s="53"/>
      <c r="N190" s="53"/>
      <c r="O190" s="73">
        <f>80*4</f>
        <v>320</v>
      </c>
      <c r="P190" s="54">
        <v>4</v>
      </c>
      <c r="Q190" s="96">
        <f>350+300</f>
        <v>650</v>
      </c>
      <c r="R190" s="53">
        <v>2</v>
      </c>
      <c r="S190" s="57" t="s">
        <v>281</v>
      </c>
      <c r="T190" s="60"/>
      <c r="U190" s="61"/>
      <c r="V190" s="56"/>
      <c r="W190" s="54"/>
      <c r="X190" s="54"/>
      <c r="Y190" s="52"/>
      <c r="Z190" s="54"/>
      <c r="AA190" s="55"/>
      <c r="AB190" s="56"/>
      <c r="AC190" s="54"/>
      <c r="AD190" s="6">
        <f t="shared" si="9"/>
        <v>3500</v>
      </c>
      <c r="AE190" s="49">
        <v>20</v>
      </c>
      <c r="AF190" s="5" t="s">
        <v>91</v>
      </c>
    </row>
    <row r="191" spans="1:32" ht="15.75" thickBot="1">
      <c r="A191" s="11">
        <v>44015</v>
      </c>
      <c r="B191" s="2">
        <f t="shared" si="7"/>
        <v>20</v>
      </c>
      <c r="C191" s="3">
        <v>10429</v>
      </c>
      <c r="D191" s="4">
        <v>8880</v>
      </c>
      <c r="E191" s="124"/>
      <c r="F191" s="10">
        <f t="shared" si="8"/>
        <v>1549</v>
      </c>
      <c r="G191" s="3"/>
      <c r="H191" s="4"/>
      <c r="I191" s="52"/>
      <c r="J191" s="53"/>
      <c r="K191" s="54"/>
      <c r="L191" s="52"/>
      <c r="M191" s="53"/>
      <c r="N191" s="53"/>
      <c r="O191" s="73">
        <v>300</v>
      </c>
      <c r="P191" s="54">
        <v>1</v>
      </c>
      <c r="Q191" s="96"/>
      <c r="R191" s="53"/>
      <c r="S191" s="57"/>
      <c r="T191" s="60"/>
      <c r="U191" s="61"/>
      <c r="V191" s="94">
        <v>300</v>
      </c>
      <c r="W191" s="54">
        <v>1</v>
      </c>
      <c r="X191" s="54" t="s">
        <v>282</v>
      </c>
      <c r="Y191" s="52">
        <f>400+300+400</f>
        <v>1100</v>
      </c>
      <c r="Z191" s="54">
        <v>2</v>
      </c>
      <c r="AA191" s="55" t="s">
        <v>283</v>
      </c>
      <c r="AB191" s="56"/>
      <c r="AC191" s="54"/>
      <c r="AD191" s="6">
        <f>B191+F191-L191-G191-I191-AC191-AE191</f>
        <v>1500</v>
      </c>
      <c r="AE191" s="49">
        <v>69</v>
      </c>
      <c r="AF191" s="5" t="s">
        <v>15</v>
      </c>
    </row>
    <row r="192" spans="1:32" ht="15.75" thickBot="1">
      <c r="A192" s="11">
        <v>44016</v>
      </c>
      <c r="B192" s="2">
        <f t="shared" si="7"/>
        <v>69</v>
      </c>
      <c r="C192" s="3">
        <v>2220</v>
      </c>
      <c r="D192" s="4">
        <v>960</v>
      </c>
      <c r="E192" s="124"/>
      <c r="F192" s="10">
        <f t="shared" si="8"/>
        <v>1260</v>
      </c>
      <c r="G192" s="3"/>
      <c r="H192" s="4"/>
      <c r="I192" s="52"/>
      <c r="J192" s="53"/>
      <c r="K192" s="54"/>
      <c r="L192" s="52"/>
      <c r="M192" s="53"/>
      <c r="N192" s="53"/>
      <c r="O192" s="73"/>
      <c r="P192" s="54"/>
      <c r="Q192" s="96"/>
      <c r="R192" s="53"/>
      <c r="S192" s="57"/>
      <c r="T192" s="60"/>
      <c r="U192" s="61"/>
      <c r="V192" s="94"/>
      <c r="W192" s="54"/>
      <c r="X192" s="54"/>
      <c r="Y192" s="52"/>
      <c r="Z192" s="54"/>
      <c r="AA192" s="55"/>
      <c r="AB192" s="56"/>
      <c r="AC192" s="54"/>
      <c r="AD192" s="6">
        <f t="shared" si="9"/>
        <v>1299</v>
      </c>
      <c r="AE192" s="49">
        <v>30</v>
      </c>
      <c r="AF192" s="5" t="s">
        <v>15</v>
      </c>
    </row>
    <row r="193" spans="1:32" ht="15.75" thickBot="1">
      <c r="A193" s="11">
        <v>44017</v>
      </c>
      <c r="B193" s="2">
        <f t="shared" si="7"/>
        <v>30</v>
      </c>
      <c r="C193" s="3">
        <v>3540</v>
      </c>
      <c r="D193" s="4">
        <v>880</v>
      </c>
      <c r="E193" s="124"/>
      <c r="F193" s="10">
        <f t="shared" si="8"/>
        <v>2660</v>
      </c>
      <c r="G193" s="3"/>
      <c r="H193" s="4"/>
      <c r="I193" s="52"/>
      <c r="J193" s="53"/>
      <c r="K193" s="54"/>
      <c r="L193" s="52"/>
      <c r="M193" s="53"/>
      <c r="N193" s="53"/>
      <c r="O193" s="73"/>
      <c r="P193" s="54"/>
      <c r="Q193" s="96">
        <v>300</v>
      </c>
      <c r="R193" s="53">
        <v>1</v>
      </c>
      <c r="S193" s="57" t="s">
        <v>285</v>
      </c>
      <c r="T193" s="60"/>
      <c r="U193" s="61"/>
      <c r="V193" s="94">
        <f>290+400+290</f>
        <v>980</v>
      </c>
      <c r="W193" s="54">
        <v>1</v>
      </c>
      <c r="X193" s="54" t="s">
        <v>284</v>
      </c>
      <c r="Y193" s="52"/>
      <c r="Z193" s="54"/>
      <c r="AA193" s="55"/>
      <c r="AB193" s="56" t="s">
        <v>286</v>
      </c>
      <c r="AC193" s="54">
        <v>250</v>
      </c>
      <c r="AD193" s="6">
        <f>B193+F193-L193-G193-I193-AC193-AE193</f>
        <v>2350</v>
      </c>
      <c r="AE193" s="49">
        <v>90</v>
      </c>
      <c r="AF193" s="5" t="s">
        <v>15</v>
      </c>
    </row>
    <row r="194" spans="1:32" ht="15.75" thickBot="1">
      <c r="A194" s="11">
        <v>44018</v>
      </c>
      <c r="B194" s="2">
        <f t="shared" si="7"/>
        <v>90</v>
      </c>
      <c r="C194" s="3">
        <v>7270</v>
      </c>
      <c r="D194" s="4">
        <v>5350</v>
      </c>
      <c r="E194" s="124"/>
      <c r="F194" s="10">
        <f t="shared" si="8"/>
        <v>1920</v>
      </c>
      <c r="G194" s="3"/>
      <c r="H194" s="4"/>
      <c r="I194" s="52"/>
      <c r="J194" s="53"/>
      <c r="K194" s="54"/>
      <c r="L194" s="52"/>
      <c r="M194" s="53"/>
      <c r="N194" s="53"/>
      <c r="O194" s="73">
        <v>300</v>
      </c>
      <c r="P194" s="54">
        <v>1</v>
      </c>
      <c r="Q194" s="96">
        <v>650</v>
      </c>
      <c r="R194" s="53">
        <v>2</v>
      </c>
      <c r="S194" s="57" t="s">
        <v>272</v>
      </c>
      <c r="T194" s="60"/>
      <c r="U194" s="61"/>
      <c r="V194" s="94"/>
      <c r="W194" s="54"/>
      <c r="X194" s="54"/>
      <c r="Y194" s="52"/>
      <c r="Z194" s="54"/>
      <c r="AA194" s="55"/>
      <c r="AB194" s="56" t="s">
        <v>287</v>
      </c>
      <c r="AC194" s="54">
        <v>1400</v>
      </c>
      <c r="AD194" s="6">
        <f t="shared" si="9"/>
        <v>610</v>
      </c>
      <c r="AE194" s="49">
        <v>0</v>
      </c>
      <c r="AF194" s="5" t="s">
        <v>91</v>
      </c>
    </row>
    <row r="195" spans="1:32" ht="15.75" thickBot="1">
      <c r="A195" s="11">
        <v>44019</v>
      </c>
      <c r="B195" s="2">
        <f t="shared" si="7"/>
        <v>0</v>
      </c>
      <c r="C195" s="3">
        <v>10720</v>
      </c>
      <c r="D195" s="4">
        <v>5360</v>
      </c>
      <c r="E195" s="124"/>
      <c r="F195" s="10">
        <f t="shared" si="8"/>
        <v>5360</v>
      </c>
      <c r="G195" s="3">
        <v>320</v>
      </c>
      <c r="H195" s="4">
        <v>4</v>
      </c>
      <c r="I195" s="73">
        <v>300</v>
      </c>
      <c r="J195" s="53">
        <v>1</v>
      </c>
      <c r="K195" s="54" t="s">
        <v>117</v>
      </c>
      <c r="L195" s="52"/>
      <c r="M195" s="53"/>
      <c r="N195" s="53"/>
      <c r="O195" s="52"/>
      <c r="P195" s="54"/>
      <c r="Q195" s="96"/>
      <c r="R195" s="53"/>
      <c r="S195" s="57"/>
      <c r="T195" s="60"/>
      <c r="U195" s="61"/>
      <c r="V195" s="94"/>
      <c r="W195" s="54"/>
      <c r="X195" s="54"/>
      <c r="Y195" s="52">
        <v>300</v>
      </c>
      <c r="Z195" s="54">
        <v>1</v>
      </c>
      <c r="AA195" s="55" t="s">
        <v>288</v>
      </c>
      <c r="AB195" s="56"/>
      <c r="AC195" s="54"/>
      <c r="AD195" s="6">
        <f t="shared" si="9"/>
        <v>4700</v>
      </c>
      <c r="AE195" s="49">
        <v>40</v>
      </c>
      <c r="AF195" s="5" t="s">
        <v>15</v>
      </c>
    </row>
    <row r="196" spans="1:32" ht="15.75" thickBot="1">
      <c r="A196" s="11">
        <v>44020</v>
      </c>
      <c r="B196" s="2">
        <f t="shared" si="7"/>
        <v>40</v>
      </c>
      <c r="C196" s="3">
        <v>5480</v>
      </c>
      <c r="D196" s="4">
        <f>2140+240</f>
        <v>2380</v>
      </c>
      <c r="E196" s="124"/>
      <c r="F196" s="10">
        <f t="shared" si="8"/>
        <v>3100</v>
      </c>
      <c r="G196" s="3"/>
      <c r="H196" s="4"/>
      <c r="I196" s="52"/>
      <c r="J196" s="53"/>
      <c r="K196" s="54"/>
      <c r="L196" s="73">
        <v>500</v>
      </c>
      <c r="M196" s="53">
        <v>1</v>
      </c>
      <c r="N196" s="53" t="s">
        <v>243</v>
      </c>
      <c r="O196" s="52"/>
      <c r="P196" s="54"/>
      <c r="Q196" s="96">
        <f>350+300</f>
        <v>650</v>
      </c>
      <c r="R196" s="53">
        <v>1</v>
      </c>
      <c r="S196" s="57" t="s">
        <v>265</v>
      </c>
      <c r="T196" s="60"/>
      <c r="U196" s="61"/>
      <c r="V196" s="94">
        <f>300+290-120</f>
        <v>470</v>
      </c>
      <c r="W196" s="54">
        <v>2</v>
      </c>
      <c r="X196" s="54" t="s">
        <v>290</v>
      </c>
      <c r="Y196" s="52">
        <f>400+600</f>
        <v>1000</v>
      </c>
      <c r="Z196" s="54">
        <v>1</v>
      </c>
      <c r="AA196" s="55" t="s">
        <v>289</v>
      </c>
      <c r="AB196" s="56" t="s">
        <v>286</v>
      </c>
      <c r="AC196" s="54">
        <v>500</v>
      </c>
      <c r="AD196" s="6">
        <f>B196+F196-L196-G196-I196-AC196-AE196</f>
        <v>2100</v>
      </c>
      <c r="AE196" s="49">
        <v>40</v>
      </c>
      <c r="AF196" s="5" t="s">
        <v>15</v>
      </c>
    </row>
    <row r="197" spans="1:32" ht="15.75" thickBot="1">
      <c r="A197" s="11">
        <v>44021</v>
      </c>
      <c r="B197" s="2">
        <f t="shared" si="7"/>
        <v>40</v>
      </c>
      <c r="C197" s="3">
        <v>5050</v>
      </c>
      <c r="D197" s="4">
        <v>3240</v>
      </c>
      <c r="E197" s="124"/>
      <c r="F197" s="10">
        <f t="shared" si="8"/>
        <v>1810</v>
      </c>
      <c r="G197" s="3">
        <v>320</v>
      </c>
      <c r="H197" s="4">
        <v>4</v>
      </c>
      <c r="I197" s="52">
        <v>300</v>
      </c>
      <c r="J197" s="53">
        <v>1</v>
      </c>
      <c r="K197" s="54" t="s">
        <v>117</v>
      </c>
      <c r="L197" s="52"/>
      <c r="M197" s="53"/>
      <c r="N197" s="53"/>
      <c r="O197" s="52"/>
      <c r="P197" s="54"/>
      <c r="Q197" s="96">
        <v>300</v>
      </c>
      <c r="R197" s="53">
        <v>1</v>
      </c>
      <c r="S197" s="57" t="s">
        <v>285</v>
      </c>
      <c r="T197" s="60"/>
      <c r="U197" s="61"/>
      <c r="V197" s="94">
        <v>350</v>
      </c>
      <c r="W197" s="54">
        <v>1</v>
      </c>
      <c r="X197" s="54" t="s">
        <v>112</v>
      </c>
      <c r="Y197" s="52"/>
      <c r="Z197" s="54"/>
      <c r="AA197" s="55"/>
      <c r="AB197" s="56" t="s">
        <v>287</v>
      </c>
      <c r="AC197" s="54">
        <v>800</v>
      </c>
      <c r="AD197" s="6">
        <f>B197+F197-L197-G197-I197-V197-AC197-AE197</f>
        <v>0</v>
      </c>
      <c r="AE197" s="49">
        <v>80</v>
      </c>
      <c r="AF197" s="5" t="s">
        <v>91</v>
      </c>
    </row>
    <row r="198" spans="1:32" ht="15.75" thickBot="1">
      <c r="A198" s="11">
        <v>44022</v>
      </c>
      <c r="B198" s="2">
        <f t="shared" si="7"/>
        <v>80</v>
      </c>
      <c r="C198" s="3">
        <v>2510</v>
      </c>
      <c r="D198" s="4">
        <v>520</v>
      </c>
      <c r="E198" s="124"/>
      <c r="F198" s="10">
        <f t="shared" si="8"/>
        <v>1990</v>
      </c>
      <c r="G198" s="3"/>
      <c r="H198" s="4"/>
      <c r="I198" s="52"/>
      <c r="J198" s="53"/>
      <c r="K198" s="54"/>
      <c r="L198" s="73"/>
      <c r="M198" s="53"/>
      <c r="N198" s="53"/>
      <c r="O198" s="52"/>
      <c r="P198" s="54"/>
      <c r="Q198" s="96">
        <v>300</v>
      </c>
      <c r="R198" s="53">
        <v>1</v>
      </c>
      <c r="S198" s="57" t="s">
        <v>268</v>
      </c>
      <c r="T198" s="95">
        <v>300</v>
      </c>
      <c r="U198" s="61">
        <v>1</v>
      </c>
      <c r="V198" s="94">
        <f>300+290</f>
        <v>590</v>
      </c>
      <c r="W198" s="54">
        <v>2</v>
      </c>
      <c r="X198" s="54" t="s">
        <v>292</v>
      </c>
      <c r="Y198" s="52">
        <v>300</v>
      </c>
      <c r="Z198" s="54">
        <v>1</v>
      </c>
      <c r="AA198" s="55" t="s">
        <v>291</v>
      </c>
      <c r="AB198" s="56"/>
      <c r="AC198" s="54"/>
      <c r="AD198" s="6">
        <f>B198+F198-L198-G198-I198-AE198</f>
        <v>1900</v>
      </c>
      <c r="AE198" s="49">
        <v>170</v>
      </c>
      <c r="AF198" s="5" t="s">
        <v>15</v>
      </c>
    </row>
    <row r="199" spans="1:32" ht="15.75" thickBot="1">
      <c r="A199" s="11">
        <v>44023</v>
      </c>
      <c r="B199" s="2">
        <f t="shared" si="7"/>
        <v>170</v>
      </c>
      <c r="C199" s="3">
        <v>1440</v>
      </c>
      <c r="D199" s="4">
        <v>420</v>
      </c>
      <c r="E199" s="124"/>
      <c r="F199" s="10">
        <f t="shared" si="8"/>
        <v>1020</v>
      </c>
      <c r="G199" s="3"/>
      <c r="H199" s="4"/>
      <c r="I199" s="52"/>
      <c r="J199" s="53"/>
      <c r="K199" s="54"/>
      <c r="L199" s="73">
        <v>250</v>
      </c>
      <c r="M199" s="53">
        <v>1</v>
      </c>
      <c r="N199" s="53" t="s">
        <v>110</v>
      </c>
      <c r="O199" s="52"/>
      <c r="P199" s="54"/>
      <c r="Q199" s="96"/>
      <c r="R199" s="53"/>
      <c r="S199" s="57"/>
      <c r="T199" s="60"/>
      <c r="U199" s="61"/>
      <c r="V199" s="94">
        <f>300+290+350</f>
        <v>940</v>
      </c>
      <c r="W199" s="54">
        <v>1</v>
      </c>
      <c r="X199" s="54" t="s">
        <v>293</v>
      </c>
      <c r="Y199" s="52">
        <v>300</v>
      </c>
      <c r="Z199" s="54">
        <v>1</v>
      </c>
      <c r="AA199" s="55" t="s">
        <v>288</v>
      </c>
      <c r="AB199" s="56"/>
      <c r="AC199" s="54"/>
      <c r="AD199" s="6">
        <f>B199+F199-L199-G199-I199-AC199-AE199</f>
        <v>750</v>
      </c>
      <c r="AE199" s="49">
        <v>190</v>
      </c>
      <c r="AF199" s="5" t="s">
        <v>15</v>
      </c>
    </row>
    <row r="200" spans="1:32" ht="15.75" thickBot="1">
      <c r="A200" s="11">
        <v>44024</v>
      </c>
      <c r="B200" s="2">
        <f t="shared" ref="B200:B263" si="10">AE199</f>
        <v>190</v>
      </c>
      <c r="C200" s="3">
        <v>9150</v>
      </c>
      <c r="D200" s="4">
        <v>7600</v>
      </c>
      <c r="E200" s="124"/>
      <c r="F200" s="10">
        <f t="shared" ref="F200:F263" si="11">C200-D200</f>
        <v>1550</v>
      </c>
      <c r="G200" s="3"/>
      <c r="H200" s="4"/>
      <c r="I200" s="52"/>
      <c r="J200" s="53"/>
      <c r="K200" s="54"/>
      <c r="L200" s="73">
        <v>325</v>
      </c>
      <c r="M200" s="53">
        <v>1</v>
      </c>
      <c r="N200" s="53" t="s">
        <v>121</v>
      </c>
      <c r="O200" s="73">
        <v>350</v>
      </c>
      <c r="P200" s="54">
        <v>1</v>
      </c>
      <c r="Q200" s="96">
        <v>650</v>
      </c>
      <c r="R200" s="53">
        <v>2</v>
      </c>
      <c r="S200" s="57" t="s">
        <v>294</v>
      </c>
      <c r="T200" s="60"/>
      <c r="U200" s="61"/>
      <c r="V200" s="56"/>
      <c r="W200" s="54"/>
      <c r="X200" s="54"/>
      <c r="Y200" s="52"/>
      <c r="Z200" s="54"/>
      <c r="AA200" s="55"/>
      <c r="AB200" s="56" t="s">
        <v>287</v>
      </c>
      <c r="AC200" s="54">
        <v>800</v>
      </c>
      <c r="AD200" s="6">
        <f>B200+F200-L200-G200-I200-V200-AC200-AE200</f>
        <v>600</v>
      </c>
      <c r="AE200" s="49">
        <v>15</v>
      </c>
      <c r="AF200" s="5" t="s">
        <v>91</v>
      </c>
    </row>
    <row r="201" spans="1:32" ht="15.75" thickBot="1">
      <c r="A201" s="11">
        <v>44025</v>
      </c>
      <c r="B201" s="2">
        <f t="shared" si="10"/>
        <v>15</v>
      </c>
      <c r="C201" s="3">
        <v>18590</v>
      </c>
      <c r="D201" s="4">
        <v>14460</v>
      </c>
      <c r="E201" s="124"/>
      <c r="F201" s="10">
        <f t="shared" si="11"/>
        <v>4130</v>
      </c>
      <c r="G201" s="3"/>
      <c r="H201" s="4"/>
      <c r="I201" s="52"/>
      <c r="J201" s="53"/>
      <c r="K201" s="54"/>
      <c r="L201" s="73">
        <v>450</v>
      </c>
      <c r="M201" s="53">
        <v>1</v>
      </c>
      <c r="N201" s="53" t="s">
        <v>243</v>
      </c>
      <c r="O201" s="73">
        <f>300+300</f>
        <v>600</v>
      </c>
      <c r="P201" s="54">
        <v>2</v>
      </c>
      <c r="Q201" s="96"/>
      <c r="R201" s="53"/>
      <c r="S201" s="57"/>
      <c r="T201" s="60"/>
      <c r="U201" s="61"/>
      <c r="V201" s="97">
        <f>290+300</f>
        <v>590</v>
      </c>
      <c r="W201" s="54">
        <v>2</v>
      </c>
      <c r="X201" s="54" t="s">
        <v>295</v>
      </c>
      <c r="Y201" s="52">
        <v>600</v>
      </c>
      <c r="Z201" s="54">
        <v>2</v>
      </c>
      <c r="AA201" s="55" t="s">
        <v>296</v>
      </c>
      <c r="AB201" s="56"/>
      <c r="AC201" s="54"/>
      <c r="AD201" s="6">
        <f>B201+F201-G201-I201-AC201-AE201</f>
        <v>3650</v>
      </c>
      <c r="AE201" s="49">
        <v>495</v>
      </c>
      <c r="AF201" s="5" t="s">
        <v>15</v>
      </c>
    </row>
    <row r="202" spans="1:32" ht="15.75" thickBot="1">
      <c r="A202" s="11">
        <v>44026</v>
      </c>
      <c r="B202" s="2">
        <f t="shared" si="10"/>
        <v>495</v>
      </c>
      <c r="C202" s="3">
        <v>32670</v>
      </c>
      <c r="D202" s="4">
        <v>26700</v>
      </c>
      <c r="E202" s="124"/>
      <c r="F202" s="10">
        <f t="shared" si="11"/>
        <v>5970</v>
      </c>
      <c r="G202" s="73">
        <v>320</v>
      </c>
      <c r="H202" s="4">
        <v>4</v>
      </c>
      <c r="I202" s="73">
        <v>300</v>
      </c>
      <c r="J202" s="53">
        <v>1</v>
      </c>
      <c r="K202" s="54" t="s">
        <v>117</v>
      </c>
      <c r="L202" s="73">
        <v>325</v>
      </c>
      <c r="M202" s="53">
        <v>1</v>
      </c>
      <c r="N202" s="53" t="s">
        <v>121</v>
      </c>
      <c r="O202" s="73">
        <v>240</v>
      </c>
      <c r="P202" s="54">
        <v>3</v>
      </c>
      <c r="Q202" s="96">
        <v>650</v>
      </c>
      <c r="R202" s="53">
        <v>2</v>
      </c>
      <c r="S202" s="57" t="s">
        <v>281</v>
      </c>
      <c r="T202" s="60"/>
      <c r="U202" s="61"/>
      <c r="V202" s="98">
        <v>1050</v>
      </c>
      <c r="W202" s="54">
        <v>3</v>
      </c>
      <c r="X202" s="54" t="s">
        <v>297</v>
      </c>
      <c r="Y202" s="52"/>
      <c r="Z202" s="54"/>
      <c r="AA202" s="55"/>
      <c r="AB202" s="56" t="s">
        <v>287</v>
      </c>
      <c r="AC202" s="54">
        <v>1200</v>
      </c>
      <c r="AD202" s="6">
        <v>2750</v>
      </c>
      <c r="AE202" s="49">
        <v>530</v>
      </c>
      <c r="AF202" s="5" t="s">
        <v>91</v>
      </c>
    </row>
    <row r="203" spans="1:32" ht="15.75" thickBot="1">
      <c r="A203" s="11">
        <v>44027</v>
      </c>
      <c r="B203" s="2">
        <f t="shared" si="10"/>
        <v>530</v>
      </c>
      <c r="C203" s="3">
        <v>7540</v>
      </c>
      <c r="D203" s="4">
        <v>4030</v>
      </c>
      <c r="E203" s="124"/>
      <c r="F203" s="10">
        <f t="shared" si="11"/>
        <v>3510</v>
      </c>
      <c r="G203" s="3">
        <v>300</v>
      </c>
      <c r="H203" s="4">
        <v>1</v>
      </c>
      <c r="I203" s="52"/>
      <c r="J203" s="53"/>
      <c r="K203" s="54"/>
      <c r="L203" s="73">
        <v>240</v>
      </c>
      <c r="M203" s="53">
        <v>3</v>
      </c>
      <c r="N203" s="53" t="s">
        <v>298</v>
      </c>
      <c r="O203" s="73"/>
      <c r="P203" s="54"/>
      <c r="Q203" s="96"/>
      <c r="R203" s="53"/>
      <c r="S203" s="57"/>
      <c r="T203" s="60"/>
      <c r="U203" s="61"/>
      <c r="V203" s="97"/>
      <c r="W203" s="54"/>
      <c r="X203" s="54"/>
      <c r="Y203" s="52"/>
      <c r="Z203" s="54"/>
      <c r="AA203" s="55"/>
      <c r="AB203" s="56"/>
      <c r="AC203" s="54"/>
      <c r="AD203" s="6">
        <f>B203+F203-L203-I203-AC203-AE203</f>
        <v>3350</v>
      </c>
      <c r="AE203" s="49">
        <v>450</v>
      </c>
      <c r="AF203" s="5" t="s">
        <v>15</v>
      </c>
    </row>
    <row r="204" spans="1:32" ht="15.75" thickBot="1">
      <c r="A204" s="11">
        <v>44028</v>
      </c>
      <c r="B204" s="2">
        <f t="shared" si="10"/>
        <v>450</v>
      </c>
      <c r="C204" s="3">
        <v>21810</v>
      </c>
      <c r="D204" s="4">
        <v>20360</v>
      </c>
      <c r="E204" s="124"/>
      <c r="F204" s="10">
        <f t="shared" si="11"/>
        <v>1450</v>
      </c>
      <c r="G204" s="73">
        <v>240</v>
      </c>
      <c r="H204" s="4">
        <v>3</v>
      </c>
      <c r="I204" s="73">
        <v>300</v>
      </c>
      <c r="J204" s="53">
        <v>1</v>
      </c>
      <c r="K204" s="54" t="s">
        <v>117</v>
      </c>
      <c r="L204" s="73">
        <v>775</v>
      </c>
      <c r="M204" s="53">
        <v>2</v>
      </c>
      <c r="N204" s="53" t="s">
        <v>121</v>
      </c>
      <c r="O204" s="73">
        <v>240</v>
      </c>
      <c r="P204" s="54">
        <v>3</v>
      </c>
      <c r="Q204" s="96">
        <v>650</v>
      </c>
      <c r="R204" s="53">
        <v>2</v>
      </c>
      <c r="S204" s="57" t="s">
        <v>272</v>
      </c>
      <c r="T204" s="60"/>
      <c r="U204" s="61"/>
      <c r="V204" s="97">
        <v>625</v>
      </c>
      <c r="W204" s="54">
        <v>2</v>
      </c>
      <c r="X204" s="54" t="s">
        <v>299</v>
      </c>
      <c r="Y204" s="52"/>
      <c r="Z204" s="54"/>
      <c r="AA204" s="55"/>
      <c r="AB204" s="56" t="s">
        <v>287</v>
      </c>
      <c r="AC204" s="54">
        <v>1100</v>
      </c>
      <c r="AD204" s="6">
        <f>B204+F204-L204-G204-I204-AE204</f>
        <v>250</v>
      </c>
      <c r="AE204" s="49">
        <v>335</v>
      </c>
      <c r="AF204" s="5" t="s">
        <v>91</v>
      </c>
    </row>
    <row r="205" spans="1:32" ht="15.75" thickBot="1">
      <c r="A205" s="11">
        <v>44029</v>
      </c>
      <c r="B205" s="2">
        <f t="shared" si="10"/>
        <v>335</v>
      </c>
      <c r="C205" s="3">
        <f>5953+2640</f>
        <v>8593</v>
      </c>
      <c r="D205" s="4">
        <f>4560+2640</f>
        <v>7200</v>
      </c>
      <c r="E205" s="124"/>
      <c r="F205" s="10">
        <f t="shared" si="11"/>
        <v>1393</v>
      </c>
      <c r="G205" s="3"/>
      <c r="H205" s="4"/>
      <c r="I205" s="52"/>
      <c r="J205" s="53"/>
      <c r="K205" s="54"/>
      <c r="L205" s="73">
        <v>240</v>
      </c>
      <c r="M205" s="53">
        <v>3</v>
      </c>
      <c r="N205" s="53" t="s">
        <v>298</v>
      </c>
      <c r="O205" s="73">
        <v>300</v>
      </c>
      <c r="P205" s="54">
        <v>1</v>
      </c>
      <c r="Q205" s="96"/>
      <c r="R205" s="53"/>
      <c r="S205" s="57"/>
      <c r="T205" s="60"/>
      <c r="U205" s="61"/>
      <c r="V205" s="97">
        <v>290</v>
      </c>
      <c r="W205" s="54">
        <v>1</v>
      </c>
      <c r="X205" s="54" t="s">
        <v>269</v>
      </c>
      <c r="Y205" s="52"/>
      <c r="Z205" s="54"/>
      <c r="AA205" s="55"/>
      <c r="AB205" s="56"/>
      <c r="AC205" s="54"/>
      <c r="AD205" s="6">
        <f>B205+F205-G205-I205-AC205-AE205</f>
        <v>1250</v>
      </c>
      <c r="AE205" s="49">
        <v>478</v>
      </c>
      <c r="AF205" s="5" t="s">
        <v>15</v>
      </c>
    </row>
    <row r="206" spans="1:32" ht="15.75" thickBot="1">
      <c r="A206" s="11">
        <v>44030</v>
      </c>
      <c r="B206" s="2">
        <f t="shared" si="10"/>
        <v>478</v>
      </c>
      <c r="C206" s="3">
        <v>7900</v>
      </c>
      <c r="D206" s="4">
        <v>6850</v>
      </c>
      <c r="E206" s="124"/>
      <c r="F206" s="10">
        <f t="shared" si="11"/>
        <v>1050</v>
      </c>
      <c r="G206" s="3"/>
      <c r="H206" s="4"/>
      <c r="I206" s="52"/>
      <c r="J206" s="53"/>
      <c r="K206" s="54"/>
      <c r="L206" s="73">
        <v>325</v>
      </c>
      <c r="M206" s="53">
        <v>1</v>
      </c>
      <c r="N206" s="53" t="s">
        <v>121</v>
      </c>
      <c r="O206" s="73"/>
      <c r="P206" s="54"/>
      <c r="Q206" s="96"/>
      <c r="R206" s="53"/>
      <c r="S206" s="57"/>
      <c r="T206" s="60"/>
      <c r="U206" s="61"/>
      <c r="V206" s="97">
        <v>1400</v>
      </c>
      <c r="W206" s="54">
        <v>4</v>
      </c>
      <c r="X206" s="54" t="s">
        <v>300</v>
      </c>
      <c r="Y206" s="52">
        <v>300</v>
      </c>
      <c r="Z206" s="54">
        <v>1</v>
      </c>
      <c r="AA206" s="55" t="s">
        <v>288</v>
      </c>
      <c r="AB206" s="56"/>
      <c r="AC206" s="54"/>
      <c r="AD206" s="6">
        <v>0</v>
      </c>
      <c r="AE206" s="49">
        <v>1528</v>
      </c>
      <c r="AF206" s="5" t="s">
        <v>16</v>
      </c>
    </row>
    <row r="207" spans="1:32" ht="15.75" thickBot="1">
      <c r="A207" s="11">
        <v>44031</v>
      </c>
      <c r="B207" s="2">
        <f t="shared" si="10"/>
        <v>1528</v>
      </c>
      <c r="C207" s="3">
        <v>13750</v>
      </c>
      <c r="D207" s="4">
        <v>13020</v>
      </c>
      <c r="E207" s="124"/>
      <c r="F207" s="10">
        <f t="shared" si="11"/>
        <v>730</v>
      </c>
      <c r="G207" s="3"/>
      <c r="H207" s="4"/>
      <c r="I207" s="52"/>
      <c r="J207" s="53"/>
      <c r="K207" s="54"/>
      <c r="L207" s="52"/>
      <c r="M207" s="53"/>
      <c r="N207" s="53"/>
      <c r="O207" s="73"/>
      <c r="P207" s="54"/>
      <c r="Q207" s="96">
        <v>1250</v>
      </c>
      <c r="R207" s="53">
        <v>4</v>
      </c>
      <c r="S207" s="57" t="s">
        <v>302</v>
      </c>
      <c r="T207" s="60"/>
      <c r="U207" s="61"/>
      <c r="V207" s="97">
        <v>640</v>
      </c>
      <c r="W207" s="54">
        <v>2</v>
      </c>
      <c r="X207" s="54" t="s">
        <v>301</v>
      </c>
      <c r="Y207" s="52"/>
      <c r="Z207" s="54"/>
      <c r="AA207" s="55"/>
      <c r="AB207" s="56" t="s">
        <v>287</v>
      </c>
      <c r="AC207" s="54">
        <v>1000</v>
      </c>
      <c r="AD207" s="6">
        <f t="shared" ref="AD207:AD242" si="12">B207+F207-L207-G207-I207-AC207-AE207</f>
        <v>850</v>
      </c>
      <c r="AE207" s="49">
        <v>408</v>
      </c>
      <c r="AF207" s="5" t="s">
        <v>91</v>
      </c>
    </row>
    <row r="208" spans="1:32" ht="15.75" thickBot="1">
      <c r="A208" s="11">
        <v>44032</v>
      </c>
      <c r="B208" s="2">
        <f t="shared" si="10"/>
        <v>408</v>
      </c>
      <c r="C208" s="3">
        <f>8507+240</f>
        <v>8747</v>
      </c>
      <c r="D208" s="4">
        <v>6750</v>
      </c>
      <c r="E208" s="124"/>
      <c r="F208" s="10">
        <f t="shared" si="11"/>
        <v>1997</v>
      </c>
      <c r="G208" s="3"/>
      <c r="H208" s="4"/>
      <c r="I208" s="52"/>
      <c r="J208" s="53"/>
      <c r="K208" s="54"/>
      <c r="L208" s="52"/>
      <c r="M208" s="53"/>
      <c r="N208" s="53"/>
      <c r="O208" s="73">
        <v>300</v>
      </c>
      <c r="P208" s="54">
        <v>1</v>
      </c>
      <c r="Q208" s="52"/>
      <c r="R208" s="53"/>
      <c r="S208" s="57"/>
      <c r="T208" s="60"/>
      <c r="U208" s="61"/>
      <c r="V208" s="94">
        <f>300+325</f>
        <v>625</v>
      </c>
      <c r="W208" s="54">
        <v>1</v>
      </c>
      <c r="X208" s="54" t="s">
        <v>304</v>
      </c>
      <c r="Y208" s="52">
        <f>300+400</f>
        <v>700</v>
      </c>
      <c r="Z208" s="54">
        <v>2</v>
      </c>
      <c r="AA208" s="55" t="s">
        <v>303</v>
      </c>
      <c r="AB208" s="56"/>
      <c r="AC208" s="54"/>
      <c r="AD208" s="6">
        <f>B208+F208-L208-G208-I208-AC208-AE208</f>
        <v>2090</v>
      </c>
      <c r="AE208" s="49">
        <v>315</v>
      </c>
      <c r="AF208" s="5" t="s">
        <v>15</v>
      </c>
    </row>
    <row r="209" spans="1:32" ht="15.75" thickBot="1">
      <c r="A209" s="11">
        <v>44033</v>
      </c>
      <c r="B209" s="2">
        <f t="shared" si="10"/>
        <v>315</v>
      </c>
      <c r="C209" s="3">
        <v>9560</v>
      </c>
      <c r="D209" s="4">
        <v>8130</v>
      </c>
      <c r="E209" s="124"/>
      <c r="F209" s="10">
        <f t="shared" si="11"/>
        <v>1430</v>
      </c>
      <c r="G209" s="73">
        <v>320</v>
      </c>
      <c r="H209" s="4">
        <v>4</v>
      </c>
      <c r="I209" s="52"/>
      <c r="J209" s="53"/>
      <c r="K209" s="54"/>
      <c r="L209" s="73">
        <v>775</v>
      </c>
      <c r="M209" s="53">
        <v>2</v>
      </c>
      <c r="N209" s="53" t="s">
        <v>305</v>
      </c>
      <c r="O209" s="52"/>
      <c r="P209" s="54"/>
      <c r="Q209" s="73">
        <v>650</v>
      </c>
      <c r="R209" s="53">
        <v>2</v>
      </c>
      <c r="S209" s="57" t="s">
        <v>281</v>
      </c>
      <c r="T209" s="60"/>
      <c r="U209" s="61"/>
      <c r="V209" s="94"/>
      <c r="W209" s="54"/>
      <c r="X209" s="54"/>
      <c r="Y209" s="52"/>
      <c r="Z209" s="54"/>
      <c r="AA209" s="55"/>
      <c r="AB209" s="56"/>
      <c r="AC209" s="54"/>
      <c r="AD209" s="6">
        <f t="shared" si="12"/>
        <v>250</v>
      </c>
      <c r="AE209" s="49">
        <v>400</v>
      </c>
      <c r="AF209" s="5" t="s">
        <v>91</v>
      </c>
    </row>
    <row r="210" spans="1:32" ht="15.75" thickBot="1">
      <c r="A210" s="11">
        <v>44034</v>
      </c>
      <c r="B210" s="2">
        <f t="shared" si="10"/>
        <v>400</v>
      </c>
      <c r="C210" s="3">
        <v>12450</v>
      </c>
      <c r="D210" s="4">
        <v>9670</v>
      </c>
      <c r="E210" s="124"/>
      <c r="F210" s="10">
        <f t="shared" si="11"/>
        <v>2780</v>
      </c>
      <c r="G210" s="3"/>
      <c r="H210" s="4"/>
      <c r="I210" s="52"/>
      <c r="J210" s="53"/>
      <c r="K210" s="54"/>
      <c r="L210" s="52"/>
      <c r="M210" s="53"/>
      <c r="N210" s="53"/>
      <c r="O210" s="52"/>
      <c r="P210" s="54"/>
      <c r="Q210" s="73"/>
      <c r="R210" s="53"/>
      <c r="S210" s="57"/>
      <c r="T210" s="60"/>
      <c r="U210" s="61"/>
      <c r="V210" s="94">
        <f>350+350+350</f>
        <v>1050</v>
      </c>
      <c r="W210" s="54">
        <v>1</v>
      </c>
      <c r="X210" s="54" t="s">
        <v>306</v>
      </c>
      <c r="Y210" s="52">
        <v>300</v>
      </c>
      <c r="Z210" s="54">
        <v>1</v>
      </c>
      <c r="AA210" s="55" t="s">
        <v>288</v>
      </c>
      <c r="AB210" s="56"/>
      <c r="AC210" s="54"/>
      <c r="AD210" s="6">
        <f>B210+F210-L210-G210-I210-AC210-AE210</f>
        <v>2350</v>
      </c>
      <c r="AE210" s="49">
        <v>830</v>
      </c>
      <c r="AF210" s="5" t="s">
        <v>15</v>
      </c>
    </row>
    <row r="211" spans="1:32" ht="15.75" thickBot="1">
      <c r="A211" s="11">
        <v>44035</v>
      </c>
      <c r="B211" s="2">
        <f t="shared" si="10"/>
        <v>830</v>
      </c>
      <c r="C211" s="3">
        <v>16240</v>
      </c>
      <c r="D211" s="4">
        <v>15520</v>
      </c>
      <c r="E211" s="124"/>
      <c r="F211" s="10">
        <f t="shared" si="11"/>
        <v>720</v>
      </c>
      <c r="G211" s="3"/>
      <c r="H211" s="4"/>
      <c r="I211" s="52"/>
      <c r="J211" s="53"/>
      <c r="K211" s="54"/>
      <c r="L211" s="96">
        <v>775</v>
      </c>
      <c r="M211" s="53">
        <v>2</v>
      </c>
      <c r="N211" s="53" t="s">
        <v>309</v>
      </c>
      <c r="O211" s="52"/>
      <c r="P211" s="54"/>
      <c r="Q211" s="73">
        <v>1300</v>
      </c>
      <c r="R211" s="53">
        <v>4</v>
      </c>
      <c r="S211" s="57" t="s">
        <v>307</v>
      </c>
      <c r="T211" s="60"/>
      <c r="U211" s="61"/>
      <c r="V211" s="94">
        <v>1350</v>
      </c>
      <c r="W211" s="54">
        <v>4</v>
      </c>
      <c r="X211" s="54" t="s">
        <v>308</v>
      </c>
      <c r="Y211" s="52"/>
      <c r="Z211" s="54"/>
      <c r="AA211" s="55"/>
      <c r="AB211" s="56"/>
      <c r="AC211" s="54"/>
      <c r="AD211" s="6">
        <f t="shared" si="12"/>
        <v>0</v>
      </c>
      <c r="AE211" s="49">
        <v>775</v>
      </c>
      <c r="AF211" s="5" t="s">
        <v>91</v>
      </c>
    </row>
    <row r="212" spans="1:32" ht="15.75" thickBot="1">
      <c r="A212" s="11">
        <v>44036</v>
      </c>
      <c r="B212" s="2">
        <f t="shared" si="10"/>
        <v>775</v>
      </c>
      <c r="C212" s="3">
        <v>3315</v>
      </c>
      <c r="D212" s="4">
        <v>2070</v>
      </c>
      <c r="E212" s="124"/>
      <c r="F212" s="10">
        <f t="shared" si="11"/>
        <v>1245</v>
      </c>
      <c r="G212" s="3"/>
      <c r="H212" s="4"/>
      <c r="I212" s="52"/>
      <c r="J212" s="53"/>
      <c r="K212" s="54"/>
      <c r="L212" s="52"/>
      <c r="M212" s="53"/>
      <c r="N212" s="53"/>
      <c r="O212" s="73">
        <v>300</v>
      </c>
      <c r="P212" s="54">
        <v>1</v>
      </c>
      <c r="Q212" s="73"/>
      <c r="R212" s="53"/>
      <c r="S212" s="57"/>
      <c r="T212" s="60"/>
      <c r="U212" s="61"/>
      <c r="V212" s="94">
        <f>300+325+290</f>
        <v>915</v>
      </c>
      <c r="W212" s="54">
        <v>1</v>
      </c>
      <c r="X212" s="54" t="s">
        <v>310</v>
      </c>
      <c r="Y212" s="52">
        <v>300</v>
      </c>
      <c r="Z212" s="54">
        <v>1</v>
      </c>
      <c r="AA212" s="55" t="s">
        <v>288</v>
      </c>
      <c r="AB212" s="56" t="s">
        <v>287</v>
      </c>
      <c r="AC212" s="54">
        <v>2400</v>
      </c>
      <c r="AD212" s="6">
        <f>B212+F212-L212-G212-I212-AE212</f>
        <v>1400</v>
      </c>
      <c r="AE212" s="49">
        <v>620</v>
      </c>
      <c r="AF212" s="5" t="s">
        <v>15</v>
      </c>
    </row>
    <row r="213" spans="1:32" ht="15.75" thickBot="1">
      <c r="A213" s="11">
        <v>44037</v>
      </c>
      <c r="B213" s="2">
        <f t="shared" si="10"/>
        <v>620</v>
      </c>
      <c r="C213" s="3">
        <v>5010</v>
      </c>
      <c r="D213" s="4">
        <v>4760</v>
      </c>
      <c r="E213" s="124"/>
      <c r="F213" s="10">
        <f t="shared" si="11"/>
        <v>250</v>
      </c>
      <c r="G213" s="3"/>
      <c r="H213" s="4"/>
      <c r="I213" s="52"/>
      <c r="J213" s="53"/>
      <c r="K213" s="54"/>
      <c r="L213" s="52"/>
      <c r="M213" s="53"/>
      <c r="N213" s="53"/>
      <c r="O213" s="73"/>
      <c r="P213" s="54"/>
      <c r="Q213" s="73"/>
      <c r="R213" s="53"/>
      <c r="S213" s="57"/>
      <c r="T213" s="60"/>
      <c r="U213" s="61"/>
      <c r="V213" s="56"/>
      <c r="W213" s="54"/>
      <c r="X213" s="54"/>
      <c r="Y213" s="52"/>
      <c r="Z213" s="54"/>
      <c r="AA213" s="55"/>
      <c r="AB213" s="56"/>
      <c r="AC213" s="54"/>
      <c r="AD213" s="6">
        <f>B213+F213-L213-G213-I213-AE213</f>
        <v>0</v>
      </c>
      <c r="AE213" s="49">
        <v>870</v>
      </c>
      <c r="AF213" s="5" t="s">
        <v>16</v>
      </c>
    </row>
    <row r="214" spans="1:32" ht="15.75" thickBot="1">
      <c r="A214" s="11">
        <v>44038</v>
      </c>
      <c r="B214" s="2">
        <f t="shared" si="10"/>
        <v>870</v>
      </c>
      <c r="C214" s="3">
        <v>5880</v>
      </c>
      <c r="D214" s="4">
        <v>2600</v>
      </c>
      <c r="E214" s="124"/>
      <c r="F214" s="10">
        <f t="shared" si="11"/>
        <v>3280</v>
      </c>
      <c r="G214" s="3"/>
      <c r="H214" s="4"/>
      <c r="I214" s="52"/>
      <c r="J214" s="53"/>
      <c r="K214" s="54"/>
      <c r="L214" s="52"/>
      <c r="M214" s="53"/>
      <c r="N214" s="53"/>
      <c r="O214" s="73">
        <f>4*80</f>
        <v>320</v>
      </c>
      <c r="P214" s="54">
        <v>4</v>
      </c>
      <c r="Q214" s="73">
        <v>950</v>
      </c>
      <c r="R214" s="53">
        <v>3</v>
      </c>
      <c r="S214" s="57" t="s">
        <v>311</v>
      </c>
      <c r="T214" s="60"/>
      <c r="U214" s="61"/>
      <c r="V214" s="56"/>
      <c r="W214" s="54"/>
      <c r="X214" s="54"/>
      <c r="Y214" s="52"/>
      <c r="Z214" s="54"/>
      <c r="AA214" s="55"/>
      <c r="AB214" s="56" t="s">
        <v>287</v>
      </c>
      <c r="AC214" s="54">
        <v>1000</v>
      </c>
      <c r="AD214" s="6">
        <f t="shared" si="12"/>
        <v>2600</v>
      </c>
      <c r="AE214" s="49">
        <v>550</v>
      </c>
      <c r="AF214" s="5" t="s">
        <v>91</v>
      </c>
    </row>
    <row r="215" spans="1:32" ht="15.75" thickBot="1">
      <c r="A215" s="11">
        <v>44039</v>
      </c>
      <c r="B215" s="2">
        <f t="shared" si="10"/>
        <v>550</v>
      </c>
      <c r="C215" s="3">
        <v>9040</v>
      </c>
      <c r="D215" s="4">
        <v>7250</v>
      </c>
      <c r="E215" s="124"/>
      <c r="F215" s="10">
        <f t="shared" si="11"/>
        <v>1790</v>
      </c>
      <c r="G215" s="3"/>
      <c r="H215" s="4"/>
      <c r="I215" s="52"/>
      <c r="J215" s="53"/>
      <c r="K215" s="54"/>
      <c r="L215" s="73">
        <v>450</v>
      </c>
      <c r="M215" s="53">
        <v>1</v>
      </c>
      <c r="N215" s="53" t="s">
        <v>243</v>
      </c>
      <c r="O215" s="73">
        <v>300</v>
      </c>
      <c r="P215" s="54">
        <v>1</v>
      </c>
      <c r="Q215" s="73"/>
      <c r="R215" s="53"/>
      <c r="S215" s="57"/>
      <c r="T215" s="60"/>
      <c r="U215" s="61"/>
      <c r="V215" s="56"/>
      <c r="W215" s="54"/>
      <c r="X215" s="54"/>
      <c r="Y215" s="52"/>
      <c r="Z215" s="54"/>
      <c r="AA215" s="55"/>
      <c r="AB215" s="56"/>
      <c r="AC215" s="54"/>
      <c r="AD215" s="6">
        <f t="shared" si="12"/>
        <v>1350</v>
      </c>
      <c r="AE215" s="49">
        <v>540</v>
      </c>
      <c r="AF215" s="5" t="s">
        <v>15</v>
      </c>
    </row>
    <row r="216" spans="1:32" ht="15.75" thickBot="1">
      <c r="A216" s="11">
        <v>44040</v>
      </c>
      <c r="B216" s="2">
        <f t="shared" si="10"/>
        <v>540</v>
      </c>
      <c r="C216" s="3">
        <v>10570</v>
      </c>
      <c r="D216" s="4">
        <v>7930</v>
      </c>
      <c r="E216" s="124"/>
      <c r="F216" s="10">
        <f t="shared" si="11"/>
        <v>2640</v>
      </c>
      <c r="G216" s="3">
        <v>320</v>
      </c>
      <c r="H216" s="4">
        <v>4</v>
      </c>
      <c r="I216" s="52"/>
      <c r="J216" s="53"/>
      <c r="K216" s="54"/>
      <c r="L216" s="52"/>
      <c r="M216" s="53"/>
      <c r="N216" s="53"/>
      <c r="O216" s="52"/>
      <c r="P216" s="54"/>
      <c r="Q216" s="73">
        <v>650</v>
      </c>
      <c r="R216" s="53">
        <v>2</v>
      </c>
      <c r="S216" s="57" t="s">
        <v>272</v>
      </c>
      <c r="T216" s="60"/>
      <c r="U216" s="61"/>
      <c r="V216" s="56"/>
      <c r="W216" s="54"/>
      <c r="X216" s="54"/>
      <c r="Y216" s="52">
        <v>300</v>
      </c>
      <c r="Z216" s="54">
        <v>1</v>
      </c>
      <c r="AA216" s="55" t="s">
        <v>288</v>
      </c>
      <c r="AB216" s="56" t="s">
        <v>312</v>
      </c>
      <c r="AC216" s="54">
        <v>1642</v>
      </c>
      <c r="AD216" s="6">
        <f t="shared" si="12"/>
        <v>700</v>
      </c>
      <c r="AE216" s="49">
        <v>518</v>
      </c>
      <c r="AF216" s="5" t="s">
        <v>91</v>
      </c>
    </row>
    <row r="217" spans="1:32" ht="15.75" thickBot="1">
      <c r="A217" s="11">
        <v>44041</v>
      </c>
      <c r="B217" s="2">
        <f t="shared" si="10"/>
        <v>518</v>
      </c>
      <c r="C217" s="3">
        <v>10650</v>
      </c>
      <c r="D217" s="4">
        <v>7870</v>
      </c>
      <c r="E217" s="124"/>
      <c r="F217" s="10">
        <f t="shared" si="11"/>
        <v>2780</v>
      </c>
      <c r="G217" s="3"/>
      <c r="H217" s="4"/>
      <c r="I217" s="52"/>
      <c r="J217" s="53"/>
      <c r="K217" s="54"/>
      <c r="L217" s="52"/>
      <c r="M217" s="53"/>
      <c r="N217" s="53"/>
      <c r="O217" s="52"/>
      <c r="P217" s="54"/>
      <c r="Q217" s="73"/>
      <c r="R217" s="53"/>
      <c r="S217" s="57"/>
      <c r="T217" s="95">
        <v>80</v>
      </c>
      <c r="U217" s="61">
        <v>1</v>
      </c>
      <c r="V217" s="56"/>
      <c r="W217" s="54"/>
      <c r="X217" s="54"/>
      <c r="Y217" s="52">
        <v>600</v>
      </c>
      <c r="Z217" s="54">
        <v>1</v>
      </c>
      <c r="AA217" s="55" t="s">
        <v>296</v>
      </c>
      <c r="AB217" s="56"/>
      <c r="AC217" s="54"/>
      <c r="AD217" s="6">
        <f t="shared" si="12"/>
        <v>2750</v>
      </c>
      <c r="AE217" s="49">
        <v>548</v>
      </c>
      <c r="AF217" s="5" t="s">
        <v>15</v>
      </c>
    </row>
    <row r="218" spans="1:32" ht="15.75" thickBot="1">
      <c r="A218" s="11">
        <v>44042</v>
      </c>
      <c r="B218" s="2">
        <f t="shared" si="10"/>
        <v>548</v>
      </c>
      <c r="C218" s="3">
        <v>7790</v>
      </c>
      <c r="D218" s="4">
        <v>5810</v>
      </c>
      <c r="E218" s="124"/>
      <c r="F218" s="10">
        <f t="shared" si="11"/>
        <v>1980</v>
      </c>
      <c r="G218" s="3"/>
      <c r="H218" s="4"/>
      <c r="I218" s="52"/>
      <c r="J218" s="53"/>
      <c r="K218" s="54"/>
      <c r="L218" s="52"/>
      <c r="M218" s="53"/>
      <c r="N218" s="53"/>
      <c r="O218" s="52"/>
      <c r="P218" s="54"/>
      <c r="Q218" s="73">
        <v>1100</v>
      </c>
      <c r="R218" s="53">
        <v>3</v>
      </c>
      <c r="S218" s="57" t="s">
        <v>313</v>
      </c>
      <c r="T218" s="95"/>
      <c r="U218" s="61"/>
      <c r="V218" s="94">
        <v>1750</v>
      </c>
      <c r="W218" s="54">
        <v>5</v>
      </c>
      <c r="X218" s="54" t="s">
        <v>314</v>
      </c>
      <c r="Y218" s="52"/>
      <c r="Z218" s="54"/>
      <c r="AA218" s="55"/>
      <c r="AB218" s="56" t="s">
        <v>287</v>
      </c>
      <c r="AC218" s="54">
        <v>1200</v>
      </c>
      <c r="AD218" s="6">
        <f t="shared" si="12"/>
        <v>800</v>
      </c>
      <c r="AE218" s="49">
        <v>528</v>
      </c>
      <c r="AF218" s="5" t="s">
        <v>15</v>
      </c>
    </row>
    <row r="219" spans="1:32" ht="15.75" thickBot="1">
      <c r="A219" s="11">
        <v>44043</v>
      </c>
      <c r="B219" s="2">
        <f t="shared" si="10"/>
        <v>528</v>
      </c>
      <c r="C219" s="3">
        <v>5760</v>
      </c>
      <c r="D219" s="4">
        <v>3260</v>
      </c>
      <c r="E219" s="124"/>
      <c r="F219" s="10">
        <f t="shared" si="11"/>
        <v>2500</v>
      </c>
      <c r="G219" s="3"/>
      <c r="H219" s="4"/>
      <c r="I219" s="52"/>
      <c r="J219" s="53"/>
      <c r="K219" s="54"/>
      <c r="L219" s="64">
        <v>400</v>
      </c>
      <c r="M219" s="53">
        <v>1</v>
      </c>
      <c r="N219" s="53" t="s">
        <v>315</v>
      </c>
      <c r="O219" s="52"/>
      <c r="P219" s="54"/>
      <c r="Q219" s="52"/>
      <c r="R219" s="53"/>
      <c r="S219" s="57"/>
      <c r="T219" s="95">
        <v>400</v>
      </c>
      <c r="U219" s="61">
        <v>5</v>
      </c>
      <c r="V219" s="94">
        <f>350+300+290</f>
        <v>940</v>
      </c>
      <c r="W219" s="54">
        <v>1</v>
      </c>
      <c r="X219" s="54" t="s">
        <v>316</v>
      </c>
      <c r="Y219" s="52"/>
      <c r="Z219" s="54"/>
      <c r="AA219" s="55"/>
      <c r="AB219" s="56"/>
      <c r="AC219" s="54"/>
      <c r="AD219" s="6">
        <f t="shared" si="12"/>
        <v>1950</v>
      </c>
      <c r="AE219" s="49">
        <v>678</v>
      </c>
      <c r="AF219" s="5" t="s">
        <v>15</v>
      </c>
    </row>
    <row r="220" spans="1:32" ht="15.75" thickBot="1">
      <c r="A220" s="11">
        <v>44044</v>
      </c>
      <c r="B220" s="2">
        <f t="shared" si="10"/>
        <v>678</v>
      </c>
      <c r="C220" s="3">
        <v>9290</v>
      </c>
      <c r="D220" s="4">
        <v>8010</v>
      </c>
      <c r="E220" s="124"/>
      <c r="F220" s="10">
        <f t="shared" si="11"/>
        <v>1280</v>
      </c>
      <c r="G220" s="3"/>
      <c r="H220" s="4"/>
      <c r="I220" s="52"/>
      <c r="J220" s="53"/>
      <c r="K220" s="54"/>
      <c r="L220" s="52"/>
      <c r="M220" s="53"/>
      <c r="N220" s="53"/>
      <c r="O220" s="52"/>
      <c r="P220" s="54"/>
      <c r="Q220" s="52"/>
      <c r="R220" s="53"/>
      <c r="S220" s="57"/>
      <c r="T220" s="95">
        <v>400</v>
      </c>
      <c r="U220" s="61"/>
      <c r="V220" s="97">
        <v>350</v>
      </c>
      <c r="W220" s="54">
        <v>1</v>
      </c>
      <c r="X220" s="54" t="s">
        <v>178</v>
      </c>
      <c r="Y220" s="64"/>
      <c r="Z220" s="54"/>
      <c r="AA220" s="55"/>
      <c r="AB220" s="56"/>
      <c r="AC220" s="54"/>
      <c r="AD220" s="6">
        <f t="shared" si="12"/>
        <v>0</v>
      </c>
      <c r="AE220" s="49">
        <v>1958</v>
      </c>
      <c r="AF220" s="5" t="s">
        <v>16</v>
      </c>
    </row>
    <row r="221" spans="1:32" ht="15.75" thickBot="1">
      <c r="A221" s="11">
        <v>44045</v>
      </c>
      <c r="B221" s="2">
        <f t="shared" si="10"/>
        <v>1958</v>
      </c>
      <c r="C221" s="3">
        <v>5380</v>
      </c>
      <c r="D221" s="4">
        <v>3890</v>
      </c>
      <c r="E221" s="124"/>
      <c r="F221" s="10">
        <f t="shared" si="11"/>
        <v>1490</v>
      </c>
      <c r="G221" s="3"/>
      <c r="H221" s="4"/>
      <c r="I221" s="52"/>
      <c r="J221" s="53"/>
      <c r="K221" s="54"/>
      <c r="L221" s="52"/>
      <c r="M221" s="53"/>
      <c r="N221" s="53"/>
      <c r="O221" s="52"/>
      <c r="P221" s="54"/>
      <c r="Q221" s="52"/>
      <c r="R221" s="53"/>
      <c r="S221" s="57"/>
      <c r="T221" s="95"/>
      <c r="U221" s="61"/>
      <c r="V221" s="97"/>
      <c r="W221" s="54"/>
      <c r="X221" s="54"/>
      <c r="Y221" s="64">
        <v>300</v>
      </c>
      <c r="Z221" s="54">
        <v>1</v>
      </c>
      <c r="AA221" s="55" t="s">
        <v>288</v>
      </c>
      <c r="AB221" s="56" t="s">
        <v>287</v>
      </c>
      <c r="AC221" s="54">
        <v>1000</v>
      </c>
      <c r="AD221" s="6">
        <f t="shared" si="12"/>
        <v>1950</v>
      </c>
      <c r="AE221" s="49">
        <v>498</v>
      </c>
      <c r="AF221" s="5" t="s">
        <v>91</v>
      </c>
    </row>
    <row r="222" spans="1:32" ht="15.75" thickBot="1">
      <c r="A222" s="11">
        <v>44046</v>
      </c>
      <c r="B222" s="2">
        <f t="shared" si="10"/>
        <v>498</v>
      </c>
      <c r="C222" s="3">
        <v>9550</v>
      </c>
      <c r="D222" s="4">
        <v>8010</v>
      </c>
      <c r="E222" s="124"/>
      <c r="F222" s="10">
        <f t="shared" si="11"/>
        <v>1540</v>
      </c>
      <c r="G222" s="3"/>
      <c r="H222" s="4"/>
      <c r="I222" s="52"/>
      <c r="J222" s="53"/>
      <c r="K222" s="54"/>
      <c r="L222" s="73">
        <f>290+290</f>
        <v>580</v>
      </c>
      <c r="M222" s="53">
        <v>2</v>
      </c>
      <c r="N222" s="53" t="s">
        <v>238</v>
      </c>
      <c r="O222" s="52"/>
      <c r="P222" s="54"/>
      <c r="Q222" s="52"/>
      <c r="R222" s="53"/>
      <c r="S222" s="57"/>
      <c r="T222" s="95">
        <v>400</v>
      </c>
      <c r="U222" s="106">
        <v>5</v>
      </c>
      <c r="V222" s="97">
        <f>350+300+600</f>
        <v>1250</v>
      </c>
      <c r="W222" s="54">
        <v>1</v>
      </c>
      <c r="X222" s="54" t="s">
        <v>317</v>
      </c>
      <c r="Y222" s="64"/>
      <c r="Z222" s="54"/>
      <c r="AA222" s="55"/>
      <c r="AB222" s="56"/>
      <c r="AC222" s="54"/>
      <c r="AD222" s="6">
        <f t="shared" si="12"/>
        <v>850</v>
      </c>
      <c r="AE222" s="49">
        <v>608</v>
      </c>
      <c r="AF222" s="5" t="s">
        <v>15</v>
      </c>
    </row>
    <row r="223" spans="1:32" ht="15.75" thickBot="1">
      <c r="A223" s="11">
        <v>44047</v>
      </c>
      <c r="B223" s="2">
        <f t="shared" si="10"/>
        <v>608</v>
      </c>
      <c r="C223" s="3">
        <v>10720</v>
      </c>
      <c r="D223" s="4">
        <v>7120</v>
      </c>
      <c r="E223" s="124"/>
      <c r="F223" s="10">
        <f t="shared" si="11"/>
        <v>3600</v>
      </c>
      <c r="G223" s="3"/>
      <c r="H223" s="4"/>
      <c r="I223" s="52"/>
      <c r="J223" s="53"/>
      <c r="K223" s="54"/>
      <c r="L223" s="96">
        <v>400</v>
      </c>
      <c r="M223" s="53">
        <v>1</v>
      </c>
      <c r="N223" s="53" t="s">
        <v>315</v>
      </c>
      <c r="O223" s="52"/>
      <c r="P223" s="54"/>
      <c r="Q223" s="96">
        <v>950</v>
      </c>
      <c r="R223" s="53">
        <v>3</v>
      </c>
      <c r="S223" s="57" t="s">
        <v>319</v>
      </c>
      <c r="T223" s="95"/>
      <c r="U223" s="61"/>
      <c r="V223" s="97">
        <v>700</v>
      </c>
      <c r="W223" s="54">
        <v>2</v>
      </c>
      <c r="X223" s="54" t="s">
        <v>318</v>
      </c>
      <c r="Y223" s="64">
        <v>300</v>
      </c>
      <c r="Z223" s="54">
        <v>1</v>
      </c>
      <c r="AA223" s="55" t="s">
        <v>288</v>
      </c>
      <c r="AB223" s="56" t="s">
        <v>287</v>
      </c>
      <c r="AC223" s="54">
        <v>1200</v>
      </c>
      <c r="AD223" s="6">
        <f t="shared" si="12"/>
        <v>2000</v>
      </c>
      <c r="AE223" s="49">
        <v>608</v>
      </c>
      <c r="AF223" s="5" t="s">
        <v>91</v>
      </c>
    </row>
    <row r="224" spans="1:32" ht="15.75" thickBot="1">
      <c r="A224" s="11">
        <v>44048</v>
      </c>
      <c r="B224" s="2">
        <f t="shared" si="10"/>
        <v>608</v>
      </c>
      <c r="C224" s="3">
        <v>11070</v>
      </c>
      <c r="D224" s="4">
        <v>7040</v>
      </c>
      <c r="E224" s="124"/>
      <c r="F224" s="10">
        <f t="shared" si="11"/>
        <v>4030</v>
      </c>
      <c r="G224" s="3"/>
      <c r="H224" s="4"/>
      <c r="I224" s="52"/>
      <c r="J224" s="53"/>
      <c r="K224" s="54"/>
      <c r="L224" s="52"/>
      <c r="M224" s="53"/>
      <c r="N224" s="53"/>
      <c r="O224" s="52"/>
      <c r="P224" s="54"/>
      <c r="Q224" s="96"/>
      <c r="R224" s="53"/>
      <c r="S224" s="57"/>
      <c r="T224" s="95">
        <v>320</v>
      </c>
      <c r="U224" s="106">
        <v>4</v>
      </c>
      <c r="V224" s="97">
        <f>350+400+300</f>
        <v>1050</v>
      </c>
      <c r="W224" s="54">
        <v>1</v>
      </c>
      <c r="X224" s="54" t="s">
        <v>322</v>
      </c>
      <c r="Y224" s="64"/>
      <c r="Z224" s="54"/>
      <c r="AA224" s="55"/>
      <c r="AB224" s="56" t="s">
        <v>321</v>
      </c>
      <c r="AC224" s="54">
        <v>100</v>
      </c>
      <c r="AD224" s="6">
        <f t="shared" si="12"/>
        <v>3600</v>
      </c>
      <c r="AE224" s="49">
        <v>938</v>
      </c>
      <c r="AF224" s="5" t="s">
        <v>15</v>
      </c>
    </row>
    <row r="225" spans="1:32" ht="15.75" thickBot="1">
      <c r="A225" s="11">
        <v>44049</v>
      </c>
      <c r="B225" s="2">
        <f t="shared" si="10"/>
        <v>938</v>
      </c>
      <c r="C225" s="3">
        <v>5250</v>
      </c>
      <c r="D225" s="4">
        <v>3830</v>
      </c>
      <c r="E225" s="124"/>
      <c r="F225" s="10">
        <f t="shared" si="11"/>
        <v>1420</v>
      </c>
      <c r="G225" s="3"/>
      <c r="H225" s="4"/>
      <c r="I225" s="52"/>
      <c r="J225" s="53"/>
      <c r="K225" s="54"/>
      <c r="L225" s="52"/>
      <c r="M225" s="53"/>
      <c r="N225" s="53"/>
      <c r="O225" s="52"/>
      <c r="P225" s="54"/>
      <c r="Q225" s="96">
        <v>1300</v>
      </c>
      <c r="R225" s="53">
        <v>4</v>
      </c>
      <c r="S225" s="57" t="s">
        <v>323</v>
      </c>
      <c r="T225" s="95"/>
      <c r="U225" s="61"/>
      <c r="V225" s="97"/>
      <c r="W225" s="54"/>
      <c r="X225" s="54"/>
      <c r="Y225" s="64">
        <v>300</v>
      </c>
      <c r="Z225" s="54">
        <v>1</v>
      </c>
      <c r="AA225" s="55" t="s">
        <v>288</v>
      </c>
      <c r="AB225" s="56" t="s">
        <v>287</v>
      </c>
      <c r="AC225" s="54">
        <v>1200</v>
      </c>
      <c r="AD225" s="6">
        <f t="shared" si="12"/>
        <v>300</v>
      </c>
      <c r="AE225" s="49">
        <v>858</v>
      </c>
      <c r="AF225" s="5" t="s">
        <v>91</v>
      </c>
    </row>
    <row r="226" spans="1:32" ht="15.75" thickBot="1">
      <c r="A226" s="11">
        <v>44050</v>
      </c>
      <c r="B226" s="2">
        <f t="shared" si="10"/>
        <v>858</v>
      </c>
      <c r="C226" s="3">
        <v>21280</v>
      </c>
      <c r="D226" s="4">
        <v>12620</v>
      </c>
      <c r="E226" s="124"/>
      <c r="F226" s="10">
        <f t="shared" si="11"/>
        <v>8660</v>
      </c>
      <c r="G226" s="3"/>
      <c r="H226" s="4"/>
      <c r="I226" s="52"/>
      <c r="J226" s="53"/>
      <c r="K226" s="54"/>
      <c r="L226" s="96">
        <v>290</v>
      </c>
      <c r="M226" s="53">
        <v>1</v>
      </c>
      <c r="N226" s="53" t="s">
        <v>197</v>
      </c>
      <c r="O226" s="52"/>
      <c r="P226" s="54"/>
      <c r="Q226" s="96"/>
      <c r="R226" s="53"/>
      <c r="S226" s="57"/>
      <c r="T226" s="95">
        <f>5*80</f>
        <v>400</v>
      </c>
      <c r="U226" s="106">
        <v>5</v>
      </c>
      <c r="V226" s="97">
        <f>300+300+400</f>
        <v>1000</v>
      </c>
      <c r="W226" s="54">
        <v>1</v>
      </c>
      <c r="X226" s="54" t="s">
        <v>324</v>
      </c>
      <c r="Y226" s="64"/>
      <c r="Z226" s="54"/>
      <c r="AA226" s="55"/>
      <c r="AB226" s="56" t="s">
        <v>127</v>
      </c>
      <c r="AC226" s="54">
        <v>150</v>
      </c>
      <c r="AD226" s="6">
        <f t="shared" si="12"/>
        <v>8150</v>
      </c>
      <c r="AE226" s="49">
        <v>928</v>
      </c>
      <c r="AF226" s="5" t="s">
        <v>15</v>
      </c>
    </row>
    <row r="227" spans="1:32" ht="15.75" thickBot="1">
      <c r="A227" s="11">
        <v>44051</v>
      </c>
      <c r="B227" s="2">
        <f t="shared" si="10"/>
        <v>928</v>
      </c>
      <c r="C227" s="3">
        <v>5880</v>
      </c>
      <c r="D227" s="4">
        <v>2280</v>
      </c>
      <c r="E227" s="124"/>
      <c r="F227" s="10">
        <f t="shared" si="11"/>
        <v>3600</v>
      </c>
      <c r="G227" s="3"/>
      <c r="H227" s="4"/>
      <c r="I227" s="52"/>
      <c r="J227" s="53"/>
      <c r="K227" s="54"/>
      <c r="L227" s="52"/>
      <c r="M227" s="53"/>
      <c r="N227" s="53"/>
      <c r="O227" s="52"/>
      <c r="P227" s="54"/>
      <c r="Q227" s="96"/>
      <c r="R227" s="53"/>
      <c r="S227" s="57"/>
      <c r="T227" s="95"/>
      <c r="U227" s="61"/>
      <c r="V227" s="97"/>
      <c r="W227" s="54"/>
      <c r="X227" s="54"/>
      <c r="Y227" s="64">
        <v>300</v>
      </c>
      <c r="Z227" s="54">
        <v>1</v>
      </c>
      <c r="AA227" s="55" t="s">
        <v>288</v>
      </c>
      <c r="AB227" s="56"/>
      <c r="AC227" s="54"/>
      <c r="AD227" s="6">
        <f t="shared" si="12"/>
        <v>3650</v>
      </c>
      <c r="AE227" s="49">
        <v>878</v>
      </c>
      <c r="AF227" s="5" t="s">
        <v>16</v>
      </c>
    </row>
    <row r="228" spans="1:32" ht="15.75" thickBot="1">
      <c r="A228" s="11">
        <v>44052</v>
      </c>
      <c r="B228" s="2">
        <f t="shared" si="10"/>
        <v>878</v>
      </c>
      <c r="C228" s="3">
        <v>4090</v>
      </c>
      <c r="D228" s="4">
        <v>3320</v>
      </c>
      <c r="E228" s="124"/>
      <c r="F228" s="10">
        <f t="shared" si="11"/>
        <v>770</v>
      </c>
      <c r="G228" s="3"/>
      <c r="H228" s="4"/>
      <c r="I228" s="52"/>
      <c r="J228" s="53"/>
      <c r="K228" s="54"/>
      <c r="L228" s="52"/>
      <c r="M228" s="53"/>
      <c r="N228" s="53"/>
      <c r="O228" s="52"/>
      <c r="P228" s="54"/>
      <c r="Q228" s="96">
        <v>950</v>
      </c>
      <c r="R228" s="53">
        <v>3</v>
      </c>
      <c r="S228" s="57" t="s">
        <v>325</v>
      </c>
      <c r="T228" s="95"/>
      <c r="U228" s="61"/>
      <c r="V228" s="97">
        <v>700</v>
      </c>
      <c r="W228" s="54">
        <v>2</v>
      </c>
      <c r="X228" s="54" t="s">
        <v>326</v>
      </c>
      <c r="Y228" s="64"/>
      <c r="Z228" s="54"/>
      <c r="AA228" s="55"/>
      <c r="AB228" s="56" t="s">
        <v>287</v>
      </c>
      <c r="AC228" s="54">
        <v>900</v>
      </c>
      <c r="AD228" s="6">
        <f t="shared" si="12"/>
        <v>0</v>
      </c>
      <c r="AE228" s="49">
        <v>748</v>
      </c>
      <c r="AF228" s="5" t="s">
        <v>91</v>
      </c>
    </row>
    <row r="229" spans="1:32" ht="15.75" thickBot="1">
      <c r="A229" s="11">
        <v>44053</v>
      </c>
      <c r="B229" s="2">
        <f t="shared" si="10"/>
        <v>748</v>
      </c>
      <c r="C229" s="3">
        <v>6900</v>
      </c>
      <c r="D229" s="4">
        <v>4820</v>
      </c>
      <c r="E229" s="124"/>
      <c r="F229" s="10">
        <f t="shared" si="11"/>
        <v>2080</v>
      </c>
      <c r="G229" s="3"/>
      <c r="H229" s="4"/>
      <c r="I229" s="52"/>
      <c r="J229" s="53"/>
      <c r="K229" s="54"/>
      <c r="L229" s="96">
        <v>690</v>
      </c>
      <c r="M229" s="53">
        <v>2</v>
      </c>
      <c r="N229" s="53" t="s">
        <v>327</v>
      </c>
      <c r="O229" s="52"/>
      <c r="P229" s="54"/>
      <c r="Q229" s="52"/>
      <c r="R229" s="53"/>
      <c r="S229" s="57"/>
      <c r="T229" s="95">
        <v>400</v>
      </c>
      <c r="U229" s="106">
        <v>5</v>
      </c>
      <c r="V229" s="56"/>
      <c r="W229" s="54"/>
      <c r="X229" s="54"/>
      <c r="Y229" s="64"/>
      <c r="Z229" s="54"/>
      <c r="AA229" s="55"/>
      <c r="AB229" s="56" t="s">
        <v>328</v>
      </c>
      <c r="AC229" s="54">
        <v>1300</v>
      </c>
      <c r="AD229" s="6">
        <f t="shared" si="12"/>
        <v>250</v>
      </c>
      <c r="AE229" s="49">
        <v>588</v>
      </c>
      <c r="AF229" s="5" t="s">
        <v>91</v>
      </c>
    </row>
    <row r="230" spans="1:32" ht="15.75" thickBot="1">
      <c r="A230" s="11">
        <v>44054</v>
      </c>
      <c r="B230" s="2">
        <f t="shared" si="10"/>
        <v>588</v>
      </c>
      <c r="C230" s="3">
        <v>24730</v>
      </c>
      <c r="D230" s="4">
        <v>15880</v>
      </c>
      <c r="E230" s="124"/>
      <c r="F230" s="10">
        <f t="shared" si="11"/>
        <v>8850</v>
      </c>
      <c r="G230" s="96">
        <v>320</v>
      </c>
      <c r="H230" s="4">
        <v>4</v>
      </c>
      <c r="I230" s="52"/>
      <c r="J230" s="53"/>
      <c r="K230" s="54"/>
      <c r="L230" s="52"/>
      <c r="M230" s="53"/>
      <c r="N230" s="53"/>
      <c r="O230" s="96">
        <v>320</v>
      </c>
      <c r="P230" s="54">
        <v>4</v>
      </c>
      <c r="Q230" s="96">
        <f>350+300</f>
        <v>650</v>
      </c>
      <c r="R230" s="53">
        <v>1</v>
      </c>
      <c r="S230" s="57" t="s">
        <v>329</v>
      </c>
      <c r="T230" s="95"/>
      <c r="U230" s="61"/>
      <c r="V230" s="97">
        <f>350+300+400+300</f>
        <v>1350</v>
      </c>
      <c r="W230" s="54">
        <v>4</v>
      </c>
      <c r="X230" s="54" t="s">
        <v>330</v>
      </c>
      <c r="Y230" s="64">
        <v>325</v>
      </c>
      <c r="Z230" s="54">
        <v>1</v>
      </c>
      <c r="AA230" s="55" t="s">
        <v>288</v>
      </c>
      <c r="AB230" s="56"/>
      <c r="AC230" s="54"/>
      <c r="AD230" s="6">
        <f t="shared" si="12"/>
        <v>8550</v>
      </c>
      <c r="AE230" s="49">
        <v>568</v>
      </c>
      <c r="AF230" s="5" t="s">
        <v>15</v>
      </c>
    </row>
    <row r="231" spans="1:32" ht="15.75" thickBot="1">
      <c r="A231" s="11">
        <v>44055</v>
      </c>
      <c r="B231" s="2">
        <f t="shared" si="10"/>
        <v>568</v>
      </c>
      <c r="C231" s="3">
        <v>5500</v>
      </c>
      <c r="D231" s="4">
        <v>4220</v>
      </c>
      <c r="E231" s="124"/>
      <c r="F231" s="10">
        <f t="shared" si="11"/>
        <v>1280</v>
      </c>
      <c r="G231" s="3"/>
      <c r="H231" s="4"/>
      <c r="I231" s="52"/>
      <c r="J231" s="53"/>
      <c r="K231" s="54"/>
      <c r="L231" s="96">
        <v>290</v>
      </c>
      <c r="M231" s="53">
        <v>1</v>
      </c>
      <c r="N231" s="53" t="s">
        <v>197</v>
      </c>
      <c r="O231" s="96"/>
      <c r="P231" s="54"/>
      <c r="Q231" s="52"/>
      <c r="R231" s="53"/>
      <c r="S231" s="57"/>
      <c r="T231" s="95">
        <v>320</v>
      </c>
      <c r="U231" s="106">
        <v>4</v>
      </c>
      <c r="V231" s="97">
        <f>250+400+350</f>
        <v>1000</v>
      </c>
      <c r="W231" s="54">
        <v>1</v>
      </c>
      <c r="X231" s="54" t="s">
        <v>331</v>
      </c>
      <c r="Y231" s="64"/>
      <c r="Z231" s="54"/>
      <c r="AA231" s="55"/>
      <c r="AB231" s="56"/>
      <c r="AC231" s="54"/>
      <c r="AD231" s="6">
        <f t="shared" si="12"/>
        <v>800</v>
      </c>
      <c r="AE231" s="49">
        <v>758</v>
      </c>
      <c r="AF231" s="5" t="s">
        <v>15</v>
      </c>
    </row>
    <row r="232" spans="1:32" ht="15.75" thickBot="1">
      <c r="A232" s="11">
        <v>44056</v>
      </c>
      <c r="B232" s="2">
        <f t="shared" si="10"/>
        <v>758</v>
      </c>
      <c r="C232" s="3">
        <v>5530</v>
      </c>
      <c r="D232" s="4">
        <v>1870</v>
      </c>
      <c r="E232" s="124"/>
      <c r="F232" s="10">
        <f t="shared" si="11"/>
        <v>3660</v>
      </c>
      <c r="G232" s="3"/>
      <c r="H232" s="4"/>
      <c r="I232" s="52"/>
      <c r="J232" s="53"/>
      <c r="K232" s="54"/>
      <c r="L232" s="96">
        <v>400</v>
      </c>
      <c r="M232" s="53">
        <v>1</v>
      </c>
      <c r="N232" s="53" t="s">
        <v>332</v>
      </c>
      <c r="O232" s="96">
        <v>400</v>
      </c>
      <c r="P232" s="54">
        <v>5</v>
      </c>
      <c r="Q232" s="52"/>
      <c r="R232" s="53"/>
      <c r="S232" s="57"/>
      <c r="T232" s="95"/>
      <c r="U232" s="61"/>
      <c r="V232" s="97">
        <v>350</v>
      </c>
      <c r="W232" s="54">
        <v>1</v>
      </c>
      <c r="X232" s="54" t="s">
        <v>320</v>
      </c>
      <c r="Y232" s="64"/>
      <c r="Z232" s="54"/>
      <c r="AA232" s="55"/>
      <c r="AB232" s="56" t="s">
        <v>287</v>
      </c>
      <c r="AC232" s="54">
        <v>1200</v>
      </c>
      <c r="AD232" s="6">
        <f t="shared" si="12"/>
        <v>2200</v>
      </c>
      <c r="AE232" s="49">
        <v>618</v>
      </c>
      <c r="AF232" s="5" t="s">
        <v>91</v>
      </c>
    </row>
    <row r="233" spans="1:32" ht="15.75" thickBot="1">
      <c r="A233" s="11">
        <v>44057</v>
      </c>
      <c r="B233" s="2">
        <f t="shared" si="10"/>
        <v>618</v>
      </c>
      <c r="C233" s="3">
        <v>6879</v>
      </c>
      <c r="D233" s="4">
        <v>6010</v>
      </c>
      <c r="E233" s="124"/>
      <c r="F233" s="10">
        <f t="shared" si="11"/>
        <v>869</v>
      </c>
      <c r="G233" s="3"/>
      <c r="H233" s="4"/>
      <c r="I233" s="52"/>
      <c r="J233" s="53"/>
      <c r="K233" s="54"/>
      <c r="L233" s="52"/>
      <c r="M233" s="53"/>
      <c r="N233" s="53"/>
      <c r="O233" s="96"/>
      <c r="P233" s="54"/>
      <c r="Q233" s="52"/>
      <c r="R233" s="53"/>
      <c r="S233" s="57"/>
      <c r="T233" s="95">
        <v>400</v>
      </c>
      <c r="U233" s="106">
        <v>5</v>
      </c>
      <c r="V233" s="97">
        <f>300+300+400+350</f>
        <v>1350</v>
      </c>
      <c r="W233" s="54">
        <v>1</v>
      </c>
      <c r="X233" s="54" t="s">
        <v>333</v>
      </c>
      <c r="Y233" s="64"/>
      <c r="Z233" s="54"/>
      <c r="AA233" s="55"/>
      <c r="AB233" s="56"/>
      <c r="AC233" s="54"/>
      <c r="AD233" s="6">
        <f t="shared" si="12"/>
        <v>800</v>
      </c>
      <c r="AE233" s="49">
        <v>687</v>
      </c>
      <c r="AF233" s="5" t="s">
        <v>15</v>
      </c>
    </row>
    <row r="234" spans="1:32" ht="15.75" thickBot="1">
      <c r="A234" s="11">
        <v>44058</v>
      </c>
      <c r="B234" s="2">
        <f t="shared" si="10"/>
        <v>687</v>
      </c>
      <c r="C234" s="3">
        <v>12390</v>
      </c>
      <c r="D234" s="4">
        <v>11280</v>
      </c>
      <c r="E234" s="124"/>
      <c r="F234" s="10">
        <f t="shared" si="11"/>
        <v>1110</v>
      </c>
      <c r="G234" s="3"/>
      <c r="H234" s="4"/>
      <c r="I234" s="52"/>
      <c r="J234" s="53"/>
      <c r="K234" s="54"/>
      <c r="L234" s="52">
        <v>400</v>
      </c>
      <c r="M234" s="53">
        <v>2</v>
      </c>
      <c r="N234" s="53" t="s">
        <v>197</v>
      </c>
      <c r="O234" s="96"/>
      <c r="P234" s="54"/>
      <c r="Q234" s="52"/>
      <c r="R234" s="53"/>
      <c r="S234" s="57"/>
      <c r="T234" s="95"/>
      <c r="U234" s="61"/>
      <c r="V234" s="56"/>
      <c r="W234" s="54"/>
      <c r="X234" s="54"/>
      <c r="Y234" s="64"/>
      <c r="Z234" s="54"/>
      <c r="AA234" s="55"/>
      <c r="AB234" s="56"/>
      <c r="AC234" s="54"/>
      <c r="AD234" s="6">
        <f t="shared" si="12"/>
        <v>650</v>
      </c>
      <c r="AE234" s="49">
        <v>747</v>
      </c>
      <c r="AF234" s="5" t="s">
        <v>16</v>
      </c>
    </row>
    <row r="235" spans="1:32" ht="15.75" thickBot="1">
      <c r="A235" s="11">
        <v>44059</v>
      </c>
      <c r="B235" s="2">
        <f t="shared" si="10"/>
        <v>747</v>
      </c>
      <c r="C235" s="3">
        <v>4450</v>
      </c>
      <c r="D235" s="4">
        <v>3400</v>
      </c>
      <c r="E235" s="124"/>
      <c r="F235" s="10">
        <f t="shared" si="11"/>
        <v>1050</v>
      </c>
      <c r="G235" s="3"/>
      <c r="H235" s="4"/>
      <c r="I235" s="52"/>
      <c r="J235" s="53"/>
      <c r="K235" s="54"/>
      <c r="L235" s="52"/>
      <c r="M235" s="53"/>
      <c r="N235" s="53"/>
      <c r="O235" s="96"/>
      <c r="P235" s="54"/>
      <c r="Q235" s="52"/>
      <c r="R235" s="53"/>
      <c r="S235" s="57"/>
      <c r="T235" s="95"/>
      <c r="U235" s="61"/>
      <c r="V235" s="56"/>
      <c r="W235" s="54"/>
      <c r="X235" s="54"/>
      <c r="Y235" s="64">
        <v>350</v>
      </c>
      <c r="Z235" s="54">
        <v>1</v>
      </c>
      <c r="AA235" s="55" t="s">
        <v>288</v>
      </c>
      <c r="AB235" s="56" t="s">
        <v>287</v>
      </c>
      <c r="AC235" s="54">
        <v>1000</v>
      </c>
      <c r="AD235" s="6">
        <f t="shared" si="12"/>
        <v>100</v>
      </c>
      <c r="AE235" s="49">
        <v>697</v>
      </c>
      <c r="AF235" s="5" t="s">
        <v>91</v>
      </c>
    </row>
    <row r="236" spans="1:32" ht="15.75" thickBot="1">
      <c r="A236" s="11">
        <v>44060</v>
      </c>
      <c r="B236" s="2">
        <f t="shared" si="10"/>
        <v>697</v>
      </c>
      <c r="C236" s="3">
        <v>6073</v>
      </c>
      <c r="D236" s="4">
        <v>5190</v>
      </c>
      <c r="E236" s="124"/>
      <c r="F236" s="10">
        <f t="shared" si="11"/>
        <v>883</v>
      </c>
      <c r="G236" s="3"/>
      <c r="H236" s="4"/>
      <c r="I236" s="52"/>
      <c r="J236" s="53"/>
      <c r="K236" s="54"/>
      <c r="L236" s="52"/>
      <c r="M236" s="53"/>
      <c r="N236" s="53"/>
      <c r="O236" s="96">
        <v>400</v>
      </c>
      <c r="P236" s="54">
        <v>1</v>
      </c>
      <c r="Q236" s="52"/>
      <c r="R236" s="53"/>
      <c r="S236" s="57"/>
      <c r="T236" s="95">
        <v>720</v>
      </c>
      <c r="U236" s="106">
        <v>9</v>
      </c>
      <c r="V236" s="97">
        <f>300+350+300+400</f>
        <v>1350</v>
      </c>
      <c r="W236" s="54">
        <v>1</v>
      </c>
      <c r="X236" s="54" t="s">
        <v>334</v>
      </c>
      <c r="Y236" s="64"/>
      <c r="Z236" s="54"/>
      <c r="AA236" s="55"/>
      <c r="AB236" s="56"/>
      <c r="AC236" s="54"/>
      <c r="AD236" s="6">
        <f t="shared" si="12"/>
        <v>900</v>
      </c>
      <c r="AE236" s="49">
        <v>680</v>
      </c>
      <c r="AF236" s="5" t="s">
        <v>15</v>
      </c>
    </row>
    <row r="237" spans="1:32" ht="15.75" thickBot="1">
      <c r="A237" s="11">
        <v>44061</v>
      </c>
      <c r="B237" s="2">
        <f t="shared" si="10"/>
        <v>680</v>
      </c>
      <c r="C237" s="3">
        <v>8780</v>
      </c>
      <c r="D237" s="4">
        <v>7130</v>
      </c>
      <c r="E237" s="124"/>
      <c r="F237" s="10">
        <f t="shared" si="11"/>
        <v>1650</v>
      </c>
      <c r="G237" s="96">
        <v>320</v>
      </c>
      <c r="H237" s="4">
        <v>4</v>
      </c>
      <c r="I237" s="96">
        <v>300</v>
      </c>
      <c r="J237" s="53">
        <v>1</v>
      </c>
      <c r="K237" s="54" t="s">
        <v>117</v>
      </c>
      <c r="L237" s="96">
        <v>350</v>
      </c>
      <c r="M237" s="53">
        <v>1</v>
      </c>
      <c r="N237" s="53" t="s">
        <v>121</v>
      </c>
      <c r="O237" s="96">
        <f>300+400</f>
        <v>700</v>
      </c>
      <c r="P237" s="54">
        <f>1+5</f>
        <v>6</v>
      </c>
      <c r="Q237" s="96">
        <v>600</v>
      </c>
      <c r="R237" s="53">
        <v>2</v>
      </c>
      <c r="S237" s="57" t="s">
        <v>335</v>
      </c>
      <c r="T237" s="95"/>
      <c r="U237" s="61"/>
      <c r="V237" s="97"/>
      <c r="W237" s="54"/>
      <c r="X237" s="54"/>
      <c r="Y237" s="64"/>
      <c r="Z237" s="54"/>
      <c r="AA237" s="55"/>
      <c r="AB237" s="56" t="s">
        <v>336</v>
      </c>
      <c r="AC237" s="54">
        <v>1250</v>
      </c>
      <c r="AD237" s="6">
        <v>50</v>
      </c>
      <c r="AE237" s="49">
        <v>60</v>
      </c>
      <c r="AF237" s="5" t="s">
        <v>91</v>
      </c>
    </row>
    <row r="238" spans="1:32" ht="15.75" thickBot="1">
      <c r="A238" s="11">
        <v>44062</v>
      </c>
      <c r="B238" s="2">
        <f t="shared" si="10"/>
        <v>60</v>
      </c>
      <c r="C238" s="3">
        <v>5710</v>
      </c>
      <c r="D238" s="4">
        <v>1700</v>
      </c>
      <c r="E238" s="124"/>
      <c r="F238" s="10">
        <f t="shared" si="11"/>
        <v>4010</v>
      </c>
      <c r="G238" s="3"/>
      <c r="H238" s="4"/>
      <c r="I238" s="52"/>
      <c r="J238" s="53"/>
      <c r="K238" s="54"/>
      <c r="L238" s="96">
        <v>400</v>
      </c>
      <c r="M238" s="53">
        <v>1</v>
      </c>
      <c r="N238" s="53" t="s">
        <v>197</v>
      </c>
      <c r="O238" s="96">
        <v>400</v>
      </c>
      <c r="P238" s="54">
        <v>1</v>
      </c>
      <c r="Q238" s="52"/>
      <c r="R238" s="53"/>
      <c r="S238" s="57"/>
      <c r="T238" s="95">
        <v>400</v>
      </c>
      <c r="U238" s="106">
        <v>5</v>
      </c>
      <c r="V238" s="97"/>
      <c r="W238" s="54"/>
      <c r="X238" s="54"/>
      <c r="Y238" s="64"/>
      <c r="Z238" s="54"/>
      <c r="AA238" s="55"/>
      <c r="AB238" s="56"/>
      <c r="AC238" s="54"/>
      <c r="AD238" s="6">
        <f t="shared" si="12"/>
        <v>3600</v>
      </c>
      <c r="AE238" s="49">
        <v>70</v>
      </c>
      <c r="AF238" s="5" t="s">
        <v>15</v>
      </c>
    </row>
    <row r="239" spans="1:32" ht="15.75" thickBot="1">
      <c r="A239" s="11">
        <v>44063</v>
      </c>
      <c r="B239" s="2">
        <f t="shared" si="10"/>
        <v>70</v>
      </c>
      <c r="C239" s="3">
        <v>8130</v>
      </c>
      <c r="D239" s="4">
        <v>2560</v>
      </c>
      <c r="E239" s="124"/>
      <c r="F239" s="10">
        <f t="shared" si="11"/>
        <v>5570</v>
      </c>
      <c r="G239" s="96">
        <v>320</v>
      </c>
      <c r="H239" s="4">
        <v>4</v>
      </c>
      <c r="I239" s="52"/>
      <c r="J239" s="53"/>
      <c r="K239" s="54"/>
      <c r="L239" s="96">
        <f>450+350</f>
        <v>800</v>
      </c>
      <c r="M239" s="53">
        <v>2</v>
      </c>
      <c r="N239" s="53" t="s">
        <v>337</v>
      </c>
      <c r="O239" s="96">
        <f>300+160</f>
        <v>460</v>
      </c>
      <c r="P239" s="54">
        <f>1+2</f>
        <v>3</v>
      </c>
      <c r="Q239" s="52"/>
      <c r="R239" s="53"/>
      <c r="S239" s="57"/>
      <c r="T239" s="95"/>
      <c r="U239" s="61"/>
      <c r="V239" s="97">
        <f>300+350+400+350</f>
        <v>1400</v>
      </c>
      <c r="W239" s="54">
        <v>4</v>
      </c>
      <c r="X239" s="54" t="s">
        <v>339</v>
      </c>
      <c r="Y239" s="64"/>
      <c r="Z239" s="54"/>
      <c r="AA239" s="55"/>
      <c r="AB239" s="56" t="s">
        <v>338</v>
      </c>
      <c r="AC239" s="54">
        <v>2450</v>
      </c>
      <c r="AD239" s="6">
        <f t="shared" si="12"/>
        <v>2000</v>
      </c>
      <c r="AE239" s="49">
        <v>70</v>
      </c>
      <c r="AF239" s="5" t="s">
        <v>91</v>
      </c>
    </row>
    <row r="240" spans="1:32" ht="15.75" thickBot="1">
      <c r="A240" s="11">
        <v>44064</v>
      </c>
      <c r="B240" s="2">
        <f t="shared" si="10"/>
        <v>70</v>
      </c>
      <c r="C240" s="3">
        <v>8620</v>
      </c>
      <c r="D240" s="4">
        <v>6420</v>
      </c>
      <c r="E240" s="124"/>
      <c r="F240" s="10">
        <f t="shared" si="11"/>
        <v>2200</v>
      </c>
      <c r="G240" s="3"/>
      <c r="H240" s="4"/>
      <c r="I240" s="52"/>
      <c r="J240" s="53"/>
      <c r="K240" s="54"/>
      <c r="L240" s="96">
        <v>400</v>
      </c>
      <c r="M240" s="53">
        <v>1</v>
      </c>
      <c r="N240" s="53" t="s">
        <v>197</v>
      </c>
      <c r="O240" s="96">
        <v>300</v>
      </c>
      <c r="P240" s="54">
        <v>1</v>
      </c>
      <c r="Q240" s="52"/>
      <c r="R240" s="53"/>
      <c r="S240" s="57"/>
      <c r="T240" s="95">
        <v>320</v>
      </c>
      <c r="U240" s="106">
        <v>4</v>
      </c>
      <c r="V240" s="97">
        <f>300+300+350</f>
        <v>950</v>
      </c>
      <c r="W240" s="54">
        <v>1</v>
      </c>
      <c r="X240" s="54" t="s">
        <v>341</v>
      </c>
      <c r="Y240" s="64"/>
      <c r="Z240" s="54"/>
      <c r="AA240" s="55"/>
      <c r="AB240" s="56"/>
      <c r="AC240" s="54"/>
      <c r="AD240" s="6">
        <f t="shared" si="12"/>
        <v>1700</v>
      </c>
      <c r="AE240" s="49">
        <v>170</v>
      </c>
      <c r="AF240" s="5" t="s">
        <v>15</v>
      </c>
    </row>
    <row r="241" spans="1:32" ht="15.75" thickBot="1">
      <c r="A241" s="11">
        <v>44065</v>
      </c>
      <c r="B241" s="2">
        <f t="shared" si="10"/>
        <v>170</v>
      </c>
      <c r="C241" s="3">
        <v>4120</v>
      </c>
      <c r="D241" s="4">
        <v>3510</v>
      </c>
      <c r="E241" s="124"/>
      <c r="F241" s="10">
        <f t="shared" si="11"/>
        <v>610</v>
      </c>
      <c r="G241" s="3"/>
      <c r="H241" s="4"/>
      <c r="I241" s="52"/>
      <c r="J241" s="53"/>
      <c r="K241" s="54"/>
      <c r="L241" s="52"/>
      <c r="M241" s="53"/>
      <c r="N241" s="53"/>
      <c r="O241" s="96"/>
      <c r="P241" s="54"/>
      <c r="Q241" s="52"/>
      <c r="R241" s="53"/>
      <c r="S241" s="57"/>
      <c r="T241" s="95"/>
      <c r="U241" s="61"/>
      <c r="V241" s="56"/>
      <c r="W241" s="54"/>
      <c r="X241" s="54"/>
      <c r="Y241" s="64"/>
      <c r="Z241" s="54"/>
      <c r="AA241" s="55"/>
      <c r="AB241" s="56"/>
      <c r="AC241" s="54"/>
      <c r="AD241" s="6">
        <v>750</v>
      </c>
      <c r="AE241" s="49">
        <v>30</v>
      </c>
      <c r="AF241" s="5" t="s">
        <v>16</v>
      </c>
    </row>
    <row r="242" spans="1:32" ht="15.75" thickBot="1">
      <c r="A242" s="11">
        <v>44066</v>
      </c>
      <c r="B242" s="2">
        <f t="shared" si="10"/>
        <v>30</v>
      </c>
      <c r="C242" s="3">
        <v>6770</v>
      </c>
      <c r="D242" s="4">
        <v>3700</v>
      </c>
      <c r="E242" s="124"/>
      <c r="F242" s="10">
        <f t="shared" si="11"/>
        <v>3070</v>
      </c>
      <c r="G242" s="3"/>
      <c r="H242" s="4"/>
      <c r="I242" s="52"/>
      <c r="J242" s="53"/>
      <c r="K242" s="54"/>
      <c r="L242" s="52"/>
      <c r="M242" s="53"/>
      <c r="N242" s="53"/>
      <c r="O242" s="96">
        <v>400</v>
      </c>
      <c r="P242" s="54">
        <v>5</v>
      </c>
      <c r="Q242" s="52"/>
      <c r="R242" s="53"/>
      <c r="S242" s="57"/>
      <c r="T242" s="95"/>
      <c r="U242" s="61"/>
      <c r="V242" s="56"/>
      <c r="W242" s="54"/>
      <c r="X242" s="54"/>
      <c r="Y242" s="64"/>
      <c r="Z242" s="54"/>
      <c r="AA242" s="55"/>
      <c r="AB242" s="56" t="s">
        <v>287</v>
      </c>
      <c r="AC242" s="54">
        <v>1000</v>
      </c>
      <c r="AD242" s="6">
        <f t="shared" si="12"/>
        <v>1950</v>
      </c>
      <c r="AE242" s="49">
        <v>150</v>
      </c>
      <c r="AF242" s="5" t="s">
        <v>91</v>
      </c>
    </row>
    <row r="243" spans="1:32" ht="15.75" thickBot="1">
      <c r="A243" s="11">
        <v>44067</v>
      </c>
      <c r="B243" s="2">
        <f t="shared" si="10"/>
        <v>150</v>
      </c>
      <c r="C243" s="3">
        <v>15080</v>
      </c>
      <c r="D243" s="4">
        <v>14030</v>
      </c>
      <c r="E243" s="124"/>
      <c r="F243" s="10">
        <f t="shared" si="11"/>
        <v>1050</v>
      </c>
      <c r="G243" s="3"/>
      <c r="H243" s="4"/>
      <c r="I243" s="52"/>
      <c r="J243" s="53"/>
      <c r="K243" s="54"/>
      <c r="L243" s="96">
        <f>400+325</f>
        <v>725</v>
      </c>
      <c r="M243" s="53">
        <v>2</v>
      </c>
      <c r="N243" s="53" t="s">
        <v>343</v>
      </c>
      <c r="O243" s="96">
        <f>300+7*80</f>
        <v>860</v>
      </c>
      <c r="P243" s="54">
        <f>1+7</f>
        <v>8</v>
      </c>
      <c r="Q243" s="52"/>
      <c r="R243" s="53"/>
      <c r="S243" s="57"/>
      <c r="T243" s="95">
        <f>4*80</f>
        <v>320</v>
      </c>
      <c r="U243" s="106">
        <v>4</v>
      </c>
      <c r="V243" s="97">
        <f>300+250+350+300</f>
        <v>1200</v>
      </c>
      <c r="W243" s="54">
        <v>1</v>
      </c>
      <c r="X243" s="54" t="s">
        <v>342</v>
      </c>
      <c r="Y243" s="64"/>
      <c r="Z243" s="54"/>
      <c r="AA243" s="55"/>
      <c r="AB243" s="56"/>
      <c r="AC243" s="54"/>
      <c r="AD243" s="6">
        <f>B243+F243-L243-G243-I243-AC243-AE243</f>
        <v>400</v>
      </c>
      <c r="AE243" s="49">
        <v>75</v>
      </c>
      <c r="AF243" s="5" t="s">
        <v>15</v>
      </c>
    </row>
    <row r="244" spans="1:32" ht="15.75" thickBot="1">
      <c r="A244" s="11">
        <v>44068</v>
      </c>
      <c r="B244" s="2">
        <f t="shared" si="10"/>
        <v>75</v>
      </c>
      <c r="C244" s="3">
        <v>19460</v>
      </c>
      <c r="D244" s="4">
        <v>11710</v>
      </c>
      <c r="E244" s="124"/>
      <c r="F244" s="10">
        <f t="shared" si="11"/>
        <v>7750</v>
      </c>
      <c r="G244" s="96">
        <v>400</v>
      </c>
      <c r="H244" s="4">
        <v>5</v>
      </c>
      <c r="I244" s="96">
        <v>300</v>
      </c>
      <c r="J244" s="53">
        <v>1</v>
      </c>
      <c r="K244" s="54" t="s">
        <v>117</v>
      </c>
      <c r="L244" s="52"/>
      <c r="M244" s="53"/>
      <c r="N244" s="53"/>
      <c r="O244" s="96"/>
      <c r="P244" s="54"/>
      <c r="Q244" s="52"/>
      <c r="R244" s="53"/>
      <c r="S244" s="57"/>
      <c r="T244" s="95"/>
      <c r="U244" s="61"/>
      <c r="V244" s="97">
        <v>300</v>
      </c>
      <c r="W244" s="54">
        <v>1</v>
      </c>
      <c r="X244" s="54" t="s">
        <v>269</v>
      </c>
      <c r="Y244" s="64">
        <v>300</v>
      </c>
      <c r="Z244" s="54">
        <v>1</v>
      </c>
      <c r="AA244" s="55" t="s">
        <v>288</v>
      </c>
      <c r="AB244" s="56" t="s">
        <v>344</v>
      </c>
      <c r="AC244" s="54">
        <v>1200</v>
      </c>
      <c r="AD244" s="6">
        <f>B244+F244-L244-V244-I244-AC244-AE244-G244</f>
        <v>5600</v>
      </c>
      <c r="AE244" s="49">
        <v>25</v>
      </c>
      <c r="AF244" s="5" t="s">
        <v>91</v>
      </c>
    </row>
    <row r="245" spans="1:32" ht="15.75" thickBot="1">
      <c r="A245" s="11">
        <v>44069</v>
      </c>
      <c r="B245" s="2">
        <f t="shared" si="10"/>
        <v>25</v>
      </c>
      <c r="C245" s="3">
        <v>11500</v>
      </c>
      <c r="D245" s="4">
        <v>10080</v>
      </c>
      <c r="E245" s="124"/>
      <c r="F245" s="10">
        <f t="shared" si="11"/>
        <v>1420</v>
      </c>
      <c r="G245" s="3"/>
      <c r="H245" s="4"/>
      <c r="I245" s="52"/>
      <c r="J245" s="53"/>
      <c r="K245" s="54"/>
      <c r="L245" s="52"/>
      <c r="M245" s="53"/>
      <c r="N245" s="53"/>
      <c r="O245" s="96"/>
      <c r="P245" s="54"/>
      <c r="Q245" s="52"/>
      <c r="R245" s="53"/>
      <c r="S245" s="57"/>
      <c r="T245" s="95">
        <f>4*80</f>
        <v>320</v>
      </c>
      <c r="U245" s="106">
        <v>4</v>
      </c>
      <c r="V245" s="97">
        <f>250+350</f>
        <v>600</v>
      </c>
      <c r="W245" s="54">
        <v>2</v>
      </c>
      <c r="X245" s="54" t="s">
        <v>345</v>
      </c>
      <c r="Y245" s="64"/>
      <c r="Z245" s="54"/>
      <c r="AA245" s="55"/>
      <c r="AB245" s="56"/>
      <c r="AC245" s="54"/>
      <c r="AD245" s="6">
        <f t="shared" ref="AD245:AD264" si="13">B245+F245-L245-V245-G245-I245-AC245-AE245</f>
        <v>600</v>
      </c>
      <c r="AE245" s="49">
        <v>245</v>
      </c>
      <c r="AF245" s="5" t="s">
        <v>15</v>
      </c>
    </row>
    <row r="246" spans="1:32" ht="15.75" thickBot="1">
      <c r="A246" s="11">
        <v>44070</v>
      </c>
      <c r="B246" s="2">
        <f t="shared" si="10"/>
        <v>245</v>
      </c>
      <c r="C246" s="3">
        <v>9960</v>
      </c>
      <c r="D246" s="4">
        <v>7560</v>
      </c>
      <c r="E246" s="124"/>
      <c r="F246" s="10">
        <f t="shared" si="11"/>
        <v>2400</v>
      </c>
      <c r="G246" s="96">
        <v>400</v>
      </c>
      <c r="H246" s="4">
        <v>5</v>
      </c>
      <c r="I246" s="96">
        <v>300</v>
      </c>
      <c r="J246" s="53">
        <v>1</v>
      </c>
      <c r="K246" s="54" t="s">
        <v>117</v>
      </c>
      <c r="L246" s="96">
        <v>350</v>
      </c>
      <c r="M246" s="53">
        <v>1</v>
      </c>
      <c r="N246" s="53" t="s">
        <v>121</v>
      </c>
      <c r="O246" s="96"/>
      <c r="P246" s="54"/>
      <c r="Q246" s="52"/>
      <c r="R246" s="53"/>
      <c r="S246" s="57"/>
      <c r="T246" s="95"/>
      <c r="U246" s="61"/>
      <c r="V246" s="56"/>
      <c r="W246" s="54"/>
      <c r="X246" s="54"/>
      <c r="Y246" s="64"/>
      <c r="Z246" s="54"/>
      <c r="AA246" s="55"/>
      <c r="AB246" s="56" t="s">
        <v>287</v>
      </c>
      <c r="AC246" s="54">
        <v>1200</v>
      </c>
      <c r="AD246" s="6">
        <f t="shared" si="13"/>
        <v>100</v>
      </c>
      <c r="AE246" s="49">
        <v>295</v>
      </c>
      <c r="AF246" s="5" t="s">
        <v>91</v>
      </c>
    </row>
    <row r="247" spans="1:32" ht="15.75" thickBot="1">
      <c r="A247" s="11">
        <v>44071</v>
      </c>
      <c r="B247" s="2">
        <f t="shared" si="10"/>
        <v>295</v>
      </c>
      <c r="C247" s="3">
        <v>8370</v>
      </c>
      <c r="D247" s="4">
        <v>6890</v>
      </c>
      <c r="E247" s="124"/>
      <c r="F247" s="10">
        <f t="shared" si="11"/>
        <v>1480</v>
      </c>
      <c r="G247" s="3"/>
      <c r="H247" s="4"/>
      <c r="I247" s="52"/>
      <c r="J247" s="53"/>
      <c r="K247" s="54"/>
      <c r="L247" s="96">
        <v>400</v>
      </c>
      <c r="M247" s="53">
        <v>1</v>
      </c>
      <c r="N247" s="53" t="s">
        <v>197</v>
      </c>
      <c r="O247" s="96">
        <v>640</v>
      </c>
      <c r="P247" s="54">
        <v>8</v>
      </c>
      <c r="Q247" s="52"/>
      <c r="R247" s="53"/>
      <c r="S247" s="57"/>
      <c r="T247" s="95"/>
      <c r="U247" s="61"/>
      <c r="V247" s="97">
        <f>300+300+400</f>
        <v>1000</v>
      </c>
      <c r="W247" s="54">
        <v>3</v>
      </c>
      <c r="X247" s="54" t="s">
        <v>346</v>
      </c>
      <c r="Y247" s="64">
        <v>350</v>
      </c>
      <c r="Z247" s="54">
        <v>1</v>
      </c>
      <c r="AA247" s="55" t="s">
        <v>288</v>
      </c>
      <c r="AB247" s="56" t="s">
        <v>287</v>
      </c>
      <c r="AC247" s="54">
        <v>120</v>
      </c>
      <c r="AD247" s="6">
        <f t="shared" si="13"/>
        <v>100</v>
      </c>
      <c r="AE247" s="49">
        <v>155</v>
      </c>
      <c r="AF247" s="5" t="s">
        <v>91</v>
      </c>
    </row>
    <row r="248" spans="1:32" ht="15.75" thickBot="1">
      <c r="A248" s="11">
        <v>44072</v>
      </c>
      <c r="B248" s="2">
        <f t="shared" si="10"/>
        <v>155</v>
      </c>
      <c r="C248" s="3">
        <v>3680</v>
      </c>
      <c r="D248" s="4">
        <v>2100</v>
      </c>
      <c r="E248" s="124"/>
      <c r="F248" s="10">
        <f t="shared" si="11"/>
        <v>1580</v>
      </c>
      <c r="G248" s="3"/>
      <c r="H248" s="4"/>
      <c r="I248" s="52"/>
      <c r="J248" s="53"/>
      <c r="K248" s="54"/>
      <c r="L248" s="52"/>
      <c r="M248" s="53"/>
      <c r="N248" s="53"/>
      <c r="O248" s="96"/>
      <c r="P248" s="54"/>
      <c r="Q248" s="52"/>
      <c r="R248" s="53"/>
      <c r="S248" s="57"/>
      <c r="T248" s="95">
        <f>U248*80</f>
        <v>560</v>
      </c>
      <c r="U248" s="61">
        <v>7</v>
      </c>
      <c r="V248" s="56"/>
      <c r="W248" s="54"/>
      <c r="X248" s="54"/>
      <c r="Y248" s="64"/>
      <c r="Z248" s="54"/>
      <c r="AA248" s="55"/>
      <c r="AB248" s="56"/>
      <c r="AC248" s="54"/>
      <c r="AD248" s="6">
        <v>1700</v>
      </c>
      <c r="AE248" s="49">
        <v>35</v>
      </c>
      <c r="AF248" s="5" t="s">
        <v>16</v>
      </c>
    </row>
    <row r="249" spans="1:32" ht="15.75" thickBot="1">
      <c r="A249" s="11">
        <v>44073</v>
      </c>
      <c r="B249" s="2">
        <f t="shared" si="10"/>
        <v>35</v>
      </c>
      <c r="C249" s="3">
        <v>3160</v>
      </c>
      <c r="D249" s="4">
        <v>2320</v>
      </c>
      <c r="E249" s="124"/>
      <c r="F249" s="10">
        <v>840</v>
      </c>
      <c r="G249" s="3"/>
      <c r="H249" s="4"/>
      <c r="I249" s="52"/>
      <c r="J249" s="53"/>
      <c r="K249" s="54"/>
      <c r="L249" s="52"/>
      <c r="M249" s="53"/>
      <c r="N249" s="53"/>
      <c r="O249" s="96"/>
      <c r="P249" s="54"/>
      <c r="Q249" s="52"/>
      <c r="R249" s="53"/>
      <c r="S249" s="57"/>
      <c r="T249" s="95"/>
      <c r="U249" s="61"/>
      <c r="V249" s="97">
        <v>400</v>
      </c>
      <c r="W249" s="54">
        <v>1</v>
      </c>
      <c r="X249" s="54" t="s">
        <v>121</v>
      </c>
      <c r="Y249" s="64">
        <v>350</v>
      </c>
      <c r="Z249" s="54">
        <v>1</v>
      </c>
      <c r="AA249" s="55" t="s">
        <v>288</v>
      </c>
      <c r="AB249" s="56"/>
      <c r="AC249" s="54"/>
      <c r="AD249" s="6">
        <v>400</v>
      </c>
      <c r="AE249" s="49">
        <v>75</v>
      </c>
      <c r="AF249" s="5" t="s">
        <v>16</v>
      </c>
    </row>
    <row r="250" spans="1:32" ht="15.75" thickBot="1">
      <c r="A250" s="11">
        <v>44074</v>
      </c>
      <c r="B250" s="2">
        <f t="shared" si="10"/>
        <v>75</v>
      </c>
      <c r="C250" s="3">
        <v>11200</v>
      </c>
      <c r="D250" s="4">
        <v>3680</v>
      </c>
      <c r="E250" s="124"/>
      <c r="F250" s="10">
        <f t="shared" si="11"/>
        <v>7520</v>
      </c>
      <c r="G250" s="3"/>
      <c r="H250" s="4"/>
      <c r="I250" s="52"/>
      <c r="J250" s="53"/>
      <c r="K250" s="54"/>
      <c r="L250" s="96">
        <v>350</v>
      </c>
      <c r="M250" s="53">
        <v>1</v>
      </c>
      <c r="N250" s="53" t="s">
        <v>121</v>
      </c>
      <c r="O250" s="96">
        <v>350</v>
      </c>
      <c r="P250" s="54">
        <v>1</v>
      </c>
      <c r="Q250" s="52" t="s">
        <v>347</v>
      </c>
      <c r="R250" s="53"/>
      <c r="S250" s="57"/>
      <c r="T250" s="95">
        <v>400</v>
      </c>
      <c r="U250" s="61">
        <v>5</v>
      </c>
      <c r="V250" s="56"/>
      <c r="W250" s="54"/>
      <c r="X250" s="54"/>
      <c r="Y250" s="64"/>
      <c r="Z250" s="54"/>
      <c r="AA250" s="55"/>
      <c r="AB250" s="56" t="s">
        <v>344</v>
      </c>
      <c r="AC250" s="54">
        <v>2280</v>
      </c>
      <c r="AD250" s="6">
        <f t="shared" si="13"/>
        <v>4800</v>
      </c>
      <c r="AE250" s="49">
        <v>165</v>
      </c>
      <c r="AF250" s="5" t="s">
        <v>91</v>
      </c>
    </row>
    <row r="251" spans="1:32" ht="15.75" thickBot="1">
      <c r="A251" s="11">
        <v>44075</v>
      </c>
      <c r="B251" s="2">
        <f t="shared" si="10"/>
        <v>165</v>
      </c>
      <c r="C251" s="3">
        <v>6510</v>
      </c>
      <c r="D251" s="4">
        <v>2570</v>
      </c>
      <c r="E251" s="124"/>
      <c r="F251" s="10">
        <f t="shared" si="11"/>
        <v>3940</v>
      </c>
      <c r="G251" s="96">
        <v>240</v>
      </c>
      <c r="H251" s="4">
        <v>3</v>
      </c>
      <c r="I251" s="96">
        <v>300</v>
      </c>
      <c r="J251" s="53">
        <v>1</v>
      </c>
      <c r="K251" s="54" t="s">
        <v>117</v>
      </c>
      <c r="L251" s="52"/>
      <c r="M251" s="53"/>
      <c r="N251" s="53"/>
      <c r="O251" s="73">
        <f>5*80</f>
        <v>400</v>
      </c>
      <c r="P251" s="54">
        <v>5</v>
      </c>
      <c r="Q251" s="52"/>
      <c r="R251" s="53"/>
      <c r="S251" s="57"/>
      <c r="T251" s="95"/>
      <c r="U251" s="61"/>
      <c r="V251" s="97">
        <v>650</v>
      </c>
      <c r="W251" s="54">
        <v>1</v>
      </c>
      <c r="X251" s="54"/>
      <c r="Y251" s="73"/>
      <c r="Z251" s="54"/>
      <c r="AA251" s="55"/>
      <c r="AB251" s="56"/>
      <c r="AC251" s="54"/>
      <c r="AD251" s="6">
        <f t="shared" si="13"/>
        <v>0</v>
      </c>
      <c r="AE251" s="49">
        <v>2915</v>
      </c>
      <c r="AF251" s="5" t="s">
        <v>16</v>
      </c>
    </row>
    <row r="252" spans="1:32" ht="15.75" thickBot="1">
      <c r="A252" s="11">
        <v>44076</v>
      </c>
      <c r="B252" s="2">
        <f t="shared" si="10"/>
        <v>2915</v>
      </c>
      <c r="C252" s="3">
        <v>8730</v>
      </c>
      <c r="D252" s="4">
        <v>6130</v>
      </c>
      <c r="E252" s="124"/>
      <c r="F252" s="10">
        <f t="shared" si="11"/>
        <v>2600</v>
      </c>
      <c r="G252" s="3"/>
      <c r="H252" s="4"/>
      <c r="I252" s="52"/>
      <c r="J252" s="53"/>
      <c r="K252" s="54"/>
      <c r="L252" s="52"/>
      <c r="M252" s="53"/>
      <c r="N252" s="53"/>
      <c r="O252" s="73"/>
      <c r="P252" s="54"/>
      <c r="Q252" s="52"/>
      <c r="R252" s="53"/>
      <c r="S252" s="57"/>
      <c r="T252" s="95">
        <v>320</v>
      </c>
      <c r="U252" s="61">
        <v>4</v>
      </c>
      <c r="V252" s="97">
        <f>450+50+350</f>
        <v>850</v>
      </c>
      <c r="W252" s="54">
        <v>2</v>
      </c>
      <c r="X252" s="54" t="s">
        <v>348</v>
      </c>
      <c r="Y252" s="73"/>
      <c r="Z252" s="54"/>
      <c r="AA252" s="55"/>
      <c r="AB252" s="56" t="s">
        <v>287</v>
      </c>
      <c r="AC252" s="54">
        <v>1200</v>
      </c>
      <c r="AD252" s="6">
        <f t="shared" si="13"/>
        <v>3150</v>
      </c>
      <c r="AE252" s="49">
        <v>315</v>
      </c>
      <c r="AF252" s="5" t="s">
        <v>91</v>
      </c>
    </row>
    <row r="253" spans="1:32" ht="15.75" thickBot="1">
      <c r="A253" s="11">
        <v>44077</v>
      </c>
      <c r="B253" s="2">
        <f t="shared" si="10"/>
        <v>315</v>
      </c>
      <c r="C253" s="3">
        <v>3670</v>
      </c>
      <c r="D253" s="4">
        <v>1720</v>
      </c>
      <c r="E253" s="124"/>
      <c r="F253" s="10">
        <f t="shared" si="11"/>
        <v>1950</v>
      </c>
      <c r="G253" s="3"/>
      <c r="H253" s="4"/>
      <c r="I253" s="52"/>
      <c r="J253" s="53"/>
      <c r="K253" s="54"/>
      <c r="L253" s="64">
        <v>350</v>
      </c>
      <c r="M253" s="53">
        <v>1</v>
      </c>
      <c r="N253" s="53" t="s">
        <v>121</v>
      </c>
      <c r="O253" s="73">
        <v>350</v>
      </c>
      <c r="P253" s="54">
        <v>1</v>
      </c>
      <c r="Q253" s="52" t="s">
        <v>347</v>
      </c>
      <c r="R253" s="53"/>
      <c r="S253" s="57"/>
      <c r="T253" s="95"/>
      <c r="U253" s="61"/>
      <c r="V253" s="93">
        <v>650</v>
      </c>
      <c r="W253" s="54">
        <v>2</v>
      </c>
      <c r="X253" s="54" t="s">
        <v>350</v>
      </c>
      <c r="Y253" s="73">
        <v>350</v>
      </c>
      <c r="Z253" s="54">
        <v>1</v>
      </c>
      <c r="AA253" s="55" t="s">
        <v>288</v>
      </c>
      <c r="AB253" s="56"/>
      <c r="AC253" s="54"/>
      <c r="AD253" s="6">
        <f t="shared" si="13"/>
        <v>0</v>
      </c>
      <c r="AE253" s="49">
        <v>1265</v>
      </c>
      <c r="AF253" s="5" t="s">
        <v>16</v>
      </c>
    </row>
    <row r="254" spans="1:32" ht="15.75" thickBot="1">
      <c r="A254" s="11">
        <v>44078</v>
      </c>
      <c r="B254" s="2">
        <f t="shared" si="10"/>
        <v>1265</v>
      </c>
      <c r="C254" s="3">
        <v>5740</v>
      </c>
      <c r="D254" s="4">
        <v>4280</v>
      </c>
      <c r="E254" s="124"/>
      <c r="F254" s="10">
        <f t="shared" si="11"/>
        <v>1460</v>
      </c>
      <c r="G254" s="3"/>
      <c r="H254" s="4"/>
      <c r="I254" s="52"/>
      <c r="J254" s="53"/>
      <c r="K254" s="54"/>
      <c r="L254" s="64">
        <v>400</v>
      </c>
      <c r="M254" s="53">
        <v>1</v>
      </c>
      <c r="N254" s="53" t="s">
        <v>197</v>
      </c>
      <c r="O254" s="73"/>
      <c r="P254" s="54"/>
      <c r="Q254" s="52"/>
      <c r="R254" s="53"/>
      <c r="S254" s="57"/>
      <c r="T254" s="95">
        <v>320</v>
      </c>
      <c r="U254" s="61">
        <v>4</v>
      </c>
      <c r="V254" s="56"/>
      <c r="W254" s="54"/>
      <c r="X254" s="54"/>
      <c r="Y254" s="73"/>
      <c r="Z254" s="54"/>
      <c r="AA254" s="55"/>
      <c r="AB254" s="56" t="s">
        <v>287</v>
      </c>
      <c r="AC254" s="54">
        <v>1200</v>
      </c>
      <c r="AD254" s="6">
        <f t="shared" si="13"/>
        <v>1125</v>
      </c>
      <c r="AE254" s="49">
        <v>0</v>
      </c>
      <c r="AF254" s="5" t="s">
        <v>91</v>
      </c>
    </row>
    <row r="255" spans="1:32" ht="15.75" thickBot="1">
      <c r="A255" s="11">
        <v>44079</v>
      </c>
      <c r="B255" s="2">
        <f t="shared" si="10"/>
        <v>0</v>
      </c>
      <c r="C255" s="3">
        <v>2990</v>
      </c>
      <c r="D255" s="4">
        <v>1180</v>
      </c>
      <c r="E255" s="124"/>
      <c r="F255" s="10">
        <v>1460</v>
      </c>
      <c r="G255" s="3"/>
      <c r="H255" s="4"/>
      <c r="I255" s="52"/>
      <c r="J255" s="53"/>
      <c r="K255" s="54"/>
      <c r="L255" s="52"/>
      <c r="M255" s="53"/>
      <c r="N255" s="53"/>
      <c r="O255" s="73"/>
      <c r="P255" s="54"/>
      <c r="Q255" s="52"/>
      <c r="R255" s="53"/>
      <c r="S255" s="57"/>
      <c r="T255" s="95"/>
      <c r="U255" s="61"/>
      <c r="V255" s="93">
        <v>350</v>
      </c>
      <c r="W255" s="54">
        <v>1</v>
      </c>
      <c r="X255" s="54" t="s">
        <v>320</v>
      </c>
      <c r="Y255" s="73">
        <v>350</v>
      </c>
      <c r="Z255" s="54"/>
      <c r="AA255" s="55"/>
      <c r="AB255" s="56"/>
      <c r="AC255" s="54"/>
      <c r="AD255" s="6">
        <f t="shared" si="13"/>
        <v>1100</v>
      </c>
      <c r="AE255" s="49">
        <v>10</v>
      </c>
      <c r="AF255" s="5" t="s">
        <v>16</v>
      </c>
    </row>
    <row r="256" spans="1:32" ht="15.75" thickBot="1">
      <c r="A256" s="11">
        <v>44080</v>
      </c>
      <c r="B256" s="2">
        <f t="shared" si="10"/>
        <v>10</v>
      </c>
      <c r="C256" s="3">
        <v>6823</v>
      </c>
      <c r="D256" s="4">
        <v>6090</v>
      </c>
      <c r="E256" s="124"/>
      <c r="F256" s="10">
        <f t="shared" si="11"/>
        <v>733</v>
      </c>
      <c r="G256" s="3"/>
      <c r="H256" s="4"/>
      <c r="I256" s="52"/>
      <c r="J256" s="53"/>
      <c r="K256" s="54"/>
      <c r="L256" s="52"/>
      <c r="M256" s="53"/>
      <c r="N256" s="53"/>
      <c r="O256" s="73"/>
      <c r="P256" s="54"/>
      <c r="Q256" s="52"/>
      <c r="R256" s="53"/>
      <c r="S256" s="57"/>
      <c r="T256" s="95"/>
      <c r="U256" s="61"/>
      <c r="V256" s="93">
        <f>400+350</f>
        <v>750</v>
      </c>
      <c r="W256" s="54">
        <v>1</v>
      </c>
      <c r="X256" s="54" t="s">
        <v>351</v>
      </c>
      <c r="Y256" s="73">
        <v>250</v>
      </c>
      <c r="Z256" s="54">
        <v>1</v>
      </c>
      <c r="AA256" s="55" t="s">
        <v>352</v>
      </c>
      <c r="AB256" s="56"/>
      <c r="AC256" s="54"/>
      <c r="AD256" s="6">
        <f>B256+F256-L256-G256-I256-AC256-AE256</f>
        <v>633</v>
      </c>
      <c r="AE256" s="49">
        <v>110</v>
      </c>
      <c r="AF256" s="5" t="s">
        <v>15</v>
      </c>
    </row>
    <row r="257" spans="1:32" ht="15.75" thickBot="1">
      <c r="A257" s="11">
        <v>44081</v>
      </c>
      <c r="B257" s="2">
        <f t="shared" si="10"/>
        <v>110</v>
      </c>
      <c r="C257" s="3">
        <v>13710</v>
      </c>
      <c r="D257" s="4">
        <v>11134</v>
      </c>
      <c r="E257" s="124"/>
      <c r="F257" s="10">
        <f t="shared" si="11"/>
        <v>2576</v>
      </c>
      <c r="G257" s="3"/>
      <c r="H257" s="4"/>
      <c r="I257" s="52"/>
      <c r="J257" s="53"/>
      <c r="K257" s="54"/>
      <c r="L257" s="64">
        <v>400</v>
      </c>
      <c r="M257" s="53" t="s">
        <v>197</v>
      </c>
      <c r="N257" s="53"/>
      <c r="O257" s="73"/>
      <c r="P257" s="54"/>
      <c r="Q257" s="52"/>
      <c r="R257" s="53"/>
      <c r="S257" s="57"/>
      <c r="T257" s="95"/>
      <c r="U257" s="61"/>
      <c r="V257" s="93">
        <v>300</v>
      </c>
      <c r="W257" s="54">
        <v>1</v>
      </c>
      <c r="X257" s="54" t="s">
        <v>349</v>
      </c>
      <c r="Y257" s="73"/>
      <c r="Z257" s="54"/>
      <c r="AA257" s="55"/>
      <c r="AB257" s="56" t="s">
        <v>287</v>
      </c>
      <c r="AC257" s="54">
        <v>1200</v>
      </c>
      <c r="AD257" s="6">
        <f t="shared" si="13"/>
        <v>350</v>
      </c>
      <c r="AE257" s="49">
        <v>436</v>
      </c>
      <c r="AF257" s="5" t="s">
        <v>91</v>
      </c>
    </row>
    <row r="258" spans="1:32" ht="15.75" thickBot="1">
      <c r="A258" s="11">
        <v>44082</v>
      </c>
      <c r="B258" s="2">
        <f t="shared" si="10"/>
        <v>436</v>
      </c>
      <c r="C258" s="3">
        <v>14680</v>
      </c>
      <c r="D258" s="4">
        <v>10390</v>
      </c>
      <c r="E258" s="124"/>
      <c r="F258" s="10">
        <f t="shared" si="11"/>
        <v>4290</v>
      </c>
      <c r="G258" s="3"/>
      <c r="H258" s="4"/>
      <c r="I258" s="73">
        <f>300+350</f>
        <v>650</v>
      </c>
      <c r="J258" s="53">
        <v>2</v>
      </c>
      <c r="K258" s="54" t="s">
        <v>381</v>
      </c>
      <c r="L258" s="73">
        <v>325</v>
      </c>
      <c r="M258" s="53">
        <v>1</v>
      </c>
      <c r="N258" s="53" t="s">
        <v>121</v>
      </c>
      <c r="O258" s="73">
        <f>6*80</f>
        <v>480</v>
      </c>
      <c r="P258" s="54">
        <v>10</v>
      </c>
      <c r="Q258" s="52"/>
      <c r="R258" s="53"/>
      <c r="S258" s="57"/>
      <c r="T258" s="95"/>
      <c r="U258" s="61"/>
      <c r="V258" s="56"/>
      <c r="W258" s="54"/>
      <c r="X258" s="54"/>
      <c r="Y258" s="73">
        <v>350</v>
      </c>
      <c r="Z258" s="54">
        <v>2</v>
      </c>
      <c r="AA258" s="55" t="s">
        <v>382</v>
      </c>
      <c r="AB258" s="56"/>
      <c r="AC258" s="54"/>
      <c r="AD258" s="6">
        <f>B258+F258-L258-V258-G258-I258-AC258-AE258</f>
        <v>3521</v>
      </c>
      <c r="AE258" s="49">
        <v>230</v>
      </c>
      <c r="AF258" s="5" t="s">
        <v>15</v>
      </c>
    </row>
    <row r="259" spans="1:32" ht="15.75" thickBot="1">
      <c r="A259" s="11">
        <v>44083</v>
      </c>
      <c r="B259" s="2">
        <f t="shared" si="10"/>
        <v>230</v>
      </c>
      <c r="C259" s="3">
        <v>15060</v>
      </c>
      <c r="D259" s="4">
        <v>11060</v>
      </c>
      <c r="E259" s="124"/>
      <c r="F259" s="10">
        <f t="shared" si="11"/>
        <v>4000</v>
      </c>
      <c r="G259" s="3"/>
      <c r="H259" s="4"/>
      <c r="I259" s="52"/>
      <c r="J259" s="53"/>
      <c r="K259" s="54"/>
      <c r="L259" s="73">
        <v>725</v>
      </c>
      <c r="M259" s="53">
        <v>2</v>
      </c>
      <c r="N259" s="53" t="s">
        <v>383</v>
      </c>
      <c r="O259" s="73"/>
      <c r="P259" s="54"/>
      <c r="Q259" s="52"/>
      <c r="R259" s="53"/>
      <c r="S259" s="57"/>
      <c r="T259" s="95">
        <v>640</v>
      </c>
      <c r="U259" s="61">
        <v>8</v>
      </c>
      <c r="V259" s="94">
        <f>350+450+350</f>
        <v>1150</v>
      </c>
      <c r="W259" s="54">
        <v>3</v>
      </c>
      <c r="X259" s="54" t="s">
        <v>384</v>
      </c>
      <c r="Y259" s="73">
        <f>350+350+350</f>
        <v>1050</v>
      </c>
      <c r="Z259" s="54">
        <v>3</v>
      </c>
      <c r="AA259" s="55" t="s">
        <v>385</v>
      </c>
      <c r="AB259" s="56" t="s">
        <v>287</v>
      </c>
      <c r="AC259" s="54">
        <v>1200</v>
      </c>
      <c r="AD259" s="6">
        <f>B259+F259-V259-G259-I259-AC259-AE259</f>
        <v>1700</v>
      </c>
      <c r="AE259" s="49">
        <v>180</v>
      </c>
      <c r="AF259" s="5" t="s">
        <v>91</v>
      </c>
    </row>
    <row r="260" spans="1:32" ht="15.75" thickBot="1">
      <c r="A260" s="11">
        <v>44084</v>
      </c>
      <c r="B260" s="2">
        <f t="shared" si="10"/>
        <v>180</v>
      </c>
      <c r="C260" s="3">
        <v>21710</v>
      </c>
      <c r="D260" s="4">
        <v>12960</v>
      </c>
      <c r="E260" s="124"/>
      <c r="F260" s="10">
        <f t="shared" si="11"/>
        <v>8750</v>
      </c>
      <c r="G260" s="73">
        <f>4*80</f>
        <v>320</v>
      </c>
      <c r="H260" s="4">
        <v>4</v>
      </c>
      <c r="I260" s="73">
        <f>300+250+350</f>
        <v>900</v>
      </c>
      <c r="J260" s="53">
        <v>1</v>
      </c>
      <c r="K260" s="54" t="s">
        <v>386</v>
      </c>
      <c r="L260" s="52"/>
      <c r="M260" s="53"/>
      <c r="N260" s="53"/>
      <c r="O260" s="73">
        <v>400</v>
      </c>
      <c r="P260" s="54">
        <v>5</v>
      </c>
      <c r="Q260" s="52"/>
      <c r="R260" s="53"/>
      <c r="S260" s="57"/>
      <c r="T260" s="95"/>
      <c r="U260" s="61"/>
      <c r="V260" s="94">
        <f>300+250+300</f>
        <v>850</v>
      </c>
      <c r="W260" s="54">
        <v>1</v>
      </c>
      <c r="X260" s="54" t="s">
        <v>387</v>
      </c>
      <c r="Y260" s="73">
        <v>250</v>
      </c>
      <c r="Z260" s="54">
        <v>1</v>
      </c>
      <c r="AA260" s="55" t="s">
        <v>382</v>
      </c>
      <c r="AB260" s="56" t="s">
        <v>388</v>
      </c>
      <c r="AC260" s="54">
        <v>1630</v>
      </c>
      <c r="AD260" s="6">
        <f>B260+F260-L260-V260-G260-I260-AC260-AE260</f>
        <v>5150</v>
      </c>
      <c r="AE260" s="49">
        <v>80</v>
      </c>
      <c r="AF260" s="5" t="s">
        <v>15</v>
      </c>
    </row>
    <row r="261" spans="1:32" ht="15.75" thickBot="1">
      <c r="A261" s="11">
        <v>44085</v>
      </c>
      <c r="B261" s="2">
        <f t="shared" si="10"/>
        <v>80</v>
      </c>
      <c r="C261" s="3">
        <v>8930</v>
      </c>
      <c r="D261" s="4">
        <v>6510</v>
      </c>
      <c r="E261" s="124"/>
      <c r="F261" s="10">
        <f t="shared" si="11"/>
        <v>2420</v>
      </c>
      <c r="G261" s="3"/>
      <c r="H261" s="4"/>
      <c r="I261" s="52"/>
      <c r="J261" s="53"/>
      <c r="K261" s="54"/>
      <c r="L261" s="73">
        <f>325+325</f>
        <v>650</v>
      </c>
      <c r="M261" s="53">
        <v>1</v>
      </c>
      <c r="N261" s="53" t="s">
        <v>389</v>
      </c>
      <c r="O261" s="52"/>
      <c r="P261" s="54"/>
      <c r="Q261" s="52"/>
      <c r="R261" s="53"/>
      <c r="S261" s="57"/>
      <c r="T261" s="95">
        <v>560</v>
      </c>
      <c r="U261" s="61">
        <v>7</v>
      </c>
      <c r="V261" s="56"/>
      <c r="W261" s="54"/>
      <c r="X261" s="54"/>
      <c r="Y261" s="73"/>
      <c r="Z261" s="54"/>
      <c r="AA261" s="55"/>
      <c r="AB261" s="56"/>
      <c r="AC261" s="54"/>
      <c r="AD261" s="6">
        <f t="shared" si="13"/>
        <v>1530</v>
      </c>
      <c r="AE261" s="49">
        <v>320</v>
      </c>
      <c r="AF261" s="5" t="s">
        <v>15</v>
      </c>
    </row>
    <row r="262" spans="1:32" ht="15.75" thickBot="1">
      <c r="A262" s="11">
        <v>44086</v>
      </c>
      <c r="B262" s="2">
        <f t="shared" si="10"/>
        <v>320</v>
      </c>
      <c r="C262" s="3">
        <v>6620</v>
      </c>
      <c r="D262" s="4">
        <v>3900</v>
      </c>
      <c r="E262" s="124"/>
      <c r="F262" s="10">
        <f t="shared" si="11"/>
        <v>2720</v>
      </c>
      <c r="G262" s="3"/>
      <c r="H262" s="4"/>
      <c r="I262" s="52">
        <v>350</v>
      </c>
      <c r="J262" s="53">
        <v>1</v>
      </c>
      <c r="K262" s="54" t="s">
        <v>391</v>
      </c>
      <c r="L262" s="52"/>
      <c r="M262" s="53"/>
      <c r="N262" s="53"/>
      <c r="O262" s="52"/>
      <c r="P262" s="54"/>
      <c r="Q262" s="52"/>
      <c r="R262" s="53"/>
      <c r="S262" s="57"/>
      <c r="T262" s="95"/>
      <c r="U262" s="61"/>
      <c r="V262" s="56"/>
      <c r="W262" s="54"/>
      <c r="X262" s="54"/>
      <c r="Y262" s="73"/>
      <c r="Z262" s="54"/>
      <c r="AA262" s="55"/>
      <c r="AB262" s="56" t="s">
        <v>287</v>
      </c>
      <c r="AC262" s="54">
        <v>1000</v>
      </c>
      <c r="AD262" s="6">
        <v>1500</v>
      </c>
      <c r="AE262" s="49">
        <v>190</v>
      </c>
      <c r="AF262" s="5" t="s">
        <v>16</v>
      </c>
    </row>
    <row r="263" spans="1:32" ht="15.75" thickBot="1">
      <c r="A263" s="11">
        <v>44087</v>
      </c>
      <c r="B263" s="2">
        <f t="shared" si="10"/>
        <v>190</v>
      </c>
      <c r="C263" s="3">
        <v>6490</v>
      </c>
      <c r="D263" s="4">
        <v>5510</v>
      </c>
      <c r="E263" s="124"/>
      <c r="F263" s="10">
        <f t="shared" si="11"/>
        <v>980</v>
      </c>
      <c r="G263" s="3"/>
      <c r="H263" s="4"/>
      <c r="I263" s="52"/>
      <c r="J263" s="53"/>
      <c r="K263" s="54"/>
      <c r="L263" s="64">
        <v>400</v>
      </c>
      <c r="M263" s="53">
        <v>1</v>
      </c>
      <c r="N263" s="53" t="s">
        <v>67</v>
      </c>
      <c r="O263" s="73">
        <f>300+240</f>
        <v>540</v>
      </c>
      <c r="P263" s="54">
        <v>3</v>
      </c>
      <c r="Q263" s="52"/>
      <c r="R263" s="53"/>
      <c r="S263" s="57"/>
      <c r="T263" s="95"/>
      <c r="U263" s="61"/>
      <c r="V263" s="93">
        <v>400</v>
      </c>
      <c r="W263" s="54">
        <v>1</v>
      </c>
      <c r="X263" s="54" t="s">
        <v>393</v>
      </c>
      <c r="Y263" s="73"/>
      <c r="Z263" s="54"/>
      <c r="AA263" s="55"/>
      <c r="AB263" s="56" t="s">
        <v>392</v>
      </c>
      <c r="AC263" s="54">
        <v>290</v>
      </c>
      <c r="AD263" s="6"/>
      <c r="AE263" s="49">
        <v>80</v>
      </c>
      <c r="AF263" s="5" t="s">
        <v>91</v>
      </c>
    </row>
    <row r="264" spans="1:32" ht="15.75" thickBot="1">
      <c r="A264" s="11">
        <v>44088</v>
      </c>
      <c r="B264" s="2">
        <f t="shared" ref="B264:B327" si="14">AE263</f>
        <v>80</v>
      </c>
      <c r="C264" s="3">
        <v>28340</v>
      </c>
      <c r="D264" s="4">
        <v>18060</v>
      </c>
      <c r="E264" s="124"/>
      <c r="F264" s="10">
        <f t="shared" ref="F264:F327" si="15">C264-D264</f>
        <v>10280</v>
      </c>
      <c r="G264" s="3"/>
      <c r="H264" s="4"/>
      <c r="I264" s="52"/>
      <c r="J264" s="53"/>
      <c r="K264" s="54"/>
      <c r="L264" s="52"/>
      <c r="M264" s="53"/>
      <c r="N264" s="53"/>
      <c r="O264" s="73">
        <f>320+300</f>
        <v>620</v>
      </c>
      <c r="P264" s="54">
        <f>3+1</f>
        <v>4</v>
      </c>
      <c r="Q264" s="52"/>
      <c r="R264" s="53"/>
      <c r="S264" s="57"/>
      <c r="T264" s="95">
        <v>640</v>
      </c>
      <c r="U264" s="61">
        <v>8</v>
      </c>
      <c r="V264" s="94">
        <f>300+300</f>
        <v>600</v>
      </c>
      <c r="W264" s="54">
        <v>2</v>
      </c>
      <c r="X264" s="54" t="s">
        <v>394</v>
      </c>
      <c r="Y264" s="73">
        <f>350+350</f>
        <v>700</v>
      </c>
      <c r="Z264" s="54">
        <v>2</v>
      </c>
      <c r="AA264" s="55" t="s">
        <v>395</v>
      </c>
      <c r="AB264" s="56" t="s">
        <v>287</v>
      </c>
      <c r="AC264" s="54">
        <v>1300</v>
      </c>
      <c r="AD264" s="6">
        <f t="shared" si="13"/>
        <v>8400</v>
      </c>
      <c r="AE264" s="49">
        <v>60</v>
      </c>
      <c r="AF264" s="5" t="s">
        <v>91</v>
      </c>
    </row>
    <row r="265" spans="1:32" ht="15.75" thickBot="1">
      <c r="A265" s="11">
        <v>44089</v>
      </c>
      <c r="B265" s="2">
        <f t="shared" si="14"/>
        <v>60</v>
      </c>
      <c r="C265" s="3">
        <v>25065</v>
      </c>
      <c r="D265" s="4">
        <v>19280</v>
      </c>
      <c r="E265" s="124"/>
      <c r="F265" s="10">
        <f t="shared" si="15"/>
        <v>5785</v>
      </c>
      <c r="G265" s="73">
        <f>80*H265</f>
        <v>560</v>
      </c>
      <c r="H265" s="4">
        <v>7</v>
      </c>
      <c r="I265" s="73">
        <v>300</v>
      </c>
      <c r="J265" s="53">
        <v>1</v>
      </c>
      <c r="K265" s="54" t="s">
        <v>117</v>
      </c>
      <c r="L265" s="73">
        <v>325</v>
      </c>
      <c r="M265" s="53">
        <v>1</v>
      </c>
      <c r="N265" s="53" t="s">
        <v>396</v>
      </c>
      <c r="O265" s="73">
        <f>80*P265</f>
        <v>480</v>
      </c>
      <c r="P265" s="54">
        <v>6</v>
      </c>
      <c r="Q265" s="73">
        <f>3*80</f>
        <v>240</v>
      </c>
      <c r="R265" s="108">
        <v>3</v>
      </c>
      <c r="S265" s="57"/>
      <c r="T265" s="95"/>
      <c r="U265" s="61"/>
      <c r="V265" s="94">
        <v>350</v>
      </c>
      <c r="W265" s="54">
        <v>1</v>
      </c>
      <c r="X265" s="54" t="s">
        <v>320</v>
      </c>
      <c r="Y265" s="73">
        <v>250</v>
      </c>
      <c r="Z265" s="54">
        <v>1</v>
      </c>
      <c r="AA265" s="55" t="s">
        <v>382</v>
      </c>
      <c r="AB265" s="56"/>
      <c r="AC265" s="54"/>
      <c r="AD265" s="6">
        <f>B265+F265-L265-V265-G265-Q265-AC265-AE265</f>
        <v>4300</v>
      </c>
      <c r="AE265" s="49">
        <v>70</v>
      </c>
      <c r="AF265" s="5" t="s">
        <v>15</v>
      </c>
    </row>
    <row r="266" spans="1:32" ht="15.75" thickBot="1">
      <c r="A266" s="11">
        <v>44090</v>
      </c>
      <c r="B266" s="2">
        <f t="shared" si="14"/>
        <v>70</v>
      </c>
      <c r="C266" s="3">
        <v>8280</v>
      </c>
      <c r="D266" s="4">
        <v>6990</v>
      </c>
      <c r="E266" s="124"/>
      <c r="F266" s="10">
        <f t="shared" si="15"/>
        <v>1290</v>
      </c>
      <c r="G266" s="3"/>
      <c r="H266" s="4"/>
      <c r="I266" s="73">
        <v>300</v>
      </c>
      <c r="J266" s="53">
        <v>1</v>
      </c>
      <c r="K266" s="54" t="s">
        <v>399</v>
      </c>
      <c r="L266" s="73">
        <v>325</v>
      </c>
      <c r="M266" s="53">
        <v>1</v>
      </c>
      <c r="N266" s="53" t="s">
        <v>121</v>
      </c>
      <c r="O266" s="73">
        <v>300</v>
      </c>
      <c r="P266" s="54">
        <v>1</v>
      </c>
      <c r="Q266" s="52"/>
      <c r="R266" s="53"/>
      <c r="S266" s="57"/>
      <c r="T266" s="95">
        <v>640</v>
      </c>
      <c r="U266" s="61">
        <v>8</v>
      </c>
      <c r="V266" s="94">
        <v>400</v>
      </c>
      <c r="W266" s="54">
        <v>1</v>
      </c>
      <c r="X266" s="54" t="s">
        <v>121</v>
      </c>
      <c r="Y266" s="73"/>
      <c r="Z266" s="54"/>
      <c r="AA266" s="55"/>
      <c r="AB266" s="56" t="s">
        <v>287</v>
      </c>
      <c r="AC266" s="54">
        <v>1300</v>
      </c>
      <c r="AD266" s="6">
        <f>B266+F266-L266-V266-G266-I266-Q266-AE266</f>
        <v>300</v>
      </c>
      <c r="AE266" s="49">
        <v>35</v>
      </c>
      <c r="AF266" s="5" t="s">
        <v>91</v>
      </c>
    </row>
    <row r="267" spans="1:32" ht="15.75" thickBot="1">
      <c r="A267" s="11">
        <v>44091</v>
      </c>
      <c r="B267" s="2">
        <f t="shared" si="14"/>
        <v>35</v>
      </c>
      <c r="C267" s="3">
        <v>26305</v>
      </c>
      <c r="D267" s="4">
        <v>23990</v>
      </c>
      <c r="E267" s="124"/>
      <c r="F267" s="10">
        <f t="shared" si="15"/>
        <v>2315</v>
      </c>
      <c r="G267" s="73">
        <f>H267*80</f>
        <v>320</v>
      </c>
      <c r="H267" s="4">
        <v>4</v>
      </c>
      <c r="I267" s="73">
        <f>500+300+200</f>
        <v>1000</v>
      </c>
      <c r="J267" s="53">
        <v>1</v>
      </c>
      <c r="K267" s="54" t="s">
        <v>409</v>
      </c>
      <c r="L267" s="52"/>
      <c r="M267" s="53"/>
      <c r="N267" s="53"/>
      <c r="O267" s="73">
        <f>P267*80</f>
        <v>240</v>
      </c>
      <c r="P267" s="54">
        <v>3</v>
      </c>
      <c r="Q267" s="73">
        <f>R267*80</f>
        <v>320</v>
      </c>
      <c r="R267" s="108">
        <v>4</v>
      </c>
      <c r="S267" s="57"/>
      <c r="T267" s="95"/>
      <c r="U267" s="61"/>
      <c r="V267" s="94">
        <f>300+300</f>
        <v>600</v>
      </c>
      <c r="W267" s="54">
        <v>1</v>
      </c>
      <c r="X267" s="54" t="s">
        <v>408</v>
      </c>
      <c r="Y267" s="73"/>
      <c r="Z267" s="54"/>
      <c r="AA267" s="55"/>
      <c r="AB267" s="56"/>
      <c r="AC267" s="54"/>
      <c r="AD267" s="6">
        <f>B267+F267-I267-L267-V267-G267-Q267-AC267-AE267</f>
        <v>100</v>
      </c>
      <c r="AE267" s="49">
        <v>10</v>
      </c>
      <c r="AF267" s="5" t="s">
        <v>15</v>
      </c>
    </row>
    <row r="268" spans="1:32" ht="15.75" thickBot="1">
      <c r="A268" s="11">
        <v>44092</v>
      </c>
      <c r="B268" s="2">
        <f t="shared" si="14"/>
        <v>10</v>
      </c>
      <c r="C268" s="3">
        <f>12830+690</f>
        <v>13520</v>
      </c>
      <c r="D268" s="4">
        <v>10930</v>
      </c>
      <c r="E268" s="124"/>
      <c r="F268" s="10">
        <f t="shared" si="15"/>
        <v>2590</v>
      </c>
      <c r="G268" s="3"/>
      <c r="H268" s="4"/>
      <c r="I268" s="73">
        <v>200</v>
      </c>
      <c r="J268" s="53">
        <v>1</v>
      </c>
      <c r="K268" s="54" t="s">
        <v>411</v>
      </c>
      <c r="L268" s="52"/>
      <c r="M268" s="53"/>
      <c r="N268" s="53"/>
      <c r="O268" s="73">
        <v>300</v>
      </c>
      <c r="P268" s="54">
        <v>1</v>
      </c>
      <c r="Q268" s="52"/>
      <c r="R268" s="53"/>
      <c r="S268" s="57"/>
      <c r="T268" s="95">
        <v>640</v>
      </c>
      <c r="U268" s="61">
        <v>8</v>
      </c>
      <c r="V268" s="94">
        <f>350+350</f>
        <v>700</v>
      </c>
      <c r="W268" s="54">
        <v>1</v>
      </c>
      <c r="X268" s="54" t="s">
        <v>410</v>
      </c>
      <c r="Y268" s="73"/>
      <c r="Z268" s="54"/>
      <c r="AA268" s="55"/>
      <c r="AB268" s="56"/>
      <c r="AC268" s="54"/>
      <c r="AD268" s="6">
        <f t="shared" ref="AD268:AD328" si="16">B268+F268-I268-L268-V268-G268-Q268-AC268-AE268</f>
        <v>1700</v>
      </c>
      <c r="AE268" s="49">
        <v>0</v>
      </c>
      <c r="AF268" s="5" t="s">
        <v>15</v>
      </c>
    </row>
    <row r="269" spans="1:32" ht="15.75" thickBot="1">
      <c r="A269" s="11">
        <v>44093</v>
      </c>
      <c r="B269" s="2">
        <f t="shared" si="14"/>
        <v>0</v>
      </c>
      <c r="C269" s="3">
        <v>3580</v>
      </c>
      <c r="D269" s="4">
        <v>2630</v>
      </c>
      <c r="E269" s="124"/>
      <c r="F269" s="10">
        <f t="shared" si="15"/>
        <v>950</v>
      </c>
      <c r="G269" s="3"/>
      <c r="H269" s="4"/>
      <c r="I269" s="73">
        <v>750</v>
      </c>
      <c r="J269" s="53">
        <v>3</v>
      </c>
      <c r="K269" s="54" t="s">
        <v>412</v>
      </c>
      <c r="L269" s="73">
        <v>325</v>
      </c>
      <c r="M269" s="53">
        <v>1</v>
      </c>
      <c r="N269" s="53" t="s">
        <v>121</v>
      </c>
      <c r="O269" s="73"/>
      <c r="P269" s="54"/>
      <c r="Q269" s="52"/>
      <c r="R269" s="53"/>
      <c r="S269" s="57"/>
      <c r="T269" s="95"/>
      <c r="U269" s="61"/>
      <c r="V269" s="94">
        <v>400</v>
      </c>
      <c r="W269" s="54">
        <v>2</v>
      </c>
      <c r="X269" s="54" t="s">
        <v>393</v>
      </c>
      <c r="Y269" s="73"/>
      <c r="Z269" s="54"/>
      <c r="AA269" s="55"/>
      <c r="AB269" s="56"/>
      <c r="AC269" s="54"/>
      <c r="AD269" s="6">
        <f>B269+F269-I269-L269-V269-G269-Q269-AC269-AE269</f>
        <v>-550</v>
      </c>
      <c r="AE269" s="49">
        <v>25</v>
      </c>
      <c r="AF269" s="5" t="s">
        <v>15</v>
      </c>
    </row>
    <row r="270" spans="1:32" ht="15.75" thickBot="1">
      <c r="A270" s="11">
        <v>44094</v>
      </c>
      <c r="B270" s="2">
        <f t="shared" si="14"/>
        <v>25</v>
      </c>
      <c r="C270" s="3">
        <v>14370</v>
      </c>
      <c r="D270" s="4">
        <v>13120</v>
      </c>
      <c r="E270" s="124"/>
      <c r="F270" s="10">
        <f t="shared" si="15"/>
        <v>1250</v>
      </c>
      <c r="G270" s="3"/>
      <c r="H270" s="4"/>
      <c r="I270" s="73">
        <v>200</v>
      </c>
      <c r="J270" s="53">
        <v>1</v>
      </c>
      <c r="K270" s="54" t="s">
        <v>413</v>
      </c>
      <c r="L270" s="52"/>
      <c r="M270" s="53"/>
      <c r="N270" s="53"/>
      <c r="O270" s="73">
        <v>620</v>
      </c>
      <c r="P270" s="54">
        <f>4+1</f>
        <v>5</v>
      </c>
      <c r="Q270" s="52"/>
      <c r="R270" s="53"/>
      <c r="S270" s="57"/>
      <c r="T270" s="95"/>
      <c r="U270" s="61"/>
      <c r="V270" s="56"/>
      <c r="W270" s="54"/>
      <c r="X270" s="54"/>
      <c r="Y270" s="73"/>
      <c r="Z270" s="54"/>
      <c r="AA270" s="55"/>
      <c r="AB270" s="56"/>
      <c r="AC270" s="54"/>
      <c r="AD270" s="6">
        <f t="shared" si="16"/>
        <v>1050</v>
      </c>
      <c r="AE270" s="49">
        <v>25</v>
      </c>
      <c r="AF270" s="5" t="s">
        <v>15</v>
      </c>
    </row>
    <row r="271" spans="1:32" ht="15.75" thickBot="1">
      <c r="A271" s="11">
        <v>44095</v>
      </c>
      <c r="B271" s="2">
        <f t="shared" si="14"/>
        <v>25</v>
      </c>
      <c r="C271" s="3">
        <v>15200</v>
      </c>
      <c r="D271" s="4">
        <v>6460</v>
      </c>
      <c r="E271" s="124"/>
      <c r="F271" s="10">
        <f t="shared" si="15"/>
        <v>8740</v>
      </c>
      <c r="G271" s="3"/>
      <c r="H271" s="4"/>
      <c r="I271" s="73">
        <f>450+250</f>
        <v>700</v>
      </c>
      <c r="J271" s="53">
        <v>1</v>
      </c>
      <c r="K271" s="54" t="s">
        <v>414</v>
      </c>
      <c r="L271" s="52"/>
      <c r="M271" s="53"/>
      <c r="N271" s="53"/>
      <c r="O271" s="73"/>
      <c r="P271" s="54"/>
      <c r="Q271" s="52"/>
      <c r="R271" s="53"/>
      <c r="S271" s="57"/>
      <c r="T271" s="95">
        <f>11*80</f>
        <v>880</v>
      </c>
      <c r="U271" s="61">
        <v>11</v>
      </c>
      <c r="V271" s="94">
        <f>300+300+300+300</f>
        <v>1200</v>
      </c>
      <c r="W271" s="54">
        <v>1</v>
      </c>
      <c r="X271" s="54" t="s">
        <v>415</v>
      </c>
      <c r="Y271" s="73"/>
      <c r="Z271" s="54"/>
      <c r="AA271" s="55"/>
      <c r="AB271" s="56"/>
      <c r="AC271" s="54"/>
      <c r="AD271" s="6">
        <f>B271+F271-I271-L271-V271-G271-Q271-AC271-AE271</f>
        <v>6750</v>
      </c>
      <c r="AE271" s="49">
        <v>115</v>
      </c>
      <c r="AF271" s="5" t="s">
        <v>15</v>
      </c>
    </row>
    <row r="272" spans="1:32" ht="15.75" thickBot="1">
      <c r="A272" s="11">
        <v>44096</v>
      </c>
      <c r="B272" s="2">
        <f t="shared" si="14"/>
        <v>115</v>
      </c>
      <c r="C272" s="3">
        <v>8750</v>
      </c>
      <c r="D272" s="4">
        <v>7120</v>
      </c>
      <c r="E272" s="124"/>
      <c r="F272" s="10">
        <f t="shared" si="15"/>
        <v>1630</v>
      </c>
      <c r="G272" s="3"/>
      <c r="H272" s="4"/>
      <c r="I272" s="52"/>
      <c r="J272" s="53"/>
      <c r="K272" s="54"/>
      <c r="L272" s="52"/>
      <c r="M272" s="53"/>
      <c r="N272" s="53"/>
      <c r="O272" s="73">
        <f>P272*80+300</f>
        <v>860</v>
      </c>
      <c r="P272" s="54">
        <v>7</v>
      </c>
      <c r="Q272" s="73">
        <v>240</v>
      </c>
      <c r="R272" s="53">
        <v>3</v>
      </c>
      <c r="S272" s="57"/>
      <c r="T272" s="95"/>
      <c r="U272" s="61"/>
      <c r="V272" s="56"/>
      <c r="W272" s="54"/>
      <c r="X272" s="54"/>
      <c r="Y272" s="73"/>
      <c r="Z272" s="54"/>
      <c r="AA272" s="55"/>
      <c r="AB272" s="56"/>
      <c r="AC272" s="54"/>
      <c r="AD272" s="6">
        <f>B272+F272-I272-L272-V272-G272-Q272-AC272-AE272</f>
        <v>1400</v>
      </c>
      <c r="AE272" s="49">
        <v>105</v>
      </c>
      <c r="AF272" s="5" t="s">
        <v>15</v>
      </c>
    </row>
    <row r="273" spans="1:32" ht="15.75" thickBot="1">
      <c r="A273" s="11">
        <v>44097</v>
      </c>
      <c r="B273" s="2">
        <f t="shared" si="14"/>
        <v>105</v>
      </c>
      <c r="C273" s="3">
        <f>14970+400+300</f>
        <v>15670</v>
      </c>
      <c r="D273" s="4">
        <v>8830</v>
      </c>
      <c r="E273" s="124"/>
      <c r="F273" s="10">
        <f t="shared" si="15"/>
        <v>6840</v>
      </c>
      <c r="G273" s="3"/>
      <c r="H273" s="4"/>
      <c r="I273" s="73">
        <f>700+300+300</f>
        <v>1300</v>
      </c>
      <c r="J273" s="53">
        <v>2</v>
      </c>
      <c r="K273" s="54" t="s">
        <v>416</v>
      </c>
      <c r="L273" s="73">
        <v>400</v>
      </c>
      <c r="M273" s="53">
        <v>1</v>
      </c>
      <c r="N273" s="53" t="s">
        <v>197</v>
      </c>
      <c r="O273" s="52"/>
      <c r="P273" s="54"/>
      <c r="Q273" s="52"/>
      <c r="R273" s="53"/>
      <c r="S273" s="57"/>
      <c r="T273" s="95">
        <v>880</v>
      </c>
      <c r="U273" s="61">
        <v>11</v>
      </c>
      <c r="V273" s="94">
        <f>350+350</f>
        <v>700</v>
      </c>
      <c r="W273" s="54">
        <v>1</v>
      </c>
      <c r="X273" s="54" t="s">
        <v>410</v>
      </c>
      <c r="Y273" s="73"/>
      <c r="Z273" s="54"/>
      <c r="AA273" s="55"/>
      <c r="AB273" s="56"/>
      <c r="AC273" s="54"/>
      <c r="AD273" s="6">
        <f>B273+F273-300-L273-G273-Q273-AC273-AE273</f>
        <v>6150</v>
      </c>
      <c r="AE273" s="49">
        <v>95</v>
      </c>
      <c r="AF273" s="5" t="s">
        <v>15</v>
      </c>
    </row>
    <row r="274" spans="1:32" ht="15.75" thickBot="1">
      <c r="A274" s="11">
        <v>44098</v>
      </c>
      <c r="B274" s="2">
        <f t="shared" si="14"/>
        <v>95</v>
      </c>
      <c r="C274" s="3">
        <v>16990</v>
      </c>
      <c r="D274" s="4">
        <v>12850</v>
      </c>
      <c r="E274" s="124"/>
      <c r="F274" s="10">
        <f t="shared" si="15"/>
        <v>4140</v>
      </c>
      <c r="G274" s="3"/>
      <c r="H274" s="4"/>
      <c r="I274" s="73">
        <v>1275</v>
      </c>
      <c r="J274" s="53">
        <v>4</v>
      </c>
      <c r="K274" s="54" t="s">
        <v>417</v>
      </c>
      <c r="L274" s="73">
        <v>325</v>
      </c>
      <c r="M274" s="53">
        <v>1</v>
      </c>
      <c r="N274" s="53" t="s">
        <v>121</v>
      </c>
      <c r="O274" s="52"/>
      <c r="P274" s="54"/>
      <c r="Q274" s="73">
        <v>240</v>
      </c>
      <c r="R274" s="53">
        <v>3</v>
      </c>
      <c r="S274" s="57"/>
      <c r="T274" s="95"/>
      <c r="U274" s="61"/>
      <c r="V274" s="56"/>
      <c r="W274" s="54"/>
      <c r="X274" s="54"/>
      <c r="Y274" s="73"/>
      <c r="Z274" s="54"/>
      <c r="AA274" s="55"/>
      <c r="AB274" s="56"/>
      <c r="AC274" s="54"/>
      <c r="AD274" s="6">
        <v>2650</v>
      </c>
      <c r="AE274" s="49">
        <v>115</v>
      </c>
      <c r="AF274" s="5" t="s">
        <v>15</v>
      </c>
    </row>
    <row r="275" spans="1:32" ht="15.75" thickBot="1">
      <c r="A275" s="11">
        <v>44099</v>
      </c>
      <c r="B275" s="2">
        <f t="shared" si="14"/>
        <v>115</v>
      </c>
      <c r="C275" s="3">
        <f>7945-115+1250+300</f>
        <v>9380</v>
      </c>
      <c r="D275" s="4">
        <v>6690</v>
      </c>
      <c r="E275" s="124"/>
      <c r="F275" s="10">
        <f t="shared" si="15"/>
        <v>2690</v>
      </c>
      <c r="G275" s="3"/>
      <c r="H275" s="4"/>
      <c r="I275" s="73">
        <v>300</v>
      </c>
      <c r="J275" s="53">
        <v>1</v>
      </c>
      <c r="K275" s="54" t="s">
        <v>399</v>
      </c>
      <c r="L275" s="52"/>
      <c r="M275" s="53"/>
      <c r="N275" s="53"/>
      <c r="O275" s="52"/>
      <c r="P275" s="54"/>
      <c r="Q275" s="52"/>
      <c r="R275" s="53"/>
      <c r="S275" s="57"/>
      <c r="T275" s="95">
        <f>U275*80</f>
        <v>720</v>
      </c>
      <c r="U275" s="61">
        <v>9</v>
      </c>
      <c r="V275" s="94">
        <f>300+300+350+300</f>
        <v>1250</v>
      </c>
      <c r="W275" s="54">
        <v>1</v>
      </c>
      <c r="X275" s="54" t="s">
        <v>418</v>
      </c>
      <c r="Y275" s="73"/>
      <c r="Z275" s="54"/>
      <c r="AA275" s="55"/>
      <c r="AB275" s="56"/>
      <c r="AC275" s="54"/>
      <c r="AD275" s="6">
        <f>B275+F275-I275-L275-V275-G275-Q275-AC275-AE275</f>
        <v>1150</v>
      </c>
      <c r="AE275" s="49">
        <v>105</v>
      </c>
      <c r="AF275" s="5" t="s">
        <v>15</v>
      </c>
    </row>
    <row r="276" spans="1:32" ht="15.75" thickBot="1">
      <c r="A276" s="11">
        <v>44100</v>
      </c>
      <c r="B276" s="2">
        <f t="shared" si="14"/>
        <v>105</v>
      </c>
      <c r="C276" s="3">
        <v>3560</v>
      </c>
      <c r="D276" s="4">
        <v>2670</v>
      </c>
      <c r="E276" s="124"/>
      <c r="F276" s="10">
        <f t="shared" si="15"/>
        <v>890</v>
      </c>
      <c r="G276" s="3"/>
      <c r="H276" s="4"/>
      <c r="I276" s="73">
        <v>300</v>
      </c>
      <c r="J276" s="53">
        <v>1</v>
      </c>
      <c r="K276" s="54" t="s">
        <v>347</v>
      </c>
      <c r="L276" s="52"/>
      <c r="M276" s="53"/>
      <c r="N276" s="53"/>
      <c r="O276" s="52"/>
      <c r="P276" s="54"/>
      <c r="Q276" s="52"/>
      <c r="R276" s="53"/>
      <c r="S276" s="57"/>
      <c r="T276" s="95"/>
      <c r="U276" s="61"/>
      <c r="V276" s="56"/>
      <c r="W276" s="54"/>
      <c r="X276" s="54"/>
      <c r="Y276" s="73"/>
      <c r="Z276" s="54"/>
      <c r="AA276" s="55"/>
      <c r="AB276" s="56"/>
      <c r="AC276" s="54"/>
      <c r="AD276" s="6">
        <f t="shared" si="16"/>
        <v>650</v>
      </c>
      <c r="AE276" s="49">
        <v>45</v>
      </c>
      <c r="AF276" s="5" t="s">
        <v>15</v>
      </c>
    </row>
    <row r="277" spans="1:32" ht="15.75" thickBot="1">
      <c r="A277" s="11">
        <v>44101</v>
      </c>
      <c r="B277" s="2">
        <f t="shared" si="14"/>
        <v>45</v>
      </c>
      <c r="C277" s="3">
        <f>15115+725</f>
        <v>15840</v>
      </c>
      <c r="D277" s="4">
        <v>14920</v>
      </c>
      <c r="E277" s="124"/>
      <c r="F277" s="10">
        <f t="shared" si="15"/>
        <v>920</v>
      </c>
      <c r="G277" s="3"/>
      <c r="H277" s="4"/>
      <c r="I277" s="73">
        <v>400</v>
      </c>
      <c r="J277" s="53">
        <v>1</v>
      </c>
      <c r="K277" s="54" t="s">
        <v>420</v>
      </c>
      <c r="L277" s="52">
        <f>400+325</f>
        <v>725</v>
      </c>
      <c r="M277" s="53">
        <v>1</v>
      </c>
      <c r="N277" s="53" t="s">
        <v>343</v>
      </c>
      <c r="O277" s="52"/>
      <c r="P277" s="54"/>
      <c r="Q277" s="52"/>
      <c r="R277" s="53"/>
      <c r="S277" s="57"/>
      <c r="T277" s="95"/>
      <c r="U277" s="61"/>
      <c r="V277" s="94">
        <v>350</v>
      </c>
      <c r="W277" s="54">
        <v>1</v>
      </c>
      <c r="X277" s="54" t="s">
        <v>320</v>
      </c>
      <c r="Y277" s="73"/>
      <c r="Z277" s="54"/>
      <c r="AA277" s="55"/>
      <c r="AB277" s="56"/>
      <c r="AC277" s="54"/>
      <c r="AD277" s="6">
        <f>B277+F277-L277-G277-Q277-AC277-AE277</f>
        <v>150</v>
      </c>
      <c r="AE277" s="49">
        <v>90</v>
      </c>
      <c r="AF277" s="5" t="s">
        <v>15</v>
      </c>
    </row>
    <row r="278" spans="1:32" ht="15.75" thickBot="1">
      <c r="A278" s="11">
        <v>44102</v>
      </c>
      <c r="B278" s="2">
        <f t="shared" si="14"/>
        <v>90</v>
      </c>
      <c r="C278" s="3">
        <v>23480</v>
      </c>
      <c r="D278" s="4">
        <v>13320</v>
      </c>
      <c r="E278" s="124"/>
      <c r="F278" s="10">
        <f t="shared" si="15"/>
        <v>10160</v>
      </c>
      <c r="G278" s="3"/>
      <c r="H278" s="4"/>
      <c r="I278" s="73">
        <f>350+450+250+300</f>
        <v>1350</v>
      </c>
      <c r="J278" s="53">
        <v>1</v>
      </c>
      <c r="K278" s="54" t="s">
        <v>421</v>
      </c>
      <c r="L278" s="52"/>
      <c r="M278" s="53"/>
      <c r="N278" s="53"/>
      <c r="O278" s="52"/>
      <c r="P278" s="54"/>
      <c r="Q278" s="52"/>
      <c r="R278" s="53"/>
      <c r="S278" s="57"/>
      <c r="T278" s="95">
        <f>U278*80</f>
        <v>1120</v>
      </c>
      <c r="U278" s="61">
        <v>14</v>
      </c>
      <c r="V278" s="56"/>
      <c r="W278" s="54"/>
      <c r="X278" s="54"/>
      <c r="Y278" s="73"/>
      <c r="Z278" s="54"/>
      <c r="AA278" s="55"/>
      <c r="AB278" s="56"/>
      <c r="AC278" s="54"/>
      <c r="AD278" s="6">
        <f t="shared" si="16"/>
        <v>8700</v>
      </c>
      <c r="AE278" s="49">
        <v>200</v>
      </c>
      <c r="AF278" s="5" t="s">
        <v>15</v>
      </c>
    </row>
    <row r="279" spans="1:32" ht="15.75" thickBot="1">
      <c r="A279" s="11">
        <v>44103</v>
      </c>
      <c r="B279" s="2">
        <f t="shared" si="14"/>
        <v>200</v>
      </c>
      <c r="C279" s="3">
        <v>7280</v>
      </c>
      <c r="D279" s="4">
        <v>5050</v>
      </c>
      <c r="E279" s="124"/>
      <c r="F279" s="10">
        <v>2230</v>
      </c>
      <c r="G279" s="73">
        <v>240</v>
      </c>
      <c r="H279" s="4">
        <v>3</v>
      </c>
      <c r="I279" s="73">
        <v>925</v>
      </c>
      <c r="J279" s="53">
        <v>3</v>
      </c>
      <c r="K279" s="54" t="s">
        <v>422</v>
      </c>
      <c r="L279" s="73">
        <v>300</v>
      </c>
      <c r="M279" s="53">
        <v>2</v>
      </c>
      <c r="N279" s="53"/>
      <c r="O279" s="52"/>
      <c r="P279" s="54"/>
      <c r="Q279" s="73">
        <v>320</v>
      </c>
      <c r="R279" s="53">
        <v>4</v>
      </c>
      <c r="S279" s="57"/>
      <c r="T279" s="95"/>
      <c r="U279" s="61"/>
      <c r="V279" s="94">
        <v>950</v>
      </c>
      <c r="W279" s="54">
        <v>3</v>
      </c>
      <c r="X279" s="54" t="s">
        <v>423</v>
      </c>
      <c r="Y279" s="73"/>
      <c r="Z279" s="54"/>
      <c r="AA279" s="55"/>
      <c r="AB279" s="56"/>
      <c r="AC279" s="54"/>
      <c r="AD279" s="6">
        <f t="shared" si="16"/>
        <v>-475</v>
      </c>
      <c r="AE279" s="49">
        <v>170</v>
      </c>
      <c r="AF279" s="5" t="s">
        <v>15</v>
      </c>
    </row>
    <row r="280" spans="1:32" ht="15.75" thickBot="1">
      <c r="A280" s="11">
        <v>44104</v>
      </c>
      <c r="B280" s="2">
        <f t="shared" si="14"/>
        <v>170</v>
      </c>
      <c r="C280" s="3">
        <v>9050</v>
      </c>
      <c r="D280" s="4">
        <v>7540</v>
      </c>
      <c r="E280" s="124"/>
      <c r="F280" s="10">
        <f t="shared" si="15"/>
        <v>1510</v>
      </c>
      <c r="G280" s="3"/>
      <c r="H280" s="4"/>
      <c r="I280" s="96">
        <v>850</v>
      </c>
      <c r="J280" s="53">
        <v>1</v>
      </c>
      <c r="K280" s="54" t="s">
        <v>420</v>
      </c>
      <c r="L280" s="96">
        <v>400</v>
      </c>
      <c r="M280" s="53">
        <v>1</v>
      </c>
      <c r="N280" s="53" t="s">
        <v>197</v>
      </c>
      <c r="O280" s="52"/>
      <c r="P280" s="54"/>
      <c r="Q280" s="52"/>
      <c r="R280" s="53"/>
      <c r="S280" s="57"/>
      <c r="T280" s="95">
        <f>U280*80</f>
        <v>560</v>
      </c>
      <c r="U280" s="61">
        <v>7</v>
      </c>
      <c r="V280" s="56"/>
      <c r="W280" s="54"/>
      <c r="X280" s="54"/>
      <c r="Y280" s="73"/>
      <c r="Z280" s="54"/>
      <c r="AA280" s="55"/>
      <c r="AB280" s="56"/>
      <c r="AC280" s="54"/>
      <c r="AD280" s="6">
        <f>B280+F280-I280-L280-V280-G280-Q280-AC280-AE280</f>
        <v>300</v>
      </c>
      <c r="AE280" s="49">
        <v>130</v>
      </c>
      <c r="AF280" s="5" t="s">
        <v>15</v>
      </c>
    </row>
    <row r="281" spans="1:32" ht="15.75" thickBot="1">
      <c r="A281" s="11">
        <v>44105</v>
      </c>
      <c r="B281" s="2">
        <f t="shared" si="14"/>
        <v>130</v>
      </c>
      <c r="C281" s="3">
        <v>10810</v>
      </c>
      <c r="D281" s="4">
        <v>9920</v>
      </c>
      <c r="E281" s="124"/>
      <c r="F281" s="10">
        <f t="shared" si="15"/>
        <v>890</v>
      </c>
      <c r="G281" s="3"/>
      <c r="H281" s="4"/>
      <c r="I281" s="73">
        <f>300+300+325</f>
        <v>925</v>
      </c>
      <c r="J281" s="53">
        <v>3</v>
      </c>
      <c r="K281" s="54" t="s">
        <v>425</v>
      </c>
      <c r="L281" s="52">
        <v>325</v>
      </c>
      <c r="M281" s="53">
        <v>1</v>
      </c>
      <c r="N281" s="53" t="s">
        <v>121</v>
      </c>
      <c r="O281" s="52"/>
      <c r="P281" s="54"/>
      <c r="Q281" s="52">
        <v>320</v>
      </c>
      <c r="R281" s="53">
        <v>4</v>
      </c>
      <c r="S281" s="57"/>
      <c r="T281" s="60"/>
      <c r="U281" s="61"/>
      <c r="V281" s="94">
        <f>300+350+300+350</f>
        <v>1300</v>
      </c>
      <c r="W281" s="54">
        <v>4</v>
      </c>
      <c r="X281" s="54" t="s">
        <v>426</v>
      </c>
      <c r="Y281" s="52">
        <v>350</v>
      </c>
      <c r="Z281" s="54">
        <v>1</v>
      </c>
      <c r="AA281" s="55" t="s">
        <v>424</v>
      </c>
      <c r="AB281" s="56"/>
      <c r="AC281" s="54"/>
      <c r="AD281" s="6">
        <f>B281+F281-L281-G281-Q281-AC281-AE281</f>
        <v>245</v>
      </c>
      <c r="AE281" s="49">
        <v>130</v>
      </c>
      <c r="AF281" s="5" t="s">
        <v>15</v>
      </c>
    </row>
    <row r="282" spans="1:32" ht="15.75" thickBot="1">
      <c r="A282" s="11">
        <v>44106</v>
      </c>
      <c r="B282" s="2">
        <f t="shared" si="14"/>
        <v>130</v>
      </c>
      <c r="C282" s="3">
        <f>8645-130</f>
        <v>8515</v>
      </c>
      <c r="D282" s="4">
        <v>5220</v>
      </c>
      <c r="E282" s="124"/>
      <c r="F282" s="10">
        <f t="shared" si="15"/>
        <v>3295</v>
      </c>
      <c r="G282" s="3"/>
      <c r="H282" s="4"/>
      <c r="I282" s="73">
        <f>400+300+200</f>
        <v>900</v>
      </c>
      <c r="J282" s="53">
        <v>2</v>
      </c>
      <c r="K282" s="54" t="s">
        <v>430</v>
      </c>
      <c r="L282" s="52"/>
      <c r="M282" s="53"/>
      <c r="N282" s="53"/>
      <c r="O282" s="52"/>
      <c r="P282" s="54"/>
      <c r="Q282" s="52"/>
      <c r="R282" s="53"/>
      <c r="S282" s="57"/>
      <c r="T282" s="60">
        <f>80*U282</f>
        <v>720</v>
      </c>
      <c r="U282" s="61">
        <v>9</v>
      </c>
      <c r="V282" s="56"/>
      <c r="W282" s="54"/>
      <c r="X282" s="54"/>
      <c r="Y282" s="52"/>
      <c r="Z282" s="54"/>
      <c r="AA282" s="55"/>
      <c r="AB282" s="56"/>
      <c r="AC282" s="54"/>
      <c r="AD282" s="6">
        <f>B282+F282-I282-I281-L282-V282-V281-G282-Q282-AC282-AE282</f>
        <v>300</v>
      </c>
      <c r="AE282" s="49">
        <v>0</v>
      </c>
      <c r="AF282" s="5" t="s">
        <v>15</v>
      </c>
    </row>
    <row r="283" spans="1:32" ht="15.75" thickBot="1">
      <c r="A283" s="11">
        <v>44107</v>
      </c>
      <c r="B283" s="2">
        <f t="shared" si="14"/>
        <v>0</v>
      </c>
      <c r="C283" s="3">
        <v>14060</v>
      </c>
      <c r="D283" s="4">
        <v>13130</v>
      </c>
      <c r="E283" s="124"/>
      <c r="F283" s="10">
        <v>930</v>
      </c>
      <c r="G283" s="3"/>
      <c r="H283" s="4"/>
      <c r="I283" s="73">
        <v>700</v>
      </c>
      <c r="J283" s="53">
        <v>2</v>
      </c>
      <c r="K283" s="54" t="s">
        <v>432</v>
      </c>
      <c r="L283" s="73">
        <v>350</v>
      </c>
      <c r="M283" s="53">
        <v>1</v>
      </c>
      <c r="N283" s="53" t="s">
        <v>197</v>
      </c>
      <c r="O283" s="52"/>
      <c r="P283" s="54"/>
      <c r="Q283" s="52"/>
      <c r="R283" s="53"/>
      <c r="S283" s="57"/>
      <c r="T283" s="60"/>
      <c r="U283" s="61"/>
      <c r="V283" s="94">
        <v>1350</v>
      </c>
      <c r="W283" s="54">
        <v>4</v>
      </c>
      <c r="X283" s="54" t="s">
        <v>431</v>
      </c>
      <c r="Y283" s="52"/>
      <c r="Z283" s="54"/>
      <c r="AA283" s="55"/>
      <c r="AB283" s="56"/>
      <c r="AC283" s="54"/>
      <c r="AD283" s="6">
        <f>B283+F283-I283-L283-G283-Q283-AC283-AE283</f>
        <v>-200</v>
      </c>
      <c r="AE283" s="49">
        <v>80</v>
      </c>
      <c r="AF283" s="5" t="s">
        <v>15</v>
      </c>
    </row>
    <row r="284" spans="1:32" ht="15.75" thickBot="1">
      <c r="A284" s="11">
        <v>44108</v>
      </c>
      <c r="B284" s="2">
        <f t="shared" si="14"/>
        <v>80</v>
      </c>
      <c r="C284" s="3">
        <v>5880</v>
      </c>
      <c r="D284" s="4">
        <v>4630</v>
      </c>
      <c r="E284" s="124"/>
      <c r="F284" s="10">
        <f t="shared" si="15"/>
        <v>1250</v>
      </c>
      <c r="G284" s="3"/>
      <c r="H284" s="4"/>
      <c r="I284" s="73">
        <f>300+200</f>
        <v>500</v>
      </c>
      <c r="J284" s="53">
        <v>2</v>
      </c>
      <c r="K284" s="54" t="s">
        <v>433</v>
      </c>
      <c r="L284" s="52"/>
      <c r="M284" s="53"/>
      <c r="N284" s="53"/>
      <c r="O284" s="73">
        <v>240</v>
      </c>
      <c r="P284" s="54">
        <v>3</v>
      </c>
      <c r="Q284" s="52"/>
      <c r="R284" s="53"/>
      <c r="S284" s="57"/>
      <c r="T284" s="60"/>
      <c r="U284" s="61"/>
      <c r="V284" s="56"/>
      <c r="W284" s="54"/>
      <c r="X284" s="54"/>
      <c r="Y284" s="52">
        <v>350</v>
      </c>
      <c r="Z284" s="54">
        <v>1</v>
      </c>
      <c r="AA284" s="55" t="s">
        <v>424</v>
      </c>
      <c r="AB284" s="56"/>
      <c r="AC284" s="54"/>
      <c r="AD284" s="6">
        <f>B284+F284-I284-L284-G284-Q284-AC284-AE284</f>
        <v>750</v>
      </c>
      <c r="AE284" s="49">
        <v>80</v>
      </c>
      <c r="AF284" s="5" t="s">
        <v>15</v>
      </c>
    </row>
    <row r="285" spans="1:32" ht="15.75" thickBot="1">
      <c r="A285" s="11">
        <v>44109</v>
      </c>
      <c r="B285" s="2">
        <f t="shared" si="14"/>
        <v>80</v>
      </c>
      <c r="C285" s="3">
        <v>9390</v>
      </c>
      <c r="D285" s="4">
        <v>6560</v>
      </c>
      <c r="E285" s="124"/>
      <c r="F285" s="10">
        <f t="shared" si="15"/>
        <v>2830</v>
      </c>
      <c r="G285" s="3"/>
      <c r="H285" s="4"/>
      <c r="I285" s="73">
        <f>400+450+200+200</f>
        <v>1250</v>
      </c>
      <c r="J285" s="53">
        <v>3</v>
      </c>
      <c r="K285" s="54" t="s">
        <v>436</v>
      </c>
      <c r="L285" s="52"/>
      <c r="M285" s="53"/>
      <c r="N285" s="53"/>
      <c r="O285" s="52"/>
      <c r="P285" s="54"/>
      <c r="Q285" s="52"/>
      <c r="R285" s="53"/>
      <c r="S285" s="57"/>
      <c r="T285" s="60">
        <f>U285*80</f>
        <v>960</v>
      </c>
      <c r="U285" s="61">
        <f>8+4</f>
        <v>12</v>
      </c>
      <c r="V285" s="94">
        <f>300+300+350</f>
        <v>950</v>
      </c>
      <c r="W285" s="54">
        <v>1</v>
      </c>
      <c r="X285" s="54" t="s">
        <v>435</v>
      </c>
      <c r="Y285" s="52">
        <v>300</v>
      </c>
      <c r="Z285" s="54">
        <v>1</v>
      </c>
      <c r="AA285" s="55" t="s">
        <v>434</v>
      </c>
      <c r="AB285" s="56"/>
      <c r="AC285" s="54"/>
      <c r="AD285" s="6">
        <f t="shared" si="16"/>
        <v>550</v>
      </c>
      <c r="AE285" s="49">
        <v>160</v>
      </c>
      <c r="AF285" s="5" t="s">
        <v>15</v>
      </c>
    </row>
    <row r="286" spans="1:32" ht="15.75" thickBot="1">
      <c r="A286" s="11">
        <v>44110</v>
      </c>
      <c r="B286" s="2">
        <f t="shared" si="14"/>
        <v>160</v>
      </c>
      <c r="C286" s="3">
        <f>12450-160</f>
        <v>12290</v>
      </c>
      <c r="D286" s="4">
        <v>10630</v>
      </c>
      <c r="E286" s="124"/>
      <c r="F286" s="10">
        <f t="shared" si="15"/>
        <v>1660</v>
      </c>
      <c r="G286" s="3">
        <v>480</v>
      </c>
      <c r="H286" s="4">
        <v>6</v>
      </c>
      <c r="I286" s="73">
        <f>300+300+300</f>
        <v>900</v>
      </c>
      <c r="J286" s="53">
        <v>3</v>
      </c>
      <c r="K286" s="54" t="s">
        <v>437</v>
      </c>
      <c r="L286" s="52"/>
      <c r="M286" s="53"/>
      <c r="N286" s="53"/>
      <c r="O286" s="73">
        <v>400</v>
      </c>
      <c r="P286" s="54">
        <v>5</v>
      </c>
      <c r="Q286" s="73">
        <v>480</v>
      </c>
      <c r="R286" s="53">
        <v>6</v>
      </c>
      <c r="S286" s="57"/>
      <c r="T286" s="60"/>
      <c r="U286" s="61"/>
      <c r="V286" s="56"/>
      <c r="W286" s="54"/>
      <c r="X286" s="54"/>
      <c r="Y286" s="52"/>
      <c r="Z286" s="54"/>
      <c r="AA286" s="55"/>
      <c r="AB286" s="56"/>
      <c r="AC286" s="54"/>
      <c r="AD286" s="6">
        <f>B286+F286-I286-L286-V286-Q286-AC286-AE286</f>
        <v>200</v>
      </c>
      <c r="AE286" s="49">
        <v>240</v>
      </c>
      <c r="AF286" s="5" t="s">
        <v>15</v>
      </c>
    </row>
    <row r="287" spans="1:32" ht="15.75" thickBot="1">
      <c r="A287" s="11">
        <v>44111</v>
      </c>
      <c r="B287" s="2">
        <f t="shared" si="14"/>
        <v>240</v>
      </c>
      <c r="C287" s="3">
        <v>49780</v>
      </c>
      <c r="D287" s="4">
        <v>41910</v>
      </c>
      <c r="E287" s="124"/>
      <c r="F287" s="10">
        <f t="shared" si="15"/>
        <v>7870</v>
      </c>
      <c r="G287" s="3"/>
      <c r="H287" s="4"/>
      <c r="I287" s="73">
        <f>350+350+250+350+300+400+600</f>
        <v>2600</v>
      </c>
      <c r="J287" s="53">
        <v>2</v>
      </c>
      <c r="K287" s="54" t="s">
        <v>440</v>
      </c>
      <c r="L287" s="73">
        <v>400</v>
      </c>
      <c r="M287" s="53">
        <v>2</v>
      </c>
      <c r="N287" s="53" t="s">
        <v>439</v>
      </c>
      <c r="O287" s="73"/>
      <c r="P287" s="54"/>
      <c r="Q287" s="52"/>
      <c r="R287" s="53"/>
      <c r="S287" s="57"/>
      <c r="T287" s="60">
        <f>U287*80</f>
        <v>960</v>
      </c>
      <c r="U287" s="61">
        <v>12</v>
      </c>
      <c r="V287" s="94">
        <f>350+300+300+450</f>
        <v>1400</v>
      </c>
      <c r="W287" s="54">
        <v>1</v>
      </c>
      <c r="X287" s="54" t="s">
        <v>438</v>
      </c>
      <c r="Y287" s="52"/>
      <c r="Z287" s="54"/>
      <c r="AA287" s="55"/>
      <c r="AB287" s="56"/>
      <c r="AC287" s="54"/>
      <c r="AD287" s="6">
        <f>B287+F287-1500-V287-G287-Q287-AC287-AE287</f>
        <v>5000</v>
      </c>
      <c r="AE287" s="49">
        <v>210</v>
      </c>
      <c r="AF287" s="5" t="s">
        <v>15</v>
      </c>
    </row>
    <row r="288" spans="1:32" ht="15.75" thickBot="1">
      <c r="A288" s="11">
        <v>44112</v>
      </c>
      <c r="B288" s="2">
        <f t="shared" si="14"/>
        <v>210</v>
      </c>
      <c r="C288" s="3">
        <v>10060</v>
      </c>
      <c r="D288" s="4">
        <v>8760</v>
      </c>
      <c r="E288" s="124"/>
      <c r="F288" s="10">
        <f t="shared" si="15"/>
        <v>1300</v>
      </c>
      <c r="G288" s="73">
        <v>320</v>
      </c>
      <c r="H288" s="4">
        <v>4</v>
      </c>
      <c r="I288" s="73">
        <f>300+300+450+300</f>
        <v>1350</v>
      </c>
      <c r="J288" s="53">
        <v>5</v>
      </c>
      <c r="K288" s="54" t="s">
        <v>441</v>
      </c>
      <c r="L288" s="73">
        <v>325</v>
      </c>
      <c r="M288" s="53">
        <v>1</v>
      </c>
      <c r="N288" s="53" t="s">
        <v>121</v>
      </c>
      <c r="O288" s="73"/>
      <c r="P288" s="54"/>
      <c r="Q288" s="73">
        <v>640</v>
      </c>
      <c r="R288" s="53">
        <v>8</v>
      </c>
      <c r="S288" s="57"/>
      <c r="T288" s="60"/>
      <c r="U288" s="61"/>
      <c r="V288" s="56"/>
      <c r="W288" s="54"/>
      <c r="X288" s="54"/>
      <c r="Y288" s="52">
        <f>350+300</f>
        <v>650</v>
      </c>
      <c r="Z288" s="54">
        <v>2</v>
      </c>
      <c r="AA288" s="55" t="s">
        <v>442</v>
      </c>
      <c r="AB288" s="56"/>
      <c r="AC288" s="54"/>
      <c r="AD288" s="6">
        <f t="shared" si="16"/>
        <v>-1140</v>
      </c>
      <c r="AE288" s="49">
        <v>15</v>
      </c>
      <c r="AF288" s="5" t="s">
        <v>15</v>
      </c>
    </row>
    <row r="289" spans="1:32" ht="15.75" thickBot="1">
      <c r="A289" s="11">
        <v>44113</v>
      </c>
      <c r="B289" s="2">
        <f t="shared" si="14"/>
        <v>15</v>
      </c>
      <c r="C289" s="3">
        <v>10575</v>
      </c>
      <c r="D289" s="4">
        <v>6870</v>
      </c>
      <c r="E289" s="124"/>
      <c r="F289" s="10">
        <f t="shared" si="15"/>
        <v>3705</v>
      </c>
      <c r="G289" s="3"/>
      <c r="H289" s="4"/>
      <c r="I289" s="73">
        <f>500+400+200+200</f>
        <v>1300</v>
      </c>
      <c r="J289" s="53">
        <v>6</v>
      </c>
      <c r="K289" s="54" t="s">
        <v>445</v>
      </c>
      <c r="L289" s="73">
        <f>400+250</f>
        <v>650</v>
      </c>
      <c r="M289" s="53">
        <v>3</v>
      </c>
      <c r="N289" s="53"/>
      <c r="O289" s="73"/>
      <c r="P289" s="54"/>
      <c r="Q289" s="52"/>
      <c r="R289" s="53"/>
      <c r="S289" s="57"/>
      <c r="T289" s="95">
        <v>560</v>
      </c>
      <c r="U289" s="61">
        <v>7</v>
      </c>
      <c r="V289" s="94">
        <f>300+300+300+300</f>
        <v>1200</v>
      </c>
      <c r="W289" s="54">
        <v>4</v>
      </c>
      <c r="X289" s="54" t="s">
        <v>444</v>
      </c>
      <c r="Y289" s="52">
        <v>300</v>
      </c>
      <c r="Z289" s="54">
        <v>1</v>
      </c>
      <c r="AA289" s="55" t="s">
        <v>443</v>
      </c>
      <c r="AB289" s="56"/>
      <c r="AC289" s="54"/>
      <c r="AD289" s="6">
        <f>B289+F289-I289-L289-V289-G289-Q289-AC289-AE289</f>
        <v>435</v>
      </c>
      <c r="AE289" s="49">
        <v>135</v>
      </c>
      <c r="AF289" s="5" t="s">
        <v>15</v>
      </c>
    </row>
    <row r="290" spans="1:32" ht="15.75" thickBot="1">
      <c r="A290" s="11">
        <v>44114</v>
      </c>
      <c r="B290" s="2">
        <f t="shared" si="14"/>
        <v>135</v>
      </c>
      <c r="C290" s="3">
        <v>12250</v>
      </c>
      <c r="D290" s="4">
        <v>8400</v>
      </c>
      <c r="E290" s="124"/>
      <c r="F290" s="10">
        <v>4010</v>
      </c>
      <c r="G290" s="3"/>
      <c r="H290" s="4"/>
      <c r="I290" s="73">
        <v>550</v>
      </c>
      <c r="J290" s="53">
        <v>2</v>
      </c>
      <c r="K290" s="54" t="s">
        <v>446</v>
      </c>
      <c r="L290" s="52"/>
      <c r="M290" s="53"/>
      <c r="N290" s="53"/>
      <c r="O290" s="73"/>
      <c r="P290" s="54"/>
      <c r="Q290" s="52"/>
      <c r="R290" s="53"/>
      <c r="S290" s="57"/>
      <c r="T290" s="60"/>
      <c r="U290" s="61"/>
      <c r="V290" s="56"/>
      <c r="W290" s="54"/>
      <c r="X290" s="54"/>
      <c r="Y290" s="52"/>
      <c r="Z290" s="54"/>
      <c r="AA290" s="55"/>
      <c r="AB290" s="56"/>
      <c r="AC290" s="54"/>
      <c r="AD290" s="6">
        <v>3450</v>
      </c>
      <c r="AE290" s="49">
        <v>145</v>
      </c>
      <c r="AF290" s="5" t="s">
        <v>15</v>
      </c>
    </row>
    <row r="291" spans="1:32" ht="15.75" thickBot="1">
      <c r="A291" s="11">
        <v>44115</v>
      </c>
      <c r="B291" s="2">
        <f t="shared" si="14"/>
        <v>145</v>
      </c>
      <c r="C291" s="3">
        <v>9035</v>
      </c>
      <c r="D291" s="4">
        <v>5700</v>
      </c>
      <c r="E291" s="124"/>
      <c r="F291" s="10">
        <f t="shared" si="15"/>
        <v>3335</v>
      </c>
      <c r="G291" s="3"/>
      <c r="H291" s="4"/>
      <c r="I291" s="52"/>
      <c r="J291" s="53"/>
      <c r="K291" s="54"/>
      <c r="L291" s="73">
        <f>500+400+325</f>
        <v>1225</v>
      </c>
      <c r="M291" s="53">
        <v>5</v>
      </c>
      <c r="N291" s="53" t="s">
        <v>447</v>
      </c>
      <c r="O291" s="73">
        <v>320</v>
      </c>
      <c r="P291" s="54">
        <v>4</v>
      </c>
      <c r="Q291" s="52"/>
      <c r="R291" s="53"/>
      <c r="S291" s="57"/>
      <c r="T291" s="60"/>
      <c r="U291" s="61"/>
      <c r="V291" s="56"/>
      <c r="W291" s="54"/>
      <c r="X291" s="54"/>
      <c r="Y291" s="52"/>
      <c r="Z291" s="54"/>
      <c r="AA291" s="55"/>
      <c r="AB291" s="56"/>
      <c r="AC291" s="54"/>
      <c r="AD291" s="6">
        <f t="shared" si="16"/>
        <v>2095</v>
      </c>
      <c r="AE291" s="49">
        <v>160</v>
      </c>
      <c r="AF291" s="5" t="s">
        <v>15</v>
      </c>
    </row>
    <row r="292" spans="1:32" ht="15.75" thickBot="1">
      <c r="A292" s="11">
        <v>44116</v>
      </c>
      <c r="B292" s="2">
        <f t="shared" si="14"/>
        <v>160</v>
      </c>
      <c r="C292" s="3">
        <v>9480</v>
      </c>
      <c r="D292" s="4">
        <v>8110</v>
      </c>
      <c r="E292" s="124"/>
      <c r="F292" s="10">
        <f t="shared" si="15"/>
        <v>1370</v>
      </c>
      <c r="G292" s="3"/>
      <c r="H292" s="4"/>
      <c r="I292" s="73">
        <f>450+250+250+400</f>
        <v>1350</v>
      </c>
      <c r="J292" s="53">
        <v>1</v>
      </c>
      <c r="K292" s="54" t="s">
        <v>450</v>
      </c>
      <c r="L292" s="52"/>
      <c r="M292" s="53"/>
      <c r="N292" s="53"/>
      <c r="O292" s="73"/>
      <c r="P292" s="54"/>
      <c r="Q292" s="52"/>
      <c r="R292" s="53"/>
      <c r="S292" s="57"/>
      <c r="T292" s="60"/>
      <c r="U292" s="61"/>
      <c r="V292" s="94">
        <v>300</v>
      </c>
      <c r="W292" s="54">
        <v>1</v>
      </c>
      <c r="X292" s="54" t="s">
        <v>449</v>
      </c>
      <c r="Y292" s="73">
        <v>300</v>
      </c>
      <c r="Z292" s="54">
        <v>1</v>
      </c>
      <c r="AA292" s="55" t="s">
        <v>434</v>
      </c>
      <c r="AB292" s="56"/>
      <c r="AC292" s="54"/>
      <c r="AD292" s="6">
        <f>B292+F292-1100-L292-V292-G292-Q292-AC292-AE292</f>
        <v>0</v>
      </c>
      <c r="AE292" s="49">
        <v>130</v>
      </c>
      <c r="AF292" s="5" t="s">
        <v>15</v>
      </c>
    </row>
    <row r="293" spans="1:32" ht="15.75" thickBot="1">
      <c r="A293" s="11">
        <v>44117</v>
      </c>
      <c r="B293" s="2">
        <f t="shared" si="14"/>
        <v>130</v>
      </c>
      <c r="C293" s="3">
        <v>18100</v>
      </c>
      <c r="D293" s="4">
        <v>11750</v>
      </c>
      <c r="E293" s="124"/>
      <c r="F293" s="10">
        <f t="shared" si="15"/>
        <v>6350</v>
      </c>
      <c r="G293" s="73">
        <v>320</v>
      </c>
      <c r="H293" s="4">
        <v>4</v>
      </c>
      <c r="I293" s="73">
        <f>300+400+300</f>
        <v>1000</v>
      </c>
      <c r="J293" s="53">
        <v>4</v>
      </c>
      <c r="K293" s="54" t="s">
        <v>451</v>
      </c>
      <c r="L293" s="73">
        <v>400</v>
      </c>
      <c r="M293" s="53">
        <v>2</v>
      </c>
      <c r="N293" s="53" t="s">
        <v>454</v>
      </c>
      <c r="O293" s="73">
        <v>320</v>
      </c>
      <c r="P293" s="54">
        <v>4</v>
      </c>
      <c r="Q293" s="73">
        <v>400</v>
      </c>
      <c r="R293" s="53">
        <v>5</v>
      </c>
      <c r="S293" s="57"/>
      <c r="T293" s="60"/>
      <c r="U293" s="61"/>
      <c r="V293" s="94">
        <f>350+300</f>
        <v>650</v>
      </c>
      <c r="W293" s="54">
        <v>2</v>
      </c>
      <c r="X293" s="54" t="s">
        <v>452</v>
      </c>
      <c r="Y293" s="52">
        <v>325</v>
      </c>
      <c r="Z293" s="54">
        <v>1</v>
      </c>
      <c r="AA293" s="55" t="s">
        <v>453</v>
      </c>
      <c r="AB293" s="56"/>
      <c r="AC293" s="54"/>
      <c r="AD293" s="6">
        <f t="shared" si="16"/>
        <v>3630</v>
      </c>
      <c r="AE293" s="49">
        <v>80</v>
      </c>
      <c r="AF293" s="5" t="s">
        <v>15</v>
      </c>
    </row>
    <row r="294" spans="1:32" ht="15.75" thickBot="1">
      <c r="A294" s="11">
        <v>44118</v>
      </c>
      <c r="B294" s="2">
        <f t="shared" si="14"/>
        <v>80</v>
      </c>
      <c r="C294" s="3">
        <v>14790</v>
      </c>
      <c r="D294" s="4">
        <v>10300</v>
      </c>
      <c r="E294" s="124"/>
      <c r="F294" s="10">
        <f t="shared" si="15"/>
        <v>4490</v>
      </c>
      <c r="G294" s="3"/>
      <c r="H294" s="4"/>
      <c r="I294" s="52">
        <v>1050</v>
      </c>
      <c r="J294" s="53">
        <v>5</v>
      </c>
      <c r="K294" s="54" t="s">
        <v>455</v>
      </c>
      <c r="L294" s="52">
        <v>850</v>
      </c>
      <c r="M294" s="53">
        <v>2</v>
      </c>
      <c r="N294" s="53" t="s">
        <v>456</v>
      </c>
      <c r="O294" s="73"/>
      <c r="P294" s="54"/>
      <c r="Q294" s="52"/>
      <c r="R294" s="53"/>
      <c r="S294" s="57"/>
      <c r="T294" s="60">
        <v>480</v>
      </c>
      <c r="U294" s="61">
        <v>6</v>
      </c>
      <c r="V294" s="56"/>
      <c r="W294" s="54"/>
      <c r="X294" s="54"/>
      <c r="Y294" s="52">
        <v>350</v>
      </c>
      <c r="Z294" s="54">
        <v>1</v>
      </c>
      <c r="AA294" s="55" t="s">
        <v>424</v>
      </c>
      <c r="AB294" s="56"/>
      <c r="AC294" s="54"/>
      <c r="AD294" s="6">
        <f t="shared" si="16"/>
        <v>2590</v>
      </c>
      <c r="AE294" s="49">
        <v>80</v>
      </c>
      <c r="AF294" s="5" t="s">
        <v>15</v>
      </c>
    </row>
    <row r="295" spans="1:32" ht="15.75" thickBot="1">
      <c r="A295" s="11">
        <v>44119</v>
      </c>
      <c r="B295" s="2">
        <f t="shared" si="14"/>
        <v>80</v>
      </c>
      <c r="C295" s="3">
        <v>12490</v>
      </c>
      <c r="D295" s="4">
        <v>3090</v>
      </c>
      <c r="E295" s="124"/>
      <c r="F295" s="10">
        <f t="shared" si="15"/>
        <v>9400</v>
      </c>
      <c r="G295" s="73">
        <v>320</v>
      </c>
      <c r="H295" s="4">
        <v>4</v>
      </c>
      <c r="I295" s="73">
        <f>450+300+300</f>
        <v>1050</v>
      </c>
      <c r="J295" s="53">
        <v>3</v>
      </c>
      <c r="K295" s="54" t="s">
        <v>457</v>
      </c>
      <c r="L295" s="52"/>
      <c r="M295" s="53"/>
      <c r="N295" s="53"/>
      <c r="O295" s="73">
        <v>560</v>
      </c>
      <c r="P295" s="54">
        <v>7</v>
      </c>
      <c r="Q295" s="73">
        <v>400</v>
      </c>
      <c r="R295" s="53">
        <v>5</v>
      </c>
      <c r="S295" s="57"/>
      <c r="T295" s="60"/>
      <c r="U295" s="61"/>
      <c r="V295" s="94">
        <f>300+300</f>
        <v>600</v>
      </c>
      <c r="W295" s="54">
        <v>2</v>
      </c>
      <c r="X295" s="54" t="s">
        <v>458</v>
      </c>
      <c r="Y295" s="52">
        <v>325</v>
      </c>
      <c r="Z295" s="54">
        <v>1</v>
      </c>
      <c r="AA295" s="55" t="s">
        <v>453</v>
      </c>
      <c r="AB295" s="56"/>
      <c r="AC295" s="54"/>
      <c r="AD295" s="6">
        <f t="shared" si="16"/>
        <v>7080</v>
      </c>
      <c r="AE295" s="49">
        <v>30</v>
      </c>
      <c r="AF295" s="5" t="s">
        <v>15</v>
      </c>
    </row>
    <row r="296" spans="1:32" ht="15.75" thickBot="1">
      <c r="A296" s="11">
        <v>44120</v>
      </c>
      <c r="B296" s="2">
        <f t="shared" si="14"/>
        <v>30</v>
      </c>
      <c r="C296" s="3">
        <v>8320</v>
      </c>
      <c r="D296" s="4">
        <v>6260</v>
      </c>
      <c r="E296" s="124"/>
      <c r="F296" s="10">
        <v>2060</v>
      </c>
      <c r="G296" s="3"/>
      <c r="H296" s="4"/>
      <c r="I296" s="73">
        <v>800</v>
      </c>
      <c r="J296" s="53">
        <v>3</v>
      </c>
      <c r="K296" s="54" t="s">
        <v>420</v>
      </c>
      <c r="L296" s="52">
        <v>450</v>
      </c>
      <c r="M296" s="53">
        <v>1</v>
      </c>
      <c r="N296" s="53" t="s">
        <v>197</v>
      </c>
      <c r="O296" s="73"/>
      <c r="P296" s="54"/>
      <c r="Q296" s="52"/>
      <c r="R296" s="53"/>
      <c r="S296" s="57"/>
      <c r="T296" s="60">
        <v>640</v>
      </c>
      <c r="U296" s="61">
        <v>8</v>
      </c>
      <c r="V296" s="56"/>
      <c r="W296" s="54"/>
      <c r="X296" s="54"/>
      <c r="Y296" s="52">
        <v>650</v>
      </c>
      <c r="Z296" s="54">
        <v>2</v>
      </c>
      <c r="AA296" s="55" t="s">
        <v>442</v>
      </c>
      <c r="AB296" s="56"/>
      <c r="AC296" s="54"/>
      <c r="AD296" s="6">
        <f t="shared" si="16"/>
        <v>800</v>
      </c>
      <c r="AE296" s="49">
        <v>40</v>
      </c>
      <c r="AF296" s="5" t="s">
        <v>15</v>
      </c>
    </row>
    <row r="297" spans="1:32" ht="15.75" thickBot="1">
      <c r="A297" s="11">
        <v>44121</v>
      </c>
      <c r="B297" s="2">
        <f t="shared" si="14"/>
        <v>40</v>
      </c>
      <c r="C297" s="3">
        <v>7630</v>
      </c>
      <c r="D297" s="4">
        <v>4040</v>
      </c>
      <c r="E297" s="124"/>
      <c r="F297" s="10">
        <f t="shared" si="15"/>
        <v>3590</v>
      </c>
      <c r="G297" s="3"/>
      <c r="H297" s="4"/>
      <c r="I297" s="73">
        <v>350</v>
      </c>
      <c r="J297" s="53">
        <v>1</v>
      </c>
      <c r="K297" s="54" t="s">
        <v>459</v>
      </c>
      <c r="L297" s="52"/>
      <c r="M297" s="53"/>
      <c r="N297" s="53"/>
      <c r="O297" s="73"/>
      <c r="P297" s="54"/>
      <c r="Q297" s="52"/>
      <c r="R297" s="53"/>
      <c r="S297" s="57"/>
      <c r="T297" s="60"/>
      <c r="U297" s="61"/>
      <c r="V297" s="94">
        <v>700</v>
      </c>
      <c r="W297" s="54">
        <v>2</v>
      </c>
      <c r="X297" s="54" t="s">
        <v>463</v>
      </c>
      <c r="Y297" s="52"/>
      <c r="Z297" s="54"/>
      <c r="AA297" s="55"/>
      <c r="AB297" s="56"/>
      <c r="AC297" s="54"/>
      <c r="AD297" s="6">
        <f t="shared" si="16"/>
        <v>2550</v>
      </c>
      <c r="AE297" s="49">
        <v>30</v>
      </c>
      <c r="AF297" s="5" t="s">
        <v>15</v>
      </c>
    </row>
    <row r="298" spans="1:32" ht="15.75" thickBot="1">
      <c r="A298" s="11">
        <v>44122</v>
      </c>
      <c r="B298" s="2">
        <f t="shared" si="14"/>
        <v>30</v>
      </c>
      <c r="C298" s="3">
        <v>10820</v>
      </c>
      <c r="D298" s="4">
        <v>9830</v>
      </c>
      <c r="E298" s="124"/>
      <c r="F298" s="10">
        <f t="shared" si="15"/>
        <v>990</v>
      </c>
      <c r="G298" s="3"/>
      <c r="H298" s="4"/>
      <c r="I298" s="73">
        <v>300</v>
      </c>
      <c r="J298" s="53">
        <v>1</v>
      </c>
      <c r="K298" s="54" t="s">
        <v>347</v>
      </c>
      <c r="L298" s="73">
        <f>400+450+325</f>
        <v>1175</v>
      </c>
      <c r="M298" s="53">
        <v>5</v>
      </c>
      <c r="N298" s="53" t="s">
        <v>465</v>
      </c>
      <c r="O298" s="73">
        <v>480</v>
      </c>
      <c r="P298" s="54">
        <v>6</v>
      </c>
      <c r="Q298" s="52"/>
      <c r="R298" s="53"/>
      <c r="S298" s="57"/>
      <c r="T298" s="60"/>
      <c r="U298" s="61"/>
      <c r="V298" s="56">
        <v>300</v>
      </c>
      <c r="W298" s="54">
        <v>1</v>
      </c>
      <c r="X298" s="54" t="s">
        <v>464</v>
      </c>
      <c r="Y298" s="52"/>
      <c r="Z298" s="54"/>
      <c r="AA298" s="55"/>
      <c r="AB298" s="56"/>
      <c r="AC298" s="54"/>
      <c r="AD298" s="6">
        <f t="shared" si="16"/>
        <v>-785</v>
      </c>
      <c r="AE298" s="49">
        <v>30</v>
      </c>
      <c r="AF298" s="5" t="s">
        <v>15</v>
      </c>
    </row>
    <row r="299" spans="1:32" ht="15.75" thickBot="1">
      <c r="A299" s="11">
        <v>44123</v>
      </c>
      <c r="B299" s="2">
        <f t="shared" si="14"/>
        <v>30</v>
      </c>
      <c r="C299" s="3">
        <v>15330</v>
      </c>
      <c r="D299" s="4">
        <v>8380</v>
      </c>
      <c r="E299" s="124"/>
      <c r="F299" s="10">
        <f t="shared" si="15"/>
        <v>6950</v>
      </c>
      <c r="G299" s="3"/>
      <c r="H299" s="4"/>
      <c r="I299" s="73">
        <v>1650</v>
      </c>
      <c r="J299" s="53">
        <v>6</v>
      </c>
      <c r="K299" s="54" t="s">
        <v>466</v>
      </c>
      <c r="L299" s="52"/>
      <c r="M299" s="53"/>
      <c r="N299" s="53" t="s">
        <v>467</v>
      </c>
      <c r="O299" s="73"/>
      <c r="P299" s="54"/>
      <c r="Q299" s="52"/>
      <c r="R299" s="53"/>
      <c r="S299" s="57"/>
      <c r="T299" s="60">
        <v>480</v>
      </c>
      <c r="U299" s="61">
        <v>6</v>
      </c>
      <c r="V299" s="56"/>
      <c r="W299" s="54"/>
      <c r="X299" s="54"/>
      <c r="Y299" s="52"/>
      <c r="Z299" s="54"/>
      <c r="AA299" s="55"/>
      <c r="AB299" s="56"/>
      <c r="AC299" s="54"/>
      <c r="AD299" s="6">
        <f>B299+F299-I299-L299-V299-G299-Q299-AC299-AE299</f>
        <v>5210</v>
      </c>
      <c r="AE299" s="49">
        <v>120</v>
      </c>
      <c r="AF299" s="5" t="s">
        <v>15</v>
      </c>
    </row>
    <row r="300" spans="1:32" ht="15.75" thickBot="1">
      <c r="A300" s="11">
        <v>44124</v>
      </c>
      <c r="B300" s="2">
        <f t="shared" si="14"/>
        <v>120</v>
      </c>
      <c r="C300" s="3">
        <v>11170</v>
      </c>
      <c r="D300" s="4">
        <v>9520</v>
      </c>
      <c r="E300" s="124"/>
      <c r="F300" s="10">
        <f t="shared" si="15"/>
        <v>1650</v>
      </c>
      <c r="G300" s="73">
        <v>320</v>
      </c>
      <c r="H300" s="4">
        <v>4</v>
      </c>
      <c r="I300" s="73">
        <v>600</v>
      </c>
      <c r="J300" s="53">
        <v>2</v>
      </c>
      <c r="K300" s="54" t="s">
        <v>468</v>
      </c>
      <c r="L300" s="52"/>
      <c r="M300" s="53"/>
      <c r="N300" s="53"/>
      <c r="O300" s="73">
        <v>480</v>
      </c>
      <c r="P300" s="54">
        <v>6</v>
      </c>
      <c r="Q300" s="73">
        <v>400</v>
      </c>
      <c r="R300" s="53">
        <v>5</v>
      </c>
      <c r="S300" s="57"/>
      <c r="T300" s="60"/>
      <c r="U300" s="61"/>
      <c r="V300" s="94">
        <v>900</v>
      </c>
      <c r="W300" s="54">
        <v>3</v>
      </c>
      <c r="X300" s="54" t="s">
        <v>469</v>
      </c>
      <c r="Y300" s="52">
        <f>400+300+350</f>
        <v>1050</v>
      </c>
      <c r="Z300" s="54">
        <v>3</v>
      </c>
      <c r="AA300" s="55" t="s">
        <v>470</v>
      </c>
      <c r="AB300" s="56"/>
      <c r="AC300" s="54"/>
      <c r="AD300" s="6">
        <f>B300+F300-L300-G300-Q300-AC300-AE300</f>
        <v>920</v>
      </c>
      <c r="AE300" s="49">
        <v>130</v>
      </c>
      <c r="AF300" s="5" t="s">
        <v>15</v>
      </c>
    </row>
    <row r="301" spans="1:32" ht="15.75" thickBot="1">
      <c r="A301" s="11">
        <v>44125</v>
      </c>
      <c r="B301" s="2">
        <f t="shared" si="14"/>
        <v>130</v>
      </c>
      <c r="C301" s="3">
        <v>8050</v>
      </c>
      <c r="D301" s="4">
        <v>6540</v>
      </c>
      <c r="E301" s="124"/>
      <c r="F301" s="10">
        <f t="shared" si="15"/>
        <v>1510</v>
      </c>
      <c r="G301" s="3"/>
      <c r="H301" s="4"/>
      <c r="I301" s="73">
        <f>350+400+200</f>
        <v>950</v>
      </c>
      <c r="J301" s="53">
        <v>3</v>
      </c>
      <c r="K301" s="54" t="s">
        <v>473</v>
      </c>
      <c r="L301" s="73">
        <f>450+400</f>
        <v>850</v>
      </c>
      <c r="M301" s="53">
        <v>1</v>
      </c>
      <c r="N301" s="53" t="s">
        <v>472</v>
      </c>
      <c r="O301" s="73"/>
      <c r="P301" s="54"/>
      <c r="Q301" s="52"/>
      <c r="R301" s="53"/>
      <c r="S301" s="57"/>
      <c r="T301" s="60">
        <v>560</v>
      </c>
      <c r="U301" s="61">
        <v>7</v>
      </c>
      <c r="V301" s="94">
        <f>300+350</f>
        <v>650</v>
      </c>
      <c r="W301" s="54">
        <v>2</v>
      </c>
      <c r="X301" s="54" t="s">
        <v>471</v>
      </c>
      <c r="Y301" s="52"/>
      <c r="Z301" s="54"/>
      <c r="AA301" s="55"/>
      <c r="AB301" s="56"/>
      <c r="AC301" s="54"/>
      <c r="AD301" s="6">
        <f>B301+F301-L301-V301-G301-Q301-AC301-AE301</f>
        <v>0</v>
      </c>
      <c r="AE301" s="49">
        <v>140</v>
      </c>
      <c r="AF301" s="5" t="s">
        <v>15</v>
      </c>
    </row>
    <row r="302" spans="1:32" ht="15.75" thickBot="1">
      <c r="A302" s="11">
        <v>44126</v>
      </c>
      <c r="B302" s="2">
        <f t="shared" si="14"/>
        <v>140</v>
      </c>
      <c r="C302" s="3">
        <v>21710</v>
      </c>
      <c r="D302" s="4">
        <v>13140</v>
      </c>
      <c r="E302" s="124"/>
      <c r="F302" s="10">
        <f t="shared" si="15"/>
        <v>8570</v>
      </c>
      <c r="G302" s="73">
        <v>400</v>
      </c>
      <c r="H302" s="4">
        <v>5</v>
      </c>
      <c r="I302" s="73">
        <f>300+450</f>
        <v>750</v>
      </c>
      <c r="J302" s="53">
        <v>3</v>
      </c>
      <c r="K302" s="54" t="s">
        <v>475</v>
      </c>
      <c r="L302" s="52"/>
      <c r="M302" s="53"/>
      <c r="N302" s="53"/>
      <c r="O302" s="73">
        <v>320</v>
      </c>
      <c r="P302" s="54">
        <v>4</v>
      </c>
      <c r="Q302" s="73">
        <v>320</v>
      </c>
      <c r="R302" s="53">
        <v>4</v>
      </c>
      <c r="S302" s="57"/>
      <c r="T302" s="60"/>
      <c r="U302" s="61"/>
      <c r="V302" s="94">
        <v>300</v>
      </c>
      <c r="W302" s="54">
        <v>1</v>
      </c>
      <c r="X302" s="54" t="s">
        <v>474</v>
      </c>
      <c r="Y302" s="52">
        <f>350+300+350</f>
        <v>1000</v>
      </c>
      <c r="Z302" s="54">
        <v>3</v>
      </c>
      <c r="AA302" s="55" t="s">
        <v>476</v>
      </c>
      <c r="AB302" s="56"/>
      <c r="AC302" s="54"/>
      <c r="AD302" s="6">
        <f>B302+F302-I302-L302-V302-G302-Q302-AC302-AE302</f>
        <v>6750</v>
      </c>
      <c r="AE302" s="49">
        <v>190</v>
      </c>
      <c r="AF302" s="5" t="s">
        <v>15</v>
      </c>
    </row>
    <row r="303" spans="1:32" ht="15.75" thickBot="1">
      <c r="A303" s="11">
        <v>44127</v>
      </c>
      <c r="B303" s="2">
        <f t="shared" si="14"/>
        <v>190</v>
      </c>
      <c r="C303" s="3">
        <v>8985</v>
      </c>
      <c r="D303" s="4">
        <v>7380</v>
      </c>
      <c r="E303" s="124"/>
      <c r="F303" s="10">
        <f t="shared" si="15"/>
        <v>1605</v>
      </c>
      <c r="G303" s="3"/>
      <c r="H303" s="4"/>
      <c r="I303" s="52"/>
      <c r="J303" s="53"/>
      <c r="K303" s="54"/>
      <c r="L303" s="52"/>
      <c r="M303" s="53"/>
      <c r="N303" s="53"/>
      <c r="O303" s="73"/>
      <c r="P303" s="54"/>
      <c r="Q303" s="52"/>
      <c r="R303" s="53"/>
      <c r="S303" s="57"/>
      <c r="T303" s="60">
        <v>720</v>
      </c>
      <c r="U303" s="61">
        <v>9</v>
      </c>
      <c r="V303" s="94">
        <f>300+350</f>
        <v>650</v>
      </c>
      <c r="W303" s="54">
        <v>1</v>
      </c>
      <c r="X303" s="54" t="s">
        <v>477</v>
      </c>
      <c r="Y303" s="52"/>
      <c r="Z303" s="54"/>
      <c r="AA303" s="55"/>
      <c r="AB303" s="56"/>
      <c r="AC303" s="54"/>
      <c r="AD303" s="6">
        <f>B303+F303-I303-L303-1000-G303-Q303-AC303-AE303</f>
        <v>150</v>
      </c>
      <c r="AE303" s="49">
        <v>645</v>
      </c>
      <c r="AF303" s="5" t="s">
        <v>15</v>
      </c>
    </row>
    <row r="304" spans="1:32" ht="15.75" thickBot="1">
      <c r="A304" s="11">
        <v>44128</v>
      </c>
      <c r="B304" s="2">
        <f t="shared" si="14"/>
        <v>645</v>
      </c>
      <c r="C304" s="3">
        <v>10790</v>
      </c>
      <c r="D304" s="4">
        <v>5960</v>
      </c>
      <c r="E304" s="124"/>
      <c r="F304" s="10">
        <f t="shared" si="15"/>
        <v>4830</v>
      </c>
      <c r="G304" s="3"/>
      <c r="H304" s="4"/>
      <c r="I304" s="52">
        <v>1850</v>
      </c>
      <c r="J304" s="53">
        <v>6</v>
      </c>
      <c r="K304" s="54" t="s">
        <v>478</v>
      </c>
      <c r="L304" s="52">
        <v>450</v>
      </c>
      <c r="M304" s="53">
        <v>1</v>
      </c>
      <c r="N304" s="53" t="s">
        <v>197</v>
      </c>
      <c r="O304" s="73"/>
      <c r="P304" s="54"/>
      <c r="Q304" s="52"/>
      <c r="R304" s="53"/>
      <c r="S304" s="57"/>
      <c r="T304" s="60"/>
      <c r="U304" s="61"/>
      <c r="V304" s="94">
        <v>750</v>
      </c>
      <c r="W304" s="54">
        <v>2</v>
      </c>
      <c r="X304" s="54" t="s">
        <v>479</v>
      </c>
      <c r="Y304" s="52"/>
      <c r="Z304" s="54"/>
      <c r="AA304" s="55"/>
      <c r="AB304" s="56"/>
      <c r="AC304" s="54"/>
      <c r="AD304" s="6">
        <f t="shared" si="16"/>
        <v>2200</v>
      </c>
      <c r="AE304" s="49">
        <v>225</v>
      </c>
      <c r="AF304" s="5" t="s">
        <v>15</v>
      </c>
    </row>
    <row r="305" spans="1:32" ht="15.75" thickBot="1">
      <c r="A305" s="11">
        <v>44129</v>
      </c>
      <c r="B305" s="2">
        <f t="shared" si="14"/>
        <v>225</v>
      </c>
      <c r="C305" s="3">
        <v>11230</v>
      </c>
      <c r="D305" s="4">
        <v>9630</v>
      </c>
      <c r="E305" s="124"/>
      <c r="F305" s="10">
        <f t="shared" si="15"/>
        <v>1600</v>
      </c>
      <c r="G305" s="3"/>
      <c r="H305" s="4"/>
      <c r="I305" s="52"/>
      <c r="J305" s="53"/>
      <c r="K305" s="54"/>
      <c r="L305" s="73">
        <f>400+325</f>
        <v>725</v>
      </c>
      <c r="M305" s="53">
        <v>3</v>
      </c>
      <c r="N305" s="53" t="s">
        <v>482</v>
      </c>
      <c r="O305" s="73">
        <v>400</v>
      </c>
      <c r="P305" s="54">
        <v>5</v>
      </c>
      <c r="Q305" s="52"/>
      <c r="R305" s="53"/>
      <c r="S305" s="57"/>
      <c r="T305" s="60"/>
      <c r="U305" s="61"/>
      <c r="V305" s="94">
        <f>350+350</f>
        <v>700</v>
      </c>
      <c r="W305" s="54">
        <v>2</v>
      </c>
      <c r="X305" s="54" t="s">
        <v>481</v>
      </c>
      <c r="Y305" s="52">
        <v>350</v>
      </c>
      <c r="Z305" s="54">
        <v>1</v>
      </c>
      <c r="AA305" s="55" t="s">
        <v>480</v>
      </c>
      <c r="AB305" s="56"/>
      <c r="AC305" s="54"/>
      <c r="AD305" s="6">
        <f t="shared" si="16"/>
        <v>250</v>
      </c>
      <c r="AE305" s="49">
        <v>150</v>
      </c>
      <c r="AF305" s="5" t="s">
        <v>15</v>
      </c>
    </row>
    <row r="306" spans="1:32" ht="15.75" thickBot="1">
      <c r="A306" s="11">
        <v>44130</v>
      </c>
      <c r="B306" s="2">
        <f t="shared" si="14"/>
        <v>150</v>
      </c>
      <c r="C306" s="3">
        <v>16846</v>
      </c>
      <c r="D306" s="4">
        <v>13636</v>
      </c>
      <c r="E306" s="124"/>
      <c r="F306" s="10">
        <f t="shared" si="15"/>
        <v>3210</v>
      </c>
      <c r="G306" s="3"/>
      <c r="H306" s="4"/>
      <c r="I306" s="52"/>
      <c r="J306" s="53"/>
      <c r="K306" s="54"/>
      <c r="L306" s="52"/>
      <c r="M306" s="53"/>
      <c r="N306" s="53"/>
      <c r="O306" s="73"/>
      <c r="P306" s="54"/>
      <c r="Q306" s="52"/>
      <c r="R306" s="53"/>
      <c r="S306" s="57"/>
      <c r="T306" s="60">
        <v>400</v>
      </c>
      <c r="U306" s="61">
        <v>5</v>
      </c>
      <c r="V306" s="94">
        <f>300+300+300</f>
        <v>900</v>
      </c>
      <c r="W306" s="54">
        <v>1</v>
      </c>
      <c r="X306" s="54" t="s">
        <v>483</v>
      </c>
      <c r="Y306" s="52">
        <v>350</v>
      </c>
      <c r="Z306" s="54">
        <v>1</v>
      </c>
      <c r="AA306" s="55" t="s">
        <v>480</v>
      </c>
      <c r="AB306" s="56"/>
      <c r="AC306" s="54"/>
      <c r="AD306" s="6">
        <f>B306+F306-I306-L306-1000-G306-Q306-AC306-AE306</f>
        <v>2300</v>
      </c>
      <c r="AE306" s="49">
        <v>60</v>
      </c>
      <c r="AF306" s="5" t="s">
        <v>15</v>
      </c>
    </row>
    <row r="307" spans="1:32" ht="15.75" thickBot="1">
      <c r="A307" s="11">
        <v>44131</v>
      </c>
      <c r="B307" s="2">
        <f t="shared" si="14"/>
        <v>60</v>
      </c>
      <c r="C307" s="3">
        <v>14190</v>
      </c>
      <c r="D307" s="4">
        <v>12680</v>
      </c>
      <c r="E307" s="124"/>
      <c r="F307" s="10">
        <f t="shared" si="15"/>
        <v>1510</v>
      </c>
      <c r="G307" s="73">
        <v>320</v>
      </c>
      <c r="H307" s="4">
        <v>4</v>
      </c>
      <c r="I307" s="73">
        <f>300+400+300+300</f>
        <v>1300</v>
      </c>
      <c r="J307" s="53">
        <v>3</v>
      </c>
      <c r="K307" s="54" t="s">
        <v>484</v>
      </c>
      <c r="L307" s="73">
        <v>325</v>
      </c>
      <c r="M307" s="53">
        <v>1</v>
      </c>
      <c r="N307" s="53" t="s">
        <v>485</v>
      </c>
      <c r="O307" s="73">
        <v>640</v>
      </c>
      <c r="P307" s="54">
        <v>8</v>
      </c>
      <c r="Q307" s="73">
        <v>400</v>
      </c>
      <c r="R307" s="53">
        <v>5</v>
      </c>
      <c r="S307" s="57"/>
      <c r="T307" s="60"/>
      <c r="U307" s="61"/>
      <c r="V307" s="94">
        <f>300+350+300</f>
        <v>950</v>
      </c>
      <c r="W307" s="54">
        <v>3</v>
      </c>
      <c r="X307" s="54" t="s">
        <v>486</v>
      </c>
      <c r="Y307" s="52"/>
      <c r="Z307" s="54"/>
      <c r="AA307" s="55"/>
      <c r="AB307" s="56"/>
      <c r="AC307" s="54"/>
      <c r="AD307" s="6">
        <f>B307+F307-L307-V307-G307-Q307-AC307-AE307</f>
        <v>-500</v>
      </c>
      <c r="AE307" s="49">
        <v>75</v>
      </c>
      <c r="AF307" s="5" t="s">
        <v>15</v>
      </c>
    </row>
    <row r="308" spans="1:32" ht="15.75" thickBot="1">
      <c r="A308" s="11">
        <v>44132</v>
      </c>
      <c r="B308" s="2">
        <f t="shared" si="14"/>
        <v>75</v>
      </c>
      <c r="C308" s="3">
        <v>16120</v>
      </c>
      <c r="D308" s="4">
        <v>12370</v>
      </c>
      <c r="E308" s="124"/>
      <c r="F308" s="10">
        <f t="shared" si="15"/>
        <v>3750</v>
      </c>
      <c r="G308" s="3"/>
      <c r="H308" s="4"/>
      <c r="I308" s="52">
        <f>250+400+200+200</f>
        <v>1050</v>
      </c>
      <c r="J308" s="53">
        <v>1</v>
      </c>
      <c r="K308" s="54" t="s">
        <v>489</v>
      </c>
      <c r="L308" s="52"/>
      <c r="M308" s="53"/>
      <c r="N308" s="53"/>
      <c r="O308" s="73"/>
      <c r="P308" s="54"/>
      <c r="Q308" s="52"/>
      <c r="R308" s="53"/>
      <c r="S308" s="57"/>
      <c r="T308" s="60">
        <v>560</v>
      </c>
      <c r="U308" s="61">
        <v>7</v>
      </c>
      <c r="V308" s="56">
        <f>250+450</f>
        <v>700</v>
      </c>
      <c r="W308" s="54">
        <v>1</v>
      </c>
      <c r="X308" s="54" t="s">
        <v>487</v>
      </c>
      <c r="Y308" s="52">
        <f>350+350</f>
        <v>700</v>
      </c>
      <c r="Z308" s="54">
        <v>2</v>
      </c>
      <c r="AA308" s="55" t="s">
        <v>488</v>
      </c>
      <c r="AB308" s="56"/>
      <c r="AC308" s="54"/>
      <c r="AD308" s="6">
        <f>B308+F308-I308-L308-G308-Q308-AC308-AE308</f>
        <v>2750</v>
      </c>
      <c r="AE308" s="49">
        <v>25</v>
      </c>
      <c r="AF308" s="5" t="s">
        <v>15</v>
      </c>
    </row>
    <row r="309" spans="1:32" ht="15.75" thickBot="1">
      <c r="A309" s="11">
        <v>44133</v>
      </c>
      <c r="B309" s="2">
        <f t="shared" si="14"/>
        <v>25</v>
      </c>
      <c r="C309" s="3">
        <v>12900</v>
      </c>
      <c r="D309" s="4">
        <v>9970</v>
      </c>
      <c r="E309" s="124"/>
      <c r="F309" s="10">
        <f t="shared" si="15"/>
        <v>2930</v>
      </c>
      <c r="G309" s="73">
        <v>400</v>
      </c>
      <c r="H309" s="4">
        <v>5</v>
      </c>
      <c r="I309" s="73">
        <f>300+300+450</f>
        <v>1050</v>
      </c>
      <c r="J309" s="53">
        <v>4</v>
      </c>
      <c r="K309" s="54" t="s">
        <v>490</v>
      </c>
      <c r="L309" s="52"/>
      <c r="M309" s="53"/>
      <c r="N309" s="53"/>
      <c r="O309" s="73">
        <v>640</v>
      </c>
      <c r="P309" s="54">
        <v>8</v>
      </c>
      <c r="Q309" s="73">
        <v>480</v>
      </c>
      <c r="R309" s="53">
        <v>6</v>
      </c>
      <c r="S309" s="57"/>
      <c r="T309" s="60"/>
      <c r="U309" s="61"/>
      <c r="V309" s="94">
        <f>300+350+300+300</f>
        <v>1250</v>
      </c>
      <c r="W309" s="54">
        <v>4</v>
      </c>
      <c r="X309" s="54" t="s">
        <v>491</v>
      </c>
      <c r="Y309" s="52"/>
      <c r="Z309" s="54"/>
      <c r="AA309" s="55"/>
      <c r="AB309" s="56"/>
      <c r="AC309" s="54"/>
      <c r="AD309" s="6">
        <f>B309+F309-I309-L309-V309-Q309-AC309-AE309</f>
        <v>50</v>
      </c>
      <c r="AE309" s="49">
        <v>125</v>
      </c>
      <c r="AF309" s="5" t="s">
        <v>15</v>
      </c>
    </row>
    <row r="310" spans="1:32" ht="15.75" thickBot="1">
      <c r="A310" s="11">
        <v>44134</v>
      </c>
      <c r="B310" s="2">
        <f t="shared" si="14"/>
        <v>125</v>
      </c>
      <c r="C310" s="3">
        <v>2970</v>
      </c>
      <c r="D310" s="4">
        <v>1060</v>
      </c>
      <c r="E310" s="124"/>
      <c r="F310" s="10">
        <f t="shared" si="15"/>
        <v>1910</v>
      </c>
      <c r="G310" s="3"/>
      <c r="H310" s="4"/>
      <c r="I310" s="52"/>
      <c r="J310" s="53"/>
      <c r="K310" s="54"/>
      <c r="L310" s="73">
        <f>325+325</f>
        <v>650</v>
      </c>
      <c r="M310" s="53">
        <v>2</v>
      </c>
      <c r="N310" s="53" t="s">
        <v>492</v>
      </c>
      <c r="O310" s="52"/>
      <c r="P310" s="54"/>
      <c r="Q310" s="52"/>
      <c r="R310" s="53"/>
      <c r="S310" s="57"/>
      <c r="T310" s="60">
        <v>480</v>
      </c>
      <c r="U310" s="61">
        <v>6</v>
      </c>
      <c r="V310" s="94">
        <f>450+300</f>
        <v>750</v>
      </c>
      <c r="W310" s="54">
        <v>2</v>
      </c>
      <c r="X310" s="54" t="s">
        <v>493</v>
      </c>
      <c r="Y310" s="52"/>
      <c r="Z310" s="54"/>
      <c r="AA310" s="55"/>
      <c r="AB310" s="56"/>
      <c r="AC310" s="54"/>
      <c r="AD310" s="6">
        <f t="shared" si="16"/>
        <v>550</v>
      </c>
      <c r="AE310" s="49">
        <v>85</v>
      </c>
      <c r="AF310" s="5" t="s">
        <v>15</v>
      </c>
    </row>
    <row r="311" spans="1:32" ht="15.75" thickBot="1">
      <c r="A311" s="11">
        <v>44135</v>
      </c>
      <c r="B311" s="2">
        <f t="shared" si="14"/>
        <v>85</v>
      </c>
      <c r="C311" s="3">
        <v>3080</v>
      </c>
      <c r="D311" s="4">
        <v>2380</v>
      </c>
      <c r="E311" s="124"/>
      <c r="F311" s="10">
        <f t="shared" si="15"/>
        <v>700</v>
      </c>
      <c r="G311" s="3"/>
      <c r="H311" s="4"/>
      <c r="I311" s="52">
        <v>750</v>
      </c>
      <c r="J311" s="53">
        <v>3</v>
      </c>
      <c r="K311" s="54" t="s">
        <v>494</v>
      </c>
      <c r="L311" s="52"/>
      <c r="M311" s="53"/>
      <c r="N311" s="53"/>
      <c r="O311" s="73"/>
      <c r="P311" s="54"/>
      <c r="Q311" s="52"/>
      <c r="R311" s="53"/>
      <c r="S311" s="57"/>
      <c r="T311" s="60"/>
      <c r="U311" s="61"/>
      <c r="V311" s="56">
        <v>325</v>
      </c>
      <c r="W311" s="54">
        <v>1</v>
      </c>
      <c r="X311" s="54" t="s">
        <v>434</v>
      </c>
      <c r="Y311" s="52"/>
      <c r="Z311" s="54"/>
      <c r="AA311" s="55"/>
      <c r="AB311" s="56"/>
      <c r="AC311" s="54"/>
      <c r="AD311" s="6">
        <f t="shared" si="16"/>
        <v>-340</v>
      </c>
      <c r="AE311" s="49">
        <v>50</v>
      </c>
      <c r="AF311" s="5" t="s">
        <v>15</v>
      </c>
    </row>
    <row r="312" spans="1:32" ht="15.75" thickBot="1">
      <c r="A312" s="11">
        <v>44136</v>
      </c>
      <c r="B312" s="2">
        <f t="shared" si="14"/>
        <v>50</v>
      </c>
      <c r="C312" s="3">
        <v>8810</v>
      </c>
      <c r="D312" s="4">
        <v>6950</v>
      </c>
      <c r="E312" s="124"/>
      <c r="F312" s="10">
        <f t="shared" si="15"/>
        <v>1860</v>
      </c>
      <c r="G312" s="3"/>
      <c r="H312" s="4"/>
      <c r="I312" s="52"/>
      <c r="J312" s="53"/>
      <c r="K312" s="54"/>
      <c r="L312" s="73">
        <v>450</v>
      </c>
      <c r="M312" s="53">
        <v>2</v>
      </c>
      <c r="N312" s="53" t="s">
        <v>197</v>
      </c>
      <c r="O312" s="73"/>
      <c r="P312" s="54"/>
      <c r="Q312" s="52"/>
      <c r="R312" s="53"/>
      <c r="S312" s="57"/>
      <c r="T312" s="60"/>
      <c r="U312" s="61"/>
      <c r="V312" s="56"/>
      <c r="W312" s="54"/>
      <c r="X312" s="54"/>
      <c r="Y312" s="96">
        <f>350+350</f>
        <v>700</v>
      </c>
      <c r="Z312" s="54">
        <v>2</v>
      </c>
      <c r="AA312" s="55" t="s">
        <v>495</v>
      </c>
      <c r="AB312" s="56"/>
      <c r="AC312" s="54"/>
      <c r="AD312" s="6">
        <f t="shared" si="16"/>
        <v>1400</v>
      </c>
      <c r="AE312" s="49">
        <v>60</v>
      </c>
      <c r="AF312" s="5" t="s">
        <v>15</v>
      </c>
    </row>
    <row r="313" spans="1:32" ht="15.75" thickBot="1">
      <c r="A313" s="11">
        <v>44137</v>
      </c>
      <c r="B313" s="2">
        <f t="shared" si="14"/>
        <v>60</v>
      </c>
      <c r="C313" s="3">
        <v>11070</v>
      </c>
      <c r="D313" s="4">
        <v>9870</v>
      </c>
      <c r="E313" s="124"/>
      <c r="F313" s="10">
        <f t="shared" si="15"/>
        <v>1200</v>
      </c>
      <c r="G313" s="3"/>
      <c r="H313" s="4"/>
      <c r="I313" s="52">
        <v>650</v>
      </c>
      <c r="J313" s="53">
        <v>2</v>
      </c>
      <c r="K313" s="54" t="s">
        <v>497</v>
      </c>
      <c r="L313" s="52"/>
      <c r="M313" s="53"/>
      <c r="N313" s="53"/>
      <c r="O313" s="73"/>
      <c r="P313" s="54"/>
      <c r="Q313" s="52"/>
      <c r="R313" s="53"/>
      <c r="S313" s="57"/>
      <c r="T313" s="60">
        <v>480</v>
      </c>
      <c r="U313" s="61">
        <v>6</v>
      </c>
      <c r="V313" s="56">
        <v>975</v>
      </c>
      <c r="W313" s="54">
        <v>3</v>
      </c>
      <c r="X313" s="54" t="s">
        <v>496</v>
      </c>
      <c r="Y313" s="96">
        <v>350</v>
      </c>
      <c r="Z313" s="54">
        <v>1</v>
      </c>
      <c r="AA313" s="55" t="s">
        <v>480</v>
      </c>
      <c r="AB313" s="56"/>
      <c r="AC313" s="54"/>
      <c r="AD313" s="6">
        <f t="shared" si="16"/>
        <v>-410</v>
      </c>
      <c r="AE313" s="49">
        <v>45</v>
      </c>
      <c r="AF313" s="5" t="s">
        <v>15</v>
      </c>
    </row>
    <row r="314" spans="1:32" ht="15.75" thickBot="1">
      <c r="A314" s="11">
        <v>44138</v>
      </c>
      <c r="B314" s="2">
        <f t="shared" si="14"/>
        <v>45</v>
      </c>
      <c r="C314" s="3">
        <v>9900</v>
      </c>
      <c r="D314" s="4">
        <v>8500</v>
      </c>
      <c r="E314" s="124"/>
      <c r="F314" s="10">
        <f t="shared" si="15"/>
        <v>1400</v>
      </c>
      <c r="G314" s="73">
        <v>320</v>
      </c>
      <c r="H314" s="4">
        <v>4</v>
      </c>
      <c r="I314" s="52"/>
      <c r="J314" s="53"/>
      <c r="K314" s="54"/>
      <c r="L314" s="73">
        <v>325</v>
      </c>
      <c r="M314" s="53">
        <v>1</v>
      </c>
      <c r="N314" s="53" t="s">
        <v>485</v>
      </c>
      <c r="O314" s="73">
        <v>400</v>
      </c>
      <c r="P314" s="54">
        <v>5</v>
      </c>
      <c r="Q314" s="73">
        <v>480</v>
      </c>
      <c r="R314" s="53">
        <v>6</v>
      </c>
      <c r="S314" s="57"/>
      <c r="T314" s="60"/>
      <c r="U314" s="61"/>
      <c r="V314" s="56"/>
      <c r="W314" s="54"/>
      <c r="X314" s="54"/>
      <c r="Y314" s="96">
        <f>200+200</f>
        <v>400</v>
      </c>
      <c r="Z314" s="54">
        <v>2</v>
      </c>
      <c r="AA314" s="55" t="s">
        <v>498</v>
      </c>
      <c r="AB314" s="56"/>
      <c r="AC314" s="54"/>
      <c r="AD314" s="6">
        <f t="shared" si="16"/>
        <v>250</v>
      </c>
      <c r="AE314" s="49">
        <v>70</v>
      </c>
      <c r="AF314" s="5" t="s">
        <v>15</v>
      </c>
    </row>
    <row r="315" spans="1:32" ht="15.75" thickBot="1">
      <c r="A315" s="11">
        <v>44139</v>
      </c>
      <c r="B315" s="2">
        <f t="shared" si="14"/>
        <v>70</v>
      </c>
      <c r="C315" s="3">
        <v>13640</v>
      </c>
      <c r="D315" s="4">
        <v>7900</v>
      </c>
      <c r="E315" s="124"/>
      <c r="F315" s="10">
        <f t="shared" si="15"/>
        <v>5740</v>
      </c>
      <c r="G315" s="3"/>
      <c r="H315" s="4"/>
      <c r="I315" s="52">
        <f>400+200</f>
        <v>600</v>
      </c>
      <c r="J315" s="53">
        <v>1</v>
      </c>
      <c r="K315" s="54" t="s">
        <v>501</v>
      </c>
      <c r="L315" s="73">
        <f>325+125+325+400+400</f>
        <v>1575</v>
      </c>
      <c r="M315" s="53">
        <v>2</v>
      </c>
      <c r="N315" s="53" t="s">
        <v>499</v>
      </c>
      <c r="O315" s="73"/>
      <c r="P315" s="54"/>
      <c r="Q315" s="52"/>
      <c r="R315" s="53"/>
      <c r="S315" s="57"/>
      <c r="T315" s="60">
        <f>7*80</f>
        <v>560</v>
      </c>
      <c r="U315" s="61">
        <v>7</v>
      </c>
      <c r="V315" s="56">
        <f>300+300+300+450+325</f>
        <v>1675</v>
      </c>
      <c r="W315" s="54">
        <v>3</v>
      </c>
      <c r="X315" s="54" t="s">
        <v>500</v>
      </c>
      <c r="Y315" s="96">
        <f>350+600</f>
        <v>950</v>
      </c>
      <c r="Z315" s="54"/>
      <c r="AA315" s="55" t="s">
        <v>502</v>
      </c>
      <c r="AB315" s="56"/>
      <c r="AC315" s="54"/>
      <c r="AD315" s="6">
        <f>B315+F315-I315-1550-1675-G315-Q315-AC315-AE315</f>
        <v>1950</v>
      </c>
      <c r="AE315" s="49">
        <v>35</v>
      </c>
      <c r="AF315" s="5" t="s">
        <v>15</v>
      </c>
    </row>
    <row r="316" spans="1:32" ht="15.75" thickBot="1">
      <c r="A316" s="11">
        <v>44140</v>
      </c>
      <c r="B316" s="2">
        <f t="shared" si="14"/>
        <v>35</v>
      </c>
      <c r="C316" s="3">
        <v>15670</v>
      </c>
      <c r="D316" s="4">
        <v>6890</v>
      </c>
      <c r="E316" s="124"/>
      <c r="F316" s="10">
        <f t="shared" si="15"/>
        <v>8780</v>
      </c>
      <c r="G316" s="73">
        <v>400</v>
      </c>
      <c r="H316" s="4">
        <v>5</v>
      </c>
      <c r="I316" s="73">
        <f>450+250</f>
        <v>700</v>
      </c>
      <c r="J316" s="53">
        <v>1</v>
      </c>
      <c r="K316" s="54" t="s">
        <v>503</v>
      </c>
      <c r="L316" s="73">
        <f>560+325</f>
        <v>885</v>
      </c>
      <c r="M316" s="53">
        <v>1</v>
      </c>
      <c r="N316" s="53" t="s">
        <v>485</v>
      </c>
      <c r="O316" s="73">
        <v>400</v>
      </c>
      <c r="P316" s="54">
        <v>5</v>
      </c>
      <c r="Q316" s="73">
        <v>560</v>
      </c>
      <c r="R316" s="53">
        <v>7</v>
      </c>
      <c r="S316" s="57"/>
      <c r="T316" s="60"/>
      <c r="U316" s="61"/>
      <c r="V316" s="56">
        <v>400</v>
      </c>
      <c r="W316" s="54"/>
      <c r="X316" s="54"/>
      <c r="Y316" s="96">
        <f>200+200</f>
        <v>400</v>
      </c>
      <c r="Z316" s="54">
        <v>2</v>
      </c>
      <c r="AA316" s="55" t="s">
        <v>504</v>
      </c>
      <c r="AB316" s="56"/>
      <c r="AC316" s="54"/>
      <c r="AD316" s="6">
        <f>B316+F316-L316-G316-Q316-AC316-AE316</f>
        <v>6950</v>
      </c>
      <c r="AE316" s="49">
        <v>20</v>
      </c>
      <c r="AF316" s="5" t="s">
        <v>15</v>
      </c>
    </row>
    <row r="317" spans="1:32" ht="15.75" thickBot="1">
      <c r="A317" s="11">
        <v>44141</v>
      </c>
      <c r="B317" s="2">
        <f t="shared" si="14"/>
        <v>20</v>
      </c>
      <c r="C317" s="3">
        <v>9570</v>
      </c>
      <c r="D317" s="4">
        <v>4810</v>
      </c>
      <c r="E317" s="124"/>
      <c r="F317" s="10">
        <f t="shared" si="15"/>
        <v>4760</v>
      </c>
      <c r="G317" s="3"/>
      <c r="H317" s="4"/>
      <c r="I317" s="52">
        <v>600</v>
      </c>
      <c r="J317" s="53">
        <v>3</v>
      </c>
      <c r="K317" s="54" t="s">
        <v>298</v>
      </c>
      <c r="L317" s="52">
        <v>725</v>
      </c>
      <c r="M317" s="53">
        <v>2</v>
      </c>
      <c r="N317" s="53" t="s">
        <v>120</v>
      </c>
      <c r="O317" s="73" t="s">
        <v>243</v>
      </c>
      <c r="P317" s="54"/>
      <c r="Q317" s="52"/>
      <c r="R317" s="53"/>
      <c r="S317" s="57"/>
      <c r="T317" s="60">
        <v>480</v>
      </c>
      <c r="U317" s="61">
        <v>6</v>
      </c>
      <c r="V317" s="56">
        <v>600</v>
      </c>
      <c r="W317" s="54">
        <v>2</v>
      </c>
      <c r="X317" s="54" t="s">
        <v>505</v>
      </c>
      <c r="Y317" s="96">
        <v>350</v>
      </c>
      <c r="Z317" s="54">
        <v>1</v>
      </c>
      <c r="AA317" s="55" t="s">
        <v>197</v>
      </c>
      <c r="AB317" s="56"/>
      <c r="AC317" s="54"/>
      <c r="AD317" s="6">
        <v>2650</v>
      </c>
      <c r="AE317" s="49">
        <v>230</v>
      </c>
      <c r="AF317" s="5" t="s">
        <v>15</v>
      </c>
    </row>
    <row r="318" spans="1:32" ht="15.75" thickBot="1">
      <c r="A318" s="11">
        <v>44142</v>
      </c>
      <c r="B318" s="2">
        <f t="shared" si="14"/>
        <v>230</v>
      </c>
      <c r="C318" s="3">
        <v>13270</v>
      </c>
      <c r="D318" s="4">
        <v>11890</v>
      </c>
      <c r="E318" s="124"/>
      <c r="F318" s="10">
        <f t="shared" si="15"/>
        <v>1380</v>
      </c>
      <c r="G318" s="3"/>
      <c r="H318" s="4"/>
      <c r="I318" s="52">
        <v>850</v>
      </c>
      <c r="J318" s="53">
        <v>3</v>
      </c>
      <c r="K318" s="54" t="s">
        <v>506</v>
      </c>
      <c r="L318" s="52"/>
      <c r="M318" s="53"/>
      <c r="N318" s="53"/>
      <c r="O318" s="73"/>
      <c r="P318" s="54"/>
      <c r="Q318" s="52"/>
      <c r="R318" s="53"/>
      <c r="S318" s="57"/>
      <c r="T318" s="60"/>
      <c r="U318" s="61"/>
      <c r="V318" s="56"/>
      <c r="W318" s="54"/>
      <c r="X318" s="54"/>
      <c r="Y318" s="96"/>
      <c r="Z318" s="54"/>
      <c r="AA318" s="55"/>
      <c r="AB318" s="56"/>
      <c r="AC318" s="54"/>
      <c r="AD318" s="6">
        <v>300</v>
      </c>
      <c r="AE318" s="49">
        <v>230</v>
      </c>
      <c r="AF318" s="5" t="s">
        <v>15</v>
      </c>
    </row>
    <row r="319" spans="1:32" ht="15.75" thickBot="1">
      <c r="A319" s="11">
        <v>44143</v>
      </c>
      <c r="B319" s="2">
        <f t="shared" si="14"/>
        <v>230</v>
      </c>
      <c r="C319" s="3">
        <v>16182</v>
      </c>
      <c r="D319" s="4">
        <v>12350</v>
      </c>
      <c r="E319" s="124"/>
      <c r="F319" s="10">
        <f t="shared" si="15"/>
        <v>3832</v>
      </c>
      <c r="G319" s="3"/>
      <c r="H319" s="4"/>
      <c r="I319" s="52">
        <v>400</v>
      </c>
      <c r="J319" s="53">
        <v>1</v>
      </c>
      <c r="K319" s="54" t="s">
        <v>420</v>
      </c>
      <c r="L319" s="52">
        <v>725</v>
      </c>
      <c r="M319" s="53">
        <v>2</v>
      </c>
      <c r="N319" s="53" t="s">
        <v>508</v>
      </c>
      <c r="O319" s="73">
        <v>560</v>
      </c>
      <c r="P319" s="54">
        <v>7</v>
      </c>
      <c r="Q319" s="73">
        <v>480</v>
      </c>
      <c r="R319" s="53">
        <v>6</v>
      </c>
      <c r="S319" s="57"/>
      <c r="T319" s="60"/>
      <c r="U319" s="61"/>
      <c r="V319" s="56">
        <v>1125</v>
      </c>
      <c r="W319" s="54">
        <v>3</v>
      </c>
      <c r="X319" s="54" t="s">
        <v>507</v>
      </c>
      <c r="Y319" s="96">
        <v>350</v>
      </c>
      <c r="Z319" s="54">
        <v>1</v>
      </c>
      <c r="AA319" s="55" t="s">
        <v>424</v>
      </c>
      <c r="AB319" s="56"/>
      <c r="AC319" s="54"/>
      <c r="AD319" s="6">
        <f>B319+F319-L319-I319-G319-Q319-V319-AC319-AE319</f>
        <v>1257</v>
      </c>
      <c r="AE319" s="49">
        <v>75</v>
      </c>
      <c r="AF319" s="5" t="s">
        <v>15</v>
      </c>
    </row>
    <row r="320" spans="1:32" ht="15.75" thickBot="1">
      <c r="A320" s="11">
        <v>44144</v>
      </c>
      <c r="B320" s="2">
        <f t="shared" si="14"/>
        <v>75</v>
      </c>
      <c r="C320" s="3">
        <f>2935+990-75</f>
        <v>3850</v>
      </c>
      <c r="D320" s="4">
        <v>1430</v>
      </c>
      <c r="E320" s="124"/>
      <c r="F320" s="10">
        <f t="shared" si="15"/>
        <v>2420</v>
      </c>
      <c r="G320" s="3"/>
      <c r="H320" s="4"/>
      <c r="I320" s="52">
        <f>450</f>
        <v>450</v>
      </c>
      <c r="J320" s="53">
        <v>1</v>
      </c>
      <c r="K320" s="54" t="s">
        <v>510</v>
      </c>
      <c r="L320" s="52">
        <v>540</v>
      </c>
      <c r="M320" s="53">
        <v>1</v>
      </c>
      <c r="N320" s="53" t="s">
        <v>509</v>
      </c>
      <c r="O320" s="73"/>
      <c r="P320" s="54"/>
      <c r="Q320" s="73"/>
      <c r="R320" s="53"/>
      <c r="S320" s="57"/>
      <c r="T320" s="60">
        <v>400</v>
      </c>
      <c r="U320" s="61">
        <v>5</v>
      </c>
      <c r="V320" s="56"/>
      <c r="W320" s="54"/>
      <c r="X320" s="54"/>
      <c r="Y320" s="96"/>
      <c r="Z320" s="54"/>
      <c r="AA320" s="55"/>
      <c r="AB320" s="56"/>
      <c r="AC320" s="54"/>
      <c r="AD320" s="6">
        <f>B320+F320-I320-L320-V320-G320-Q320-AC320-AE320</f>
        <v>1450</v>
      </c>
      <c r="AE320" s="49">
        <v>55</v>
      </c>
      <c r="AF320" s="5" t="s">
        <v>15</v>
      </c>
    </row>
    <row r="321" spans="1:32" ht="15.75" thickBot="1">
      <c r="A321" s="11">
        <v>44145</v>
      </c>
      <c r="B321" s="2">
        <f t="shared" si="14"/>
        <v>55</v>
      </c>
      <c r="C321" s="3">
        <v>23220</v>
      </c>
      <c r="D321" s="4">
        <v>21440</v>
      </c>
      <c r="E321" s="124"/>
      <c r="F321" s="10">
        <f t="shared" si="15"/>
        <v>1780</v>
      </c>
      <c r="G321" s="3">
        <f>6*80</f>
        <v>480</v>
      </c>
      <c r="H321" s="4">
        <v>6</v>
      </c>
      <c r="I321" s="52">
        <f>200+400+300+300</f>
        <v>1200</v>
      </c>
      <c r="J321" s="53">
        <v>3</v>
      </c>
      <c r="K321" s="54" t="s">
        <v>512</v>
      </c>
      <c r="L321" s="52">
        <v>725</v>
      </c>
      <c r="M321" s="53">
        <v>2</v>
      </c>
      <c r="N321" s="53" t="s">
        <v>513</v>
      </c>
      <c r="O321" s="73">
        <v>560</v>
      </c>
      <c r="P321" s="54">
        <v>7</v>
      </c>
      <c r="Q321" s="73">
        <v>320</v>
      </c>
      <c r="R321" s="53">
        <v>4</v>
      </c>
      <c r="S321" s="57"/>
      <c r="T321" s="60"/>
      <c r="U321" s="61"/>
      <c r="V321" s="56">
        <v>675</v>
      </c>
      <c r="W321" s="54">
        <v>2</v>
      </c>
      <c r="X321" s="54" t="s">
        <v>514</v>
      </c>
      <c r="Y321" s="96">
        <f>200+200</f>
        <v>400</v>
      </c>
      <c r="Z321" s="54">
        <v>1</v>
      </c>
      <c r="AA321" s="55" t="s">
        <v>511</v>
      </c>
      <c r="AB321" s="56"/>
      <c r="AC321" s="54"/>
      <c r="AD321" s="6">
        <f>B321+F321-L321-V321-Q321-AC321-AE321</f>
        <v>100</v>
      </c>
      <c r="AE321" s="49">
        <v>15</v>
      </c>
      <c r="AF321" s="5" t="s">
        <v>15</v>
      </c>
    </row>
    <row r="322" spans="1:32" ht="15.75" thickBot="1">
      <c r="A322" s="11">
        <v>44146</v>
      </c>
      <c r="B322" s="2">
        <f t="shared" si="14"/>
        <v>15</v>
      </c>
      <c r="C322" s="3">
        <v>14630</v>
      </c>
      <c r="D322" s="4">
        <v>9450</v>
      </c>
      <c r="E322" s="124"/>
      <c r="F322" s="10">
        <f t="shared" si="15"/>
        <v>5180</v>
      </c>
      <c r="G322" s="3"/>
      <c r="H322" s="4"/>
      <c r="I322" s="52">
        <v>300</v>
      </c>
      <c r="J322" s="53">
        <v>1</v>
      </c>
      <c r="K322" s="54" t="s">
        <v>382</v>
      </c>
      <c r="L322" s="52">
        <v>400</v>
      </c>
      <c r="M322" s="53">
        <v>1</v>
      </c>
      <c r="N322" s="53" t="s">
        <v>515</v>
      </c>
      <c r="O322" s="73"/>
      <c r="P322" s="54"/>
      <c r="Q322" s="73"/>
      <c r="R322" s="53"/>
      <c r="S322" s="57"/>
      <c r="T322" s="60">
        <v>240</v>
      </c>
      <c r="U322" s="61">
        <v>3</v>
      </c>
      <c r="V322" s="56"/>
      <c r="W322" s="54"/>
      <c r="X322" s="54"/>
      <c r="Y322" s="96">
        <v>350</v>
      </c>
      <c r="Z322" s="54">
        <v>1</v>
      </c>
      <c r="AA322" s="55" t="s">
        <v>197</v>
      </c>
      <c r="AB322" s="56"/>
      <c r="AC322" s="54"/>
      <c r="AD322" s="6">
        <f>B322+F322-I322-L322-V322-G322-Q322-AC322-AE322-600</f>
        <v>3800</v>
      </c>
      <c r="AE322" s="49">
        <v>95</v>
      </c>
      <c r="AF322" s="5" t="s">
        <v>15</v>
      </c>
    </row>
    <row r="323" spans="1:32" ht="15.75" thickBot="1">
      <c r="A323" s="11">
        <v>44147</v>
      </c>
      <c r="B323" s="2">
        <f t="shared" si="14"/>
        <v>95</v>
      </c>
      <c r="C323" s="3">
        <v>12660</v>
      </c>
      <c r="D323" s="4">
        <v>5750</v>
      </c>
      <c r="E323" s="124"/>
      <c r="F323" s="10">
        <f t="shared" si="15"/>
        <v>6910</v>
      </c>
      <c r="G323" s="3">
        <v>480</v>
      </c>
      <c r="H323" s="4">
        <v>6</v>
      </c>
      <c r="I323" s="52">
        <v>1400</v>
      </c>
      <c r="J323" s="53">
        <v>4</v>
      </c>
      <c r="K323" s="54" t="s">
        <v>519</v>
      </c>
      <c r="L323" s="52">
        <v>1265</v>
      </c>
      <c r="M323" s="53">
        <v>1</v>
      </c>
      <c r="N323" s="53" t="s">
        <v>518</v>
      </c>
      <c r="O323" s="73">
        <v>480</v>
      </c>
      <c r="P323" s="54">
        <v>6</v>
      </c>
      <c r="Q323" s="73">
        <v>320</v>
      </c>
      <c r="R323" s="53">
        <v>4</v>
      </c>
      <c r="S323" s="57"/>
      <c r="T323" s="60"/>
      <c r="U323" s="61"/>
      <c r="V323" s="56">
        <v>1575</v>
      </c>
      <c r="W323" s="54">
        <v>5</v>
      </c>
      <c r="X323" s="54" t="s">
        <v>520</v>
      </c>
      <c r="Y323" s="96">
        <v>400</v>
      </c>
      <c r="Z323" s="54">
        <v>1</v>
      </c>
      <c r="AA323" s="55" t="s">
        <v>517</v>
      </c>
      <c r="AB323" s="56"/>
      <c r="AC323" s="54"/>
      <c r="AD323" s="6">
        <v>1950</v>
      </c>
      <c r="AE323" s="49">
        <v>15</v>
      </c>
      <c r="AF323" s="5" t="s">
        <v>15</v>
      </c>
    </row>
    <row r="324" spans="1:32" ht="15.75" thickBot="1">
      <c r="A324" s="11">
        <v>44148</v>
      </c>
      <c r="B324" s="2">
        <f t="shared" si="14"/>
        <v>15</v>
      </c>
      <c r="C324" s="3">
        <f>13790+540+400</f>
        <v>14730</v>
      </c>
      <c r="D324" s="4">
        <f>11180+540+400</f>
        <v>12120</v>
      </c>
      <c r="E324" s="124"/>
      <c r="F324" s="10">
        <f t="shared" si="15"/>
        <v>2610</v>
      </c>
      <c r="G324" s="3"/>
      <c r="H324" s="4"/>
      <c r="I324" s="52">
        <f>300+200</f>
        <v>500</v>
      </c>
      <c r="J324" s="53">
        <v>1</v>
      </c>
      <c r="K324" s="54" t="s">
        <v>521</v>
      </c>
      <c r="L324" s="52"/>
      <c r="M324" s="53"/>
      <c r="N324" s="53"/>
      <c r="O324" s="52"/>
      <c r="P324" s="54"/>
      <c r="Q324" s="73"/>
      <c r="R324" s="53"/>
      <c r="S324" s="57"/>
      <c r="T324" s="60">
        <v>480</v>
      </c>
      <c r="U324" s="61">
        <v>6</v>
      </c>
      <c r="V324" s="56"/>
      <c r="W324" s="54"/>
      <c r="X324" s="54"/>
      <c r="Y324" s="96"/>
      <c r="Z324" s="54"/>
      <c r="AA324" s="55"/>
      <c r="AB324" s="56"/>
      <c r="AC324" s="54"/>
      <c r="AD324" s="6">
        <f t="shared" si="16"/>
        <v>2100</v>
      </c>
      <c r="AE324" s="49">
        <v>25</v>
      </c>
      <c r="AF324" s="5" t="s">
        <v>15</v>
      </c>
    </row>
    <row r="325" spans="1:32" ht="15.75" thickBot="1">
      <c r="A325" s="11">
        <v>44149</v>
      </c>
      <c r="B325" s="2">
        <f t="shared" si="14"/>
        <v>25</v>
      </c>
      <c r="C325" s="3">
        <v>4030</v>
      </c>
      <c r="D325" s="4">
        <v>1370</v>
      </c>
      <c r="E325" s="124"/>
      <c r="F325" s="10">
        <f t="shared" si="15"/>
        <v>2660</v>
      </c>
      <c r="G325" s="3"/>
      <c r="H325" s="4"/>
      <c r="I325" s="52">
        <v>300</v>
      </c>
      <c r="J325" s="53">
        <v>1</v>
      </c>
      <c r="K325" s="54" t="s">
        <v>399</v>
      </c>
      <c r="L325" s="52"/>
      <c r="M325" s="53"/>
      <c r="N325" s="53"/>
      <c r="O325" s="52"/>
      <c r="P325" s="54"/>
      <c r="Q325" s="73"/>
      <c r="R325" s="53"/>
      <c r="S325" s="57"/>
      <c r="T325" s="60"/>
      <c r="U325" s="61"/>
      <c r="V325" s="56"/>
      <c r="W325" s="54"/>
      <c r="X325" s="54"/>
      <c r="Y325" s="96"/>
      <c r="Z325" s="54"/>
      <c r="AA325" s="55"/>
      <c r="AB325" s="56"/>
      <c r="AC325" s="54"/>
      <c r="AD325" s="6">
        <v>2300</v>
      </c>
      <c r="AE325" s="49">
        <v>85</v>
      </c>
      <c r="AF325" s="5" t="s">
        <v>15</v>
      </c>
    </row>
    <row r="326" spans="1:32" ht="15.75" thickBot="1">
      <c r="A326" s="11">
        <v>44150</v>
      </c>
      <c r="B326" s="2">
        <f t="shared" si="14"/>
        <v>85</v>
      </c>
      <c r="C326" s="3">
        <v>7920</v>
      </c>
      <c r="D326" s="4">
        <v>6580</v>
      </c>
      <c r="E326" s="124"/>
      <c r="F326" s="10">
        <f t="shared" si="15"/>
        <v>1340</v>
      </c>
      <c r="G326" s="3"/>
      <c r="H326" s="4"/>
      <c r="I326" s="52">
        <v>300</v>
      </c>
      <c r="J326" s="53">
        <v>1</v>
      </c>
      <c r="K326" s="54" t="s">
        <v>347</v>
      </c>
      <c r="L326" s="52">
        <v>1125</v>
      </c>
      <c r="M326" s="53">
        <v>3</v>
      </c>
      <c r="N326" s="53" t="s">
        <v>522</v>
      </c>
      <c r="O326" s="96">
        <v>160</v>
      </c>
      <c r="P326" s="54">
        <v>2</v>
      </c>
      <c r="Q326" s="73">
        <v>240</v>
      </c>
      <c r="R326" s="53">
        <v>3</v>
      </c>
      <c r="S326" s="57"/>
      <c r="T326" s="60"/>
      <c r="U326" s="61"/>
      <c r="V326" s="56"/>
      <c r="W326" s="54"/>
      <c r="X326" s="54"/>
      <c r="Y326" s="96">
        <v>350</v>
      </c>
      <c r="Z326" s="54">
        <v>1</v>
      </c>
      <c r="AA326" s="55" t="s">
        <v>197</v>
      </c>
      <c r="AB326" s="56"/>
      <c r="AC326" s="54"/>
      <c r="AD326" s="6">
        <f>B326+F326-I326-L326-V326-G326-Q326-AC326-AE326</f>
        <v>-330</v>
      </c>
      <c r="AE326" s="49">
        <v>90</v>
      </c>
      <c r="AF326" s="5" t="s">
        <v>15</v>
      </c>
    </row>
    <row r="327" spans="1:32" ht="15.75" thickBot="1">
      <c r="A327" s="11">
        <v>44151</v>
      </c>
      <c r="B327" s="2">
        <f t="shared" si="14"/>
        <v>90</v>
      </c>
      <c r="C327" s="3">
        <v>40330</v>
      </c>
      <c r="D327" s="4">
        <v>28500</v>
      </c>
      <c r="E327" s="124"/>
      <c r="F327" s="10">
        <f t="shared" si="15"/>
        <v>11830</v>
      </c>
      <c r="G327" s="3"/>
      <c r="H327" s="4"/>
      <c r="I327" s="52">
        <f>450+315+400+200</f>
        <v>1365</v>
      </c>
      <c r="J327" s="53">
        <v>1</v>
      </c>
      <c r="K327" s="54" t="s">
        <v>526</v>
      </c>
      <c r="L327" s="52">
        <f>350+540</f>
        <v>890</v>
      </c>
      <c r="M327" s="53">
        <v>1</v>
      </c>
      <c r="N327" s="53" t="s">
        <v>518</v>
      </c>
      <c r="O327" s="96"/>
      <c r="P327" s="54"/>
      <c r="Q327" s="52"/>
      <c r="R327" s="53"/>
      <c r="S327" s="57"/>
      <c r="T327" s="60">
        <v>240</v>
      </c>
      <c r="U327" s="61">
        <v>3</v>
      </c>
      <c r="V327" s="56">
        <f>300+325+500+300</f>
        <v>1425</v>
      </c>
      <c r="W327" s="54">
        <v>1</v>
      </c>
      <c r="X327" s="54" t="s">
        <v>527</v>
      </c>
      <c r="Y327" s="96">
        <f>350+350+400</f>
        <v>1100</v>
      </c>
      <c r="Z327" s="54">
        <v>3</v>
      </c>
      <c r="AA327" s="55" t="s">
        <v>528</v>
      </c>
      <c r="AB327" s="56"/>
      <c r="AC327" s="54"/>
      <c r="AD327" s="6">
        <f>B327+F327-I327-L327-V327-G327-Q327-AC327-AE327</f>
        <v>8200</v>
      </c>
      <c r="AE327" s="49">
        <v>40</v>
      </c>
      <c r="AF327" s="5" t="s">
        <v>15</v>
      </c>
    </row>
    <row r="328" spans="1:32" ht="15.75" thickBot="1">
      <c r="A328" s="11">
        <v>44152</v>
      </c>
      <c r="B328" s="2">
        <f t="shared" ref="B328:B391" si="17">AE327</f>
        <v>40</v>
      </c>
      <c r="C328" s="3">
        <v>13890</v>
      </c>
      <c r="D328" s="4">
        <v>11890</v>
      </c>
      <c r="E328" s="124"/>
      <c r="F328" s="10">
        <f t="shared" ref="F328:F369" si="18">C328-D328</f>
        <v>2000</v>
      </c>
      <c r="G328" s="3">
        <v>560</v>
      </c>
      <c r="H328" s="4">
        <v>7</v>
      </c>
      <c r="I328" s="52">
        <v>1250</v>
      </c>
      <c r="J328" s="53">
        <v>4</v>
      </c>
      <c r="K328" s="54" t="s">
        <v>529</v>
      </c>
      <c r="L328" s="52">
        <v>325</v>
      </c>
      <c r="M328" s="53">
        <v>1</v>
      </c>
      <c r="N328" s="53" t="s">
        <v>120</v>
      </c>
      <c r="O328" s="96">
        <v>480</v>
      </c>
      <c r="P328" s="54">
        <v>6</v>
      </c>
      <c r="Q328" s="52">
        <v>320</v>
      </c>
      <c r="R328" s="53">
        <v>4</v>
      </c>
      <c r="S328" s="57"/>
      <c r="T328" s="60"/>
      <c r="U328" s="61"/>
      <c r="V328" s="56">
        <v>1125</v>
      </c>
      <c r="W328" s="54">
        <v>3</v>
      </c>
      <c r="X328" s="54" t="s">
        <v>530</v>
      </c>
      <c r="Y328" s="96"/>
      <c r="Z328" s="54"/>
      <c r="AA328" s="55"/>
      <c r="AB328" s="56"/>
      <c r="AC328" s="54"/>
      <c r="AD328" s="6">
        <f t="shared" si="16"/>
        <v>-1540</v>
      </c>
      <c r="AE328" s="49">
        <v>0</v>
      </c>
      <c r="AF328" s="5" t="s">
        <v>15</v>
      </c>
    </row>
    <row r="329" spans="1:32" ht="15.75" thickBot="1">
      <c r="A329" s="11">
        <v>44153</v>
      </c>
      <c r="B329" s="2">
        <f t="shared" si="17"/>
        <v>0</v>
      </c>
      <c r="C329" s="3">
        <v>12660</v>
      </c>
      <c r="D329" s="4">
        <v>10330</v>
      </c>
      <c r="E329" s="124"/>
      <c r="F329" s="10">
        <f t="shared" si="18"/>
        <v>2330</v>
      </c>
      <c r="G329" s="3"/>
      <c r="H329" s="4"/>
      <c r="I329" s="52">
        <f>200+350+400</f>
        <v>950</v>
      </c>
      <c r="J329" s="53"/>
      <c r="K329" s="54" t="s">
        <v>535</v>
      </c>
      <c r="L329" s="52">
        <f>400+400</f>
        <v>800</v>
      </c>
      <c r="M329" s="53">
        <v>2</v>
      </c>
      <c r="N329" s="53" t="s">
        <v>534</v>
      </c>
      <c r="O329" s="96"/>
      <c r="P329" s="54"/>
      <c r="Q329" s="52"/>
      <c r="R329" s="53"/>
      <c r="S329" s="57"/>
      <c r="T329" s="60"/>
      <c r="U329" s="61"/>
      <c r="V329" s="56">
        <f>350+300+300</f>
        <v>950</v>
      </c>
      <c r="W329" s="54">
        <v>3</v>
      </c>
      <c r="X329" s="54" t="s">
        <v>531</v>
      </c>
      <c r="Y329" s="96">
        <f>400+400+350</f>
        <v>1150</v>
      </c>
      <c r="Z329" s="54">
        <v>3</v>
      </c>
      <c r="AA329" s="55" t="s">
        <v>533</v>
      </c>
      <c r="AB329" s="56"/>
      <c r="AC329" s="54"/>
      <c r="AD329" s="6">
        <f>B329+F329-I329-L329-G329-Q329-AC329-AE329</f>
        <v>500</v>
      </c>
      <c r="AE329" s="49">
        <v>80</v>
      </c>
      <c r="AF329" s="5" t="s">
        <v>15</v>
      </c>
    </row>
    <row r="330" spans="1:32" ht="15.75" thickBot="1">
      <c r="A330" s="11">
        <v>44154</v>
      </c>
      <c r="B330" s="2">
        <f t="shared" si="17"/>
        <v>80</v>
      </c>
      <c r="C330" s="3">
        <v>15710</v>
      </c>
      <c r="D330" s="4">
        <v>9350</v>
      </c>
      <c r="E330" s="124"/>
      <c r="F330" s="10">
        <f t="shared" si="18"/>
        <v>6360</v>
      </c>
      <c r="G330" s="3"/>
      <c r="H330" s="4"/>
      <c r="I330" s="52">
        <f>450+300+315+200+200</f>
        <v>1465</v>
      </c>
      <c r="J330" s="53">
        <f>3+1+1</f>
        <v>5</v>
      </c>
      <c r="K330" s="54" t="s">
        <v>537</v>
      </c>
      <c r="L330" s="52">
        <f>325+540</f>
        <v>865</v>
      </c>
      <c r="M330" s="53">
        <v>1</v>
      </c>
      <c r="N330" s="53" t="s">
        <v>540</v>
      </c>
      <c r="O330" s="96">
        <v>480</v>
      </c>
      <c r="P330" s="54">
        <v>6</v>
      </c>
      <c r="Q330" s="52">
        <v>400</v>
      </c>
      <c r="R330" s="53">
        <v>5</v>
      </c>
      <c r="S330" s="57"/>
      <c r="T330" s="60"/>
      <c r="U330" s="61"/>
      <c r="V330" s="56">
        <f>300+400+500</f>
        <v>1200</v>
      </c>
      <c r="W330" s="54">
        <f>1+1+2</f>
        <v>4</v>
      </c>
      <c r="X330" s="54" t="s">
        <v>539</v>
      </c>
      <c r="Y330" s="96">
        <v>500</v>
      </c>
      <c r="Z330" s="54">
        <v>2</v>
      </c>
      <c r="AA330" s="55" t="s">
        <v>536</v>
      </c>
      <c r="AB330" s="56"/>
      <c r="AC330" s="54"/>
      <c r="AD330" s="6">
        <f>B330+F330-I330-G330-Q330-AC330-AE330</f>
        <v>4400</v>
      </c>
      <c r="AE330" s="49">
        <v>175</v>
      </c>
      <c r="AF330" s="5" t="s">
        <v>15</v>
      </c>
    </row>
    <row r="331" spans="1:32" ht="15.75" thickBot="1">
      <c r="A331" s="11">
        <v>44155</v>
      </c>
      <c r="B331" s="2">
        <f t="shared" si="17"/>
        <v>175</v>
      </c>
      <c r="C331" s="3">
        <v>5540</v>
      </c>
      <c r="D331" s="4">
        <v>2090</v>
      </c>
      <c r="E331" s="124"/>
      <c r="F331" s="10">
        <f t="shared" si="18"/>
        <v>3450</v>
      </c>
      <c r="G331" s="3"/>
      <c r="H331" s="4"/>
      <c r="I331" s="52">
        <v>400</v>
      </c>
      <c r="J331" s="53">
        <v>2</v>
      </c>
      <c r="K331" s="54" t="s">
        <v>298</v>
      </c>
      <c r="L331" s="52">
        <f>325+350</f>
        <v>675</v>
      </c>
      <c r="M331" s="53">
        <v>2</v>
      </c>
      <c r="N331" s="53" t="s">
        <v>541</v>
      </c>
      <c r="O331" s="96"/>
      <c r="P331" s="54"/>
      <c r="Q331" s="52"/>
      <c r="R331" s="53"/>
      <c r="S331" s="57"/>
      <c r="T331" s="60"/>
      <c r="U331" s="61"/>
      <c r="V331" s="56">
        <f>350+250+350</f>
        <v>950</v>
      </c>
      <c r="W331" s="54">
        <v>1</v>
      </c>
      <c r="X331" s="54" t="s">
        <v>542</v>
      </c>
      <c r="Y331" s="96">
        <f>400+400</f>
        <v>800</v>
      </c>
      <c r="Z331" s="54">
        <v>2</v>
      </c>
      <c r="AA331" s="55" t="s">
        <v>532</v>
      </c>
      <c r="AB331" s="56"/>
      <c r="AC331" s="54"/>
      <c r="AD331" s="6">
        <f>B331+F331-I331-1000-G331-Q331-AC331-AE331</f>
        <v>2100</v>
      </c>
      <c r="AE331" s="49">
        <v>125</v>
      </c>
      <c r="AF331" s="5" t="s">
        <v>15</v>
      </c>
    </row>
    <row r="332" spans="1:32" ht="15.75" thickBot="1">
      <c r="A332" s="11">
        <v>44156</v>
      </c>
      <c r="B332" s="2">
        <f t="shared" si="17"/>
        <v>125</v>
      </c>
      <c r="C332" s="3">
        <v>3270</v>
      </c>
      <c r="D332" s="4">
        <v>2410</v>
      </c>
      <c r="E332" s="124"/>
      <c r="F332" s="10">
        <f t="shared" si="18"/>
        <v>860</v>
      </c>
      <c r="G332" s="3"/>
      <c r="H332" s="4"/>
      <c r="I332" s="52">
        <v>600</v>
      </c>
      <c r="J332" s="53">
        <v>2</v>
      </c>
      <c r="K332" s="54" t="s">
        <v>544</v>
      </c>
      <c r="L332" s="52"/>
      <c r="M332" s="53"/>
      <c r="N332" s="53"/>
      <c r="O332" s="96"/>
      <c r="P332" s="54"/>
      <c r="Q332" s="52"/>
      <c r="R332" s="53"/>
      <c r="S332" s="57"/>
      <c r="T332" s="60"/>
      <c r="U332" s="61"/>
      <c r="V332" s="56">
        <v>750</v>
      </c>
      <c r="W332" s="54">
        <v>1</v>
      </c>
      <c r="X332" s="54" t="s">
        <v>545</v>
      </c>
      <c r="Y332" s="96">
        <v>350</v>
      </c>
      <c r="Z332" s="54">
        <v>1</v>
      </c>
      <c r="AA332" s="55" t="s">
        <v>543</v>
      </c>
      <c r="AB332" s="56"/>
      <c r="AC332" s="54"/>
      <c r="AD332" s="6">
        <f>B332+F332-I332-L332-V332-G332-Q332-AC332-AE332</f>
        <v>-500</v>
      </c>
      <c r="AE332" s="49">
        <v>135</v>
      </c>
      <c r="AF332" s="5" t="s">
        <v>15</v>
      </c>
    </row>
    <row r="333" spans="1:32" ht="15.75" thickBot="1">
      <c r="A333" s="11">
        <v>44157</v>
      </c>
      <c r="B333" s="2">
        <f t="shared" si="17"/>
        <v>135</v>
      </c>
      <c r="C333" s="3">
        <v>5640</v>
      </c>
      <c r="D333" s="4">
        <v>3630</v>
      </c>
      <c r="E333" s="124"/>
      <c r="F333" s="10">
        <f t="shared" si="18"/>
        <v>2010</v>
      </c>
      <c r="G333" s="3"/>
      <c r="H333" s="4"/>
      <c r="I333" s="52"/>
      <c r="J333" s="53"/>
      <c r="K333" s="54"/>
      <c r="L333" s="52">
        <v>400</v>
      </c>
      <c r="M333" s="53">
        <v>1</v>
      </c>
      <c r="N333" s="53" t="s">
        <v>515</v>
      </c>
      <c r="O333" s="96">
        <v>320</v>
      </c>
      <c r="P333" s="54">
        <v>4</v>
      </c>
      <c r="Q333" s="52">
        <v>400</v>
      </c>
      <c r="R333" s="53">
        <v>5</v>
      </c>
      <c r="S333" s="57"/>
      <c r="T333" s="60"/>
      <c r="U333" s="61"/>
      <c r="V333" s="56">
        <v>350</v>
      </c>
      <c r="W333" s="54">
        <v>1</v>
      </c>
      <c r="X333" s="54" t="s">
        <v>546</v>
      </c>
      <c r="Y333" s="96">
        <v>350</v>
      </c>
      <c r="Z333" s="54">
        <v>1</v>
      </c>
      <c r="AA333" s="55" t="s">
        <v>197</v>
      </c>
      <c r="AB333" s="56"/>
      <c r="AC333" s="54"/>
      <c r="AD333" s="6">
        <v>900</v>
      </c>
      <c r="AE333" s="49">
        <v>0</v>
      </c>
      <c r="AF333" s="5" t="s">
        <v>15</v>
      </c>
    </row>
    <row r="334" spans="1:32" ht="15.75" thickBot="1">
      <c r="A334" s="11">
        <v>44158</v>
      </c>
      <c r="B334" s="2">
        <f t="shared" si="17"/>
        <v>0</v>
      </c>
      <c r="C334" s="3">
        <v>21420</v>
      </c>
      <c r="D334" s="4">
        <v>16190</v>
      </c>
      <c r="E334" s="124"/>
      <c r="F334" s="10">
        <f t="shared" si="18"/>
        <v>5230</v>
      </c>
      <c r="G334" s="3"/>
      <c r="H334" s="4"/>
      <c r="I334" s="52">
        <v>400</v>
      </c>
      <c r="J334" s="53">
        <v>2</v>
      </c>
      <c r="K334" s="54" t="s">
        <v>298</v>
      </c>
      <c r="L334" s="52">
        <v>940</v>
      </c>
      <c r="M334" s="53">
        <v>2</v>
      </c>
      <c r="N334" s="53" t="s">
        <v>548</v>
      </c>
      <c r="O334" s="96"/>
      <c r="P334" s="54"/>
      <c r="Q334" s="52"/>
      <c r="R334" s="53"/>
      <c r="S334" s="57"/>
      <c r="T334" s="60"/>
      <c r="U334" s="61"/>
      <c r="V334" s="56">
        <v>1800</v>
      </c>
      <c r="W334" s="54">
        <v>5</v>
      </c>
      <c r="X334" s="54" t="s">
        <v>547</v>
      </c>
      <c r="Y334" s="96">
        <v>1550</v>
      </c>
      <c r="Z334" s="54">
        <v>6</v>
      </c>
      <c r="AA334" s="55" t="s">
        <v>549</v>
      </c>
      <c r="AB334" s="56"/>
      <c r="AC334" s="54"/>
      <c r="AD334" s="6">
        <v>1900</v>
      </c>
      <c r="AE334" s="49">
        <v>105</v>
      </c>
      <c r="AF334" s="5" t="s">
        <v>15</v>
      </c>
    </row>
    <row r="335" spans="1:32" ht="15.75" thickBot="1">
      <c r="A335" s="11">
        <v>44159</v>
      </c>
      <c r="B335" s="2">
        <f t="shared" si="17"/>
        <v>105</v>
      </c>
      <c r="C335" s="3">
        <v>15120</v>
      </c>
      <c r="D335" s="4">
        <v>9670</v>
      </c>
      <c r="E335" s="124"/>
      <c r="F335" s="10">
        <f t="shared" si="18"/>
        <v>5450</v>
      </c>
      <c r="G335" s="3">
        <f>80*H335</f>
        <v>480</v>
      </c>
      <c r="H335" s="4">
        <v>6</v>
      </c>
      <c r="I335" s="52">
        <v>300</v>
      </c>
      <c r="J335" s="53">
        <v>1</v>
      </c>
      <c r="K335" s="54" t="s">
        <v>399</v>
      </c>
      <c r="L335" s="52">
        <v>325</v>
      </c>
      <c r="M335" s="53">
        <v>1</v>
      </c>
      <c r="N335" s="53" t="s">
        <v>120</v>
      </c>
      <c r="O335" s="96">
        <f>80*4</f>
        <v>320</v>
      </c>
      <c r="P335" s="54">
        <v>4</v>
      </c>
      <c r="Q335" s="52">
        <v>400</v>
      </c>
      <c r="R335" s="53">
        <v>5</v>
      </c>
      <c r="S335" s="57"/>
      <c r="T335" s="60"/>
      <c r="U335" s="61"/>
      <c r="V335" s="56">
        <f>350+300+450</f>
        <v>1100</v>
      </c>
      <c r="W335" s="54">
        <v>2</v>
      </c>
      <c r="X335" s="54" t="s">
        <v>550</v>
      </c>
      <c r="Y335" s="96">
        <f>350+350</f>
        <v>700</v>
      </c>
      <c r="Z335" s="54">
        <v>2</v>
      </c>
      <c r="AA335" s="55" t="s">
        <v>551</v>
      </c>
      <c r="AB335" s="56"/>
      <c r="AC335" s="54"/>
      <c r="AD335" s="6">
        <f>B335+F335-I335-L335-V335-G335-Q335-AC335-AE335</f>
        <v>2950</v>
      </c>
      <c r="AE335" s="49">
        <v>0</v>
      </c>
      <c r="AF335" s="5" t="s">
        <v>15</v>
      </c>
    </row>
    <row r="336" spans="1:32" ht="15.75" thickBot="1">
      <c r="A336" s="11">
        <v>44160</v>
      </c>
      <c r="B336" s="2">
        <f t="shared" si="17"/>
        <v>0</v>
      </c>
      <c r="C336" s="3">
        <v>17900</v>
      </c>
      <c r="D336" s="4">
        <v>8860</v>
      </c>
      <c r="E336" s="124"/>
      <c r="F336" s="10">
        <f t="shared" si="18"/>
        <v>9040</v>
      </c>
      <c r="G336" s="3"/>
      <c r="H336" s="4"/>
      <c r="I336" s="52">
        <v>1000</v>
      </c>
      <c r="J336" s="53">
        <v>3</v>
      </c>
      <c r="K336" s="54" t="s">
        <v>554</v>
      </c>
      <c r="L336" s="96">
        <v>350</v>
      </c>
      <c r="M336" s="53">
        <v>1</v>
      </c>
      <c r="N336" s="53" t="s">
        <v>516</v>
      </c>
      <c r="O336" s="96"/>
      <c r="P336" s="54"/>
      <c r="Q336" s="52"/>
      <c r="R336" s="53"/>
      <c r="S336" s="57"/>
      <c r="T336" s="60"/>
      <c r="U336" s="61"/>
      <c r="V336" s="56">
        <v>1000</v>
      </c>
      <c r="W336" s="54">
        <v>3</v>
      </c>
      <c r="X336" s="54" t="s">
        <v>555</v>
      </c>
      <c r="Y336" s="96">
        <v>1150</v>
      </c>
      <c r="Z336" s="54">
        <v>3</v>
      </c>
      <c r="AA336" s="55" t="s">
        <v>552</v>
      </c>
      <c r="AB336" s="56"/>
      <c r="AC336" s="54" t="s">
        <v>553</v>
      </c>
      <c r="AD336" s="6">
        <v>6650</v>
      </c>
      <c r="AE336" s="49">
        <v>40</v>
      </c>
      <c r="AF336" s="5" t="s">
        <v>15</v>
      </c>
    </row>
    <row r="337" spans="1:32" ht="15.75" thickBot="1">
      <c r="A337" s="11">
        <v>44161</v>
      </c>
      <c r="B337" s="2">
        <f t="shared" si="17"/>
        <v>40</v>
      </c>
      <c r="C337" s="3">
        <v>23440</v>
      </c>
      <c r="D337" s="4">
        <v>10620</v>
      </c>
      <c r="E337" s="124"/>
      <c r="F337" s="10">
        <f t="shared" si="18"/>
        <v>12820</v>
      </c>
      <c r="G337" s="3">
        <f>H337*80</f>
        <v>480</v>
      </c>
      <c r="H337" s="4">
        <v>6</v>
      </c>
      <c r="I337" s="52">
        <f>450+300+200+200</f>
        <v>1150</v>
      </c>
      <c r="J337" s="53">
        <v>1</v>
      </c>
      <c r="K337" s="54" t="s">
        <v>556</v>
      </c>
      <c r="L337" s="52">
        <f>540+325+400</f>
        <v>1265</v>
      </c>
      <c r="M337" s="53">
        <f>1+2+2</f>
        <v>5</v>
      </c>
      <c r="N337" s="53" t="s">
        <v>557</v>
      </c>
      <c r="O337" s="96">
        <f>P337*80</f>
        <v>480</v>
      </c>
      <c r="P337" s="54">
        <v>6</v>
      </c>
      <c r="Q337" s="52">
        <f>7*80</f>
        <v>560</v>
      </c>
      <c r="R337" s="53">
        <v>7</v>
      </c>
      <c r="S337" s="57"/>
      <c r="T337" s="60"/>
      <c r="U337" s="61"/>
      <c r="V337" s="56">
        <f>350</f>
        <v>350</v>
      </c>
      <c r="W337" s="54">
        <v>1</v>
      </c>
      <c r="X337" s="54" t="s">
        <v>269</v>
      </c>
      <c r="Y337" s="96">
        <f>350+350</f>
        <v>700</v>
      </c>
      <c r="Z337" s="54">
        <v>2</v>
      </c>
      <c r="AA337" s="55" t="s">
        <v>558</v>
      </c>
      <c r="AB337" s="56" t="s">
        <v>559</v>
      </c>
      <c r="AC337" s="54">
        <v>3500</v>
      </c>
      <c r="AD337" s="6">
        <f>B337+F337-I337-L337-V337-G337-Q337-AC337-AE337</f>
        <v>5550</v>
      </c>
      <c r="AE337" s="49">
        <v>5</v>
      </c>
      <c r="AF337" s="5" t="s">
        <v>15</v>
      </c>
    </row>
    <row r="338" spans="1:32" ht="15.75" thickBot="1">
      <c r="A338" s="11">
        <v>44162</v>
      </c>
      <c r="B338" s="2">
        <f t="shared" si="17"/>
        <v>5</v>
      </c>
      <c r="C338" s="3">
        <v>12680</v>
      </c>
      <c r="D338" s="4">
        <v>4770</v>
      </c>
      <c r="E338" s="124"/>
      <c r="F338" s="10">
        <f t="shared" si="18"/>
        <v>7910</v>
      </c>
      <c r="G338" s="3"/>
      <c r="H338" s="4"/>
      <c r="I338" s="52"/>
      <c r="J338" s="53"/>
      <c r="K338" s="54"/>
      <c r="L338" s="52"/>
      <c r="M338" s="53"/>
      <c r="N338" s="53"/>
      <c r="O338" s="96"/>
      <c r="P338" s="54"/>
      <c r="Q338" s="52"/>
      <c r="R338" s="53"/>
      <c r="S338" s="57"/>
      <c r="T338" s="60"/>
      <c r="U338" s="61"/>
      <c r="V338" s="56"/>
      <c r="W338" s="54"/>
      <c r="X338" s="54"/>
      <c r="Y338" s="96">
        <f>200+400</f>
        <v>600</v>
      </c>
      <c r="Z338" s="54">
        <v>2</v>
      </c>
      <c r="AA338" s="55" t="s">
        <v>560</v>
      </c>
      <c r="AB338" s="56"/>
      <c r="AC338" s="54"/>
      <c r="AD338" s="6">
        <f>B338+F338-I338-L338-V338-G338-Q338-AC338-AE338</f>
        <v>7900</v>
      </c>
      <c r="AE338" s="49">
        <v>15</v>
      </c>
      <c r="AF338" s="5" t="s">
        <v>15</v>
      </c>
    </row>
    <row r="339" spans="1:32" ht="15.75" thickBot="1">
      <c r="A339" s="11">
        <v>44163</v>
      </c>
      <c r="B339" s="2">
        <f t="shared" si="17"/>
        <v>15</v>
      </c>
      <c r="C339" s="3">
        <v>3450</v>
      </c>
      <c r="D339" s="4">
        <v>2110</v>
      </c>
      <c r="E339" s="124"/>
      <c r="F339" s="10">
        <f t="shared" si="18"/>
        <v>1340</v>
      </c>
      <c r="G339" s="3"/>
      <c r="H339" s="4"/>
      <c r="I339" s="52">
        <v>950</v>
      </c>
      <c r="J339" s="53">
        <v>4</v>
      </c>
      <c r="K339" s="54" t="s">
        <v>561</v>
      </c>
      <c r="L339" s="52"/>
      <c r="M339" s="53"/>
      <c r="N339" s="53"/>
      <c r="O339" s="96"/>
      <c r="P339" s="54"/>
      <c r="Q339" s="52"/>
      <c r="R339" s="53"/>
      <c r="S339" s="57"/>
      <c r="T339" s="60"/>
      <c r="U339" s="61"/>
      <c r="V339" s="56">
        <v>350</v>
      </c>
      <c r="W339" s="54">
        <v>1</v>
      </c>
      <c r="X339" s="54" t="s">
        <v>320</v>
      </c>
      <c r="Y339" s="96">
        <v>350</v>
      </c>
      <c r="Z339" s="54">
        <v>1</v>
      </c>
      <c r="AA339" s="55" t="s">
        <v>480</v>
      </c>
      <c r="AB339" s="56"/>
      <c r="AC339" s="54"/>
      <c r="AD339" s="6">
        <f>B339+F339-I339-L339-V339-G339-Q339-AC339-AE339</f>
        <v>0</v>
      </c>
      <c r="AE339" s="49">
        <v>55</v>
      </c>
      <c r="AF339" s="5" t="s">
        <v>15</v>
      </c>
    </row>
    <row r="340" spans="1:32" ht="15.75" thickBot="1">
      <c r="A340" s="11">
        <v>44164</v>
      </c>
      <c r="B340" s="2">
        <f t="shared" si="17"/>
        <v>55</v>
      </c>
      <c r="C340" s="3">
        <v>16490</v>
      </c>
      <c r="D340" s="4">
        <v>11980</v>
      </c>
      <c r="E340" s="124"/>
      <c r="F340" s="10">
        <f t="shared" si="18"/>
        <v>4510</v>
      </c>
      <c r="G340" s="3"/>
      <c r="H340" s="4"/>
      <c r="I340" s="52"/>
      <c r="J340" s="53"/>
      <c r="K340" s="54"/>
      <c r="L340" s="52">
        <f>325+400+325</f>
        <v>1050</v>
      </c>
      <c r="M340" s="53" t="s">
        <v>562</v>
      </c>
      <c r="N340" s="53" t="s">
        <v>564</v>
      </c>
      <c r="O340" s="96">
        <f>80*P340</f>
        <v>240</v>
      </c>
      <c r="P340" s="54">
        <v>3</v>
      </c>
      <c r="Q340" s="52">
        <f>80*R340</f>
        <v>400</v>
      </c>
      <c r="R340" s="53">
        <v>5</v>
      </c>
      <c r="S340" s="57"/>
      <c r="T340" s="60"/>
      <c r="U340" s="61"/>
      <c r="V340" s="56">
        <v>450</v>
      </c>
      <c r="W340" s="54">
        <v>2</v>
      </c>
      <c r="X340" s="54" t="s">
        <v>563</v>
      </c>
      <c r="Y340" s="96"/>
      <c r="Z340" s="54"/>
      <c r="AA340" s="55"/>
      <c r="AB340" s="56"/>
      <c r="AC340" s="54"/>
      <c r="AD340" s="6">
        <f>B340+F340-I340-L340-V340-G340-Q340-AC340-AE340</f>
        <v>2650</v>
      </c>
      <c r="AE340" s="49">
        <v>15</v>
      </c>
      <c r="AF340" s="5" t="s">
        <v>15</v>
      </c>
    </row>
    <row r="341" spans="1:32" ht="15.75" thickBot="1">
      <c r="A341" s="11">
        <v>44165</v>
      </c>
      <c r="B341" s="2">
        <f t="shared" si="17"/>
        <v>15</v>
      </c>
      <c r="C341" s="3">
        <f>18770+700</f>
        <v>19470</v>
      </c>
      <c r="D341" s="4">
        <v>15860</v>
      </c>
      <c r="E341" s="124"/>
      <c r="F341" s="10">
        <f t="shared" si="18"/>
        <v>3610</v>
      </c>
      <c r="G341" s="3"/>
      <c r="H341" s="4"/>
      <c r="I341" s="52">
        <f>450+400+400</f>
        <v>1250</v>
      </c>
      <c r="J341" s="53">
        <v>3</v>
      </c>
      <c r="K341" s="54" t="s">
        <v>566</v>
      </c>
      <c r="L341" s="96">
        <v>350</v>
      </c>
      <c r="M341" s="53">
        <v>1</v>
      </c>
      <c r="N341" s="53" t="s">
        <v>516</v>
      </c>
      <c r="O341" s="52"/>
      <c r="P341" s="54"/>
      <c r="Q341" s="52"/>
      <c r="R341" s="53"/>
      <c r="S341" s="57"/>
      <c r="T341" s="60">
        <v>160</v>
      </c>
      <c r="U341" s="61">
        <v>2</v>
      </c>
      <c r="V341" s="97">
        <f>400+300+400+350</f>
        <v>1450</v>
      </c>
      <c r="W341" s="54">
        <v>1</v>
      </c>
      <c r="X341" s="54" t="s">
        <v>565</v>
      </c>
      <c r="Y341" s="96">
        <f>400+400+350+350</f>
        <v>1500</v>
      </c>
      <c r="Z341" s="54">
        <v>1</v>
      </c>
      <c r="AA341" s="55" t="s">
        <v>567</v>
      </c>
      <c r="AB341" s="56"/>
      <c r="AC341" s="54"/>
      <c r="AD341" s="6">
        <f>B341+F341-1050-L341-V341-G341-Q341-AC341-AE341</f>
        <v>700</v>
      </c>
      <c r="AE341" s="49">
        <v>75</v>
      </c>
      <c r="AF341" s="5" t="s">
        <v>15</v>
      </c>
    </row>
    <row r="342" spans="1:32" ht="15.75" thickBot="1">
      <c r="A342" s="11">
        <v>44166</v>
      </c>
      <c r="B342" s="2">
        <f t="shared" si="17"/>
        <v>75</v>
      </c>
      <c r="C342" s="3">
        <v>18530</v>
      </c>
      <c r="D342" s="4">
        <v>16640</v>
      </c>
      <c r="E342" s="124"/>
      <c r="F342" s="10">
        <f t="shared" si="18"/>
        <v>1890</v>
      </c>
      <c r="G342" s="3">
        <f>80*H342</f>
        <v>480</v>
      </c>
      <c r="H342" s="4">
        <v>6</v>
      </c>
      <c r="I342" s="52">
        <v>300</v>
      </c>
      <c r="J342" s="53">
        <v>1</v>
      </c>
      <c r="K342" s="54" t="s">
        <v>399</v>
      </c>
      <c r="L342" s="52"/>
      <c r="M342" s="53"/>
      <c r="N342" s="53"/>
      <c r="O342" s="73">
        <v>240</v>
      </c>
      <c r="P342" s="54">
        <v>3</v>
      </c>
      <c r="Q342" s="52">
        <f>80*R342</f>
        <v>400</v>
      </c>
      <c r="R342" s="53">
        <v>5</v>
      </c>
      <c r="S342" s="57"/>
      <c r="T342" s="60"/>
      <c r="U342" s="106"/>
      <c r="V342" s="56">
        <f>300+450</f>
        <v>750</v>
      </c>
      <c r="W342" s="54">
        <v>1</v>
      </c>
      <c r="X342" s="54" t="s">
        <v>568</v>
      </c>
      <c r="Y342" s="73">
        <f>200+200</f>
        <v>400</v>
      </c>
      <c r="Z342" s="54">
        <v>2</v>
      </c>
      <c r="AA342" s="55" t="s">
        <v>569</v>
      </c>
      <c r="AB342" s="56"/>
      <c r="AC342" s="54"/>
      <c r="AD342" s="6">
        <f>B342+F342-I342-L342-V342-G342-Q342-AC342-AE342</f>
        <v>35</v>
      </c>
      <c r="AE342" s="49"/>
      <c r="AF342" s="5" t="s">
        <v>15</v>
      </c>
    </row>
    <row r="343" spans="1:32" ht="15.75" thickBot="1">
      <c r="A343" s="11">
        <v>44167</v>
      </c>
      <c r="B343" s="2">
        <f t="shared" si="17"/>
        <v>0</v>
      </c>
      <c r="C343" s="3">
        <v>9815</v>
      </c>
      <c r="D343" s="4">
        <v>2740</v>
      </c>
      <c r="E343" s="124"/>
      <c r="F343" s="10">
        <f t="shared" si="18"/>
        <v>7075</v>
      </c>
      <c r="G343" s="3"/>
      <c r="H343" s="4"/>
      <c r="I343" s="52">
        <f>250+400-200</f>
        <v>450</v>
      </c>
      <c r="J343" s="53">
        <v>1</v>
      </c>
      <c r="K343" s="54" t="s">
        <v>571</v>
      </c>
      <c r="L343" s="52">
        <f>350+400+325</f>
        <v>1075</v>
      </c>
      <c r="M343" s="53">
        <v>1</v>
      </c>
      <c r="N343" s="53" t="s">
        <v>573</v>
      </c>
      <c r="O343" s="73"/>
      <c r="P343" s="54"/>
      <c r="Q343" s="52"/>
      <c r="R343" s="53"/>
      <c r="S343" s="57"/>
      <c r="T343" s="60"/>
      <c r="U343" s="106"/>
      <c r="V343" s="97">
        <f>300+300+350</f>
        <v>950</v>
      </c>
      <c r="W343" s="54">
        <v>1</v>
      </c>
      <c r="X343" s="54" t="s">
        <v>570</v>
      </c>
      <c r="Y343" s="73">
        <f>400+350</f>
        <v>750</v>
      </c>
      <c r="Z343" s="54">
        <v>1</v>
      </c>
      <c r="AA343" s="55" t="s">
        <v>572</v>
      </c>
      <c r="AB343" s="56"/>
      <c r="AC343" s="54"/>
      <c r="AD343" s="6">
        <f>B343+F343-I343-L343-V343-G343-Q343-AC343-AE343</f>
        <v>4450</v>
      </c>
      <c r="AE343" s="49">
        <v>150</v>
      </c>
      <c r="AF343" s="5" t="s">
        <v>15</v>
      </c>
    </row>
    <row r="344" spans="1:32" ht="15.75" thickBot="1">
      <c r="A344" s="11">
        <v>44168</v>
      </c>
      <c r="B344" s="2">
        <f t="shared" si="17"/>
        <v>150</v>
      </c>
      <c r="C344" s="3">
        <f>8900+240</f>
        <v>9140</v>
      </c>
      <c r="D344" s="4">
        <v>8060</v>
      </c>
      <c r="E344" s="124"/>
      <c r="F344" s="10">
        <f t="shared" si="18"/>
        <v>1080</v>
      </c>
      <c r="G344" s="3">
        <f>100*H344</f>
        <v>500</v>
      </c>
      <c r="H344" s="4">
        <v>5</v>
      </c>
      <c r="I344" s="52">
        <f>450+300+300+200+200</f>
        <v>1450</v>
      </c>
      <c r="J344" s="53">
        <v>5</v>
      </c>
      <c r="K344" s="54" t="s">
        <v>574</v>
      </c>
      <c r="L344" s="52"/>
      <c r="M344" s="53"/>
      <c r="N344" s="53"/>
      <c r="O344" s="73">
        <f>100*P344</f>
        <v>500</v>
      </c>
      <c r="P344" s="54">
        <v>5</v>
      </c>
      <c r="Q344" s="52">
        <f>100*R344</f>
        <v>600</v>
      </c>
      <c r="R344" s="53">
        <v>6</v>
      </c>
      <c r="S344" s="57"/>
      <c r="T344" s="60"/>
      <c r="U344" s="106"/>
      <c r="V344" s="56">
        <f>250+300</f>
        <v>550</v>
      </c>
      <c r="W344" s="54"/>
      <c r="X344" s="54"/>
      <c r="Y344" s="73">
        <f>350+350</f>
        <v>700</v>
      </c>
      <c r="Z344" s="54">
        <v>2</v>
      </c>
      <c r="AA344" s="55" t="s">
        <v>575</v>
      </c>
      <c r="AB344" s="56"/>
      <c r="AC344" s="54"/>
      <c r="AD344" s="6">
        <f>B344+F344-L344-V344-G344-Q344-AC344-AE344</f>
        <v>-420</v>
      </c>
      <c r="AE344" s="49">
        <v>0</v>
      </c>
      <c r="AF344" s="5" t="s">
        <v>15</v>
      </c>
    </row>
    <row r="345" spans="1:32" ht="15.75" thickBot="1">
      <c r="A345" s="11">
        <v>44169</v>
      </c>
      <c r="B345" s="2">
        <v>130</v>
      </c>
      <c r="C345" s="3">
        <v>14700</v>
      </c>
      <c r="D345" s="4">
        <v>11560</v>
      </c>
      <c r="E345" s="124"/>
      <c r="F345" s="10">
        <f t="shared" si="18"/>
        <v>3140</v>
      </c>
      <c r="G345" s="3"/>
      <c r="H345" s="4"/>
      <c r="I345" s="52">
        <v>200</v>
      </c>
      <c r="J345" s="53">
        <v>1</v>
      </c>
      <c r="K345" s="54" t="s">
        <v>579</v>
      </c>
      <c r="L345" s="52">
        <f>540</f>
        <v>540</v>
      </c>
      <c r="M345" s="53">
        <v>1</v>
      </c>
      <c r="N345" s="53" t="s">
        <v>576</v>
      </c>
      <c r="O345" s="73"/>
      <c r="P345" s="54"/>
      <c r="Q345" s="52"/>
      <c r="R345" s="53"/>
      <c r="S345" s="57"/>
      <c r="T345" s="60">
        <v>600</v>
      </c>
      <c r="U345" s="106">
        <v>6</v>
      </c>
      <c r="V345" s="56">
        <v>900</v>
      </c>
      <c r="W345" s="54">
        <v>3</v>
      </c>
      <c r="X345" s="54" t="s">
        <v>578</v>
      </c>
      <c r="Y345" s="73">
        <v>800</v>
      </c>
      <c r="Z345" s="54">
        <v>3</v>
      </c>
      <c r="AA345" s="55" t="s">
        <v>577</v>
      </c>
      <c r="AB345" s="56"/>
      <c r="AC345" s="54"/>
      <c r="AD345" s="6">
        <v>1600</v>
      </c>
      <c r="AE345" s="49">
        <v>30</v>
      </c>
      <c r="AF345" s="5" t="s">
        <v>15</v>
      </c>
    </row>
    <row r="346" spans="1:32" ht="15.75" thickBot="1">
      <c r="A346" s="11">
        <v>44170</v>
      </c>
      <c r="B346" s="2">
        <f t="shared" si="17"/>
        <v>30</v>
      </c>
      <c r="C346" s="3">
        <v>8000</v>
      </c>
      <c r="D346" s="4">
        <v>6880</v>
      </c>
      <c r="E346" s="124"/>
      <c r="F346" s="10">
        <f t="shared" si="18"/>
        <v>1120</v>
      </c>
      <c r="G346" s="3"/>
      <c r="H346" s="4"/>
      <c r="I346" s="52">
        <v>550</v>
      </c>
      <c r="J346" s="53">
        <v>2</v>
      </c>
      <c r="K346" s="54" t="s">
        <v>580</v>
      </c>
      <c r="L346" s="52"/>
      <c r="M346" s="53"/>
      <c r="N346" s="53"/>
      <c r="O346" s="73"/>
      <c r="P346" s="54"/>
      <c r="Q346" s="52"/>
      <c r="R346" s="53"/>
      <c r="S346" s="57"/>
      <c r="T346" s="60"/>
      <c r="U346" s="106"/>
      <c r="V346" s="56"/>
      <c r="W346" s="54"/>
      <c r="X346" s="54"/>
      <c r="Y346" s="73">
        <v>350</v>
      </c>
      <c r="Z346" s="54">
        <v>1</v>
      </c>
      <c r="AA346" s="55" t="s">
        <v>543</v>
      </c>
      <c r="AB346" s="56"/>
      <c r="AC346" s="54"/>
      <c r="AD346" s="6">
        <f>B346+F346-I346-L346-V346-G346-Q346-AC346-AE346</f>
        <v>600</v>
      </c>
      <c r="AE346" s="49">
        <v>0</v>
      </c>
      <c r="AF346" s="5" t="s">
        <v>15</v>
      </c>
    </row>
    <row r="347" spans="1:32" ht="15.75" thickBot="1">
      <c r="A347" s="11">
        <v>44171</v>
      </c>
      <c r="B347" s="2">
        <f>90+450</f>
        <v>540</v>
      </c>
      <c r="C347" s="3">
        <f>16970+280</f>
        <v>17250</v>
      </c>
      <c r="D347" s="4">
        <v>14480</v>
      </c>
      <c r="E347" s="124"/>
      <c r="F347" s="10">
        <f t="shared" si="18"/>
        <v>2770</v>
      </c>
      <c r="G347" s="3"/>
      <c r="H347" s="4"/>
      <c r="I347" s="52"/>
      <c r="J347" s="53"/>
      <c r="K347" s="54"/>
      <c r="L347" s="52">
        <f>325+400</f>
        <v>725</v>
      </c>
      <c r="M347" s="53">
        <v>3</v>
      </c>
      <c r="N347" s="53" t="s">
        <v>581</v>
      </c>
      <c r="O347" s="73">
        <v>300</v>
      </c>
      <c r="P347" s="54">
        <v>3</v>
      </c>
      <c r="Q347" s="52">
        <f>100*R347</f>
        <v>700</v>
      </c>
      <c r="R347" s="53">
        <v>7</v>
      </c>
      <c r="S347" s="57"/>
      <c r="T347" s="60"/>
      <c r="U347" s="106"/>
      <c r="V347" s="56">
        <f>300+450+350</f>
        <v>1100</v>
      </c>
      <c r="W347" s="54">
        <v>3</v>
      </c>
      <c r="X347" s="54" t="s">
        <v>582</v>
      </c>
      <c r="Y347" s="73">
        <v>400</v>
      </c>
      <c r="Z347" s="54">
        <v>1</v>
      </c>
      <c r="AA347" s="55" t="s">
        <v>197</v>
      </c>
      <c r="AB347" s="56"/>
      <c r="AC347" s="54"/>
      <c r="AD347" s="6">
        <f>B347+F347-I347-G347-Q347-AC347-AE347</f>
        <v>2610</v>
      </c>
      <c r="AE347" s="49">
        <v>0</v>
      </c>
      <c r="AF347" s="5" t="s">
        <v>15</v>
      </c>
    </row>
    <row r="348" spans="1:32" ht="15.75" thickBot="1">
      <c r="A348" s="11">
        <v>44172</v>
      </c>
      <c r="B348" s="2">
        <f t="shared" si="17"/>
        <v>0</v>
      </c>
      <c r="C348" s="3">
        <v>16550</v>
      </c>
      <c r="D348" s="4">
        <v>11220</v>
      </c>
      <c r="E348" s="124"/>
      <c r="F348" s="10">
        <f t="shared" si="18"/>
        <v>5330</v>
      </c>
      <c r="G348" s="3"/>
      <c r="H348" s="4"/>
      <c r="I348" s="96">
        <f>450+400+200+200+200</f>
        <v>1450</v>
      </c>
      <c r="J348" s="53">
        <v>1</v>
      </c>
      <c r="K348" s="54" t="s">
        <v>583</v>
      </c>
      <c r="L348" s="96">
        <v>300</v>
      </c>
      <c r="M348" s="53">
        <v>1</v>
      </c>
      <c r="N348" s="53" t="s">
        <v>120</v>
      </c>
      <c r="O348" s="73"/>
      <c r="P348" s="54"/>
      <c r="Q348" s="52"/>
      <c r="R348" s="53"/>
      <c r="S348" s="57"/>
      <c r="T348" s="60">
        <v>600</v>
      </c>
      <c r="U348" s="106">
        <v>6</v>
      </c>
      <c r="V348" s="56"/>
      <c r="W348" s="54"/>
      <c r="X348" s="54"/>
      <c r="Y348" s="73">
        <f>200+400+350+350</f>
        <v>1300</v>
      </c>
      <c r="Z348" s="54">
        <v>3</v>
      </c>
      <c r="AA348" s="55" t="s">
        <v>584</v>
      </c>
      <c r="AB348" s="56"/>
      <c r="AC348" s="54"/>
      <c r="AD348" s="6">
        <f>B348+F348-I348-L348-V348-G348-Q348-AC348-AE348</f>
        <v>3500</v>
      </c>
      <c r="AE348" s="49">
        <v>80</v>
      </c>
      <c r="AF348" s="5" t="s">
        <v>15</v>
      </c>
    </row>
    <row r="349" spans="1:32" ht="15.75" thickBot="1">
      <c r="A349" s="11">
        <v>44173</v>
      </c>
      <c r="B349" s="2">
        <f t="shared" si="17"/>
        <v>80</v>
      </c>
      <c r="C349" s="3">
        <f>19430+360</f>
        <v>19790</v>
      </c>
      <c r="D349" s="4">
        <v>16020</v>
      </c>
      <c r="E349" s="124"/>
      <c r="F349" s="10">
        <f t="shared" si="18"/>
        <v>3770</v>
      </c>
      <c r="G349" s="3">
        <f>100*H349</f>
        <v>500</v>
      </c>
      <c r="H349" s="4">
        <v>5</v>
      </c>
      <c r="I349" s="52">
        <f>300+315</f>
        <v>615</v>
      </c>
      <c r="J349" s="53">
        <f>1+1</f>
        <v>2</v>
      </c>
      <c r="K349" s="54" t="s">
        <v>585</v>
      </c>
      <c r="L349" s="52">
        <f>350</f>
        <v>350</v>
      </c>
      <c r="M349" s="53">
        <v>1</v>
      </c>
      <c r="N349" s="53" t="s">
        <v>516</v>
      </c>
      <c r="O349" s="73"/>
      <c r="P349" s="54"/>
      <c r="Q349" s="52">
        <f>100*R349</f>
        <v>1000</v>
      </c>
      <c r="R349" s="53">
        <v>10</v>
      </c>
      <c r="S349" s="57"/>
      <c r="T349" s="60"/>
      <c r="U349" s="106"/>
      <c r="V349" s="56">
        <f>350+400+300+300</f>
        <v>1350</v>
      </c>
      <c r="W349" s="54">
        <f>1+2+1</f>
        <v>4</v>
      </c>
      <c r="X349" s="54" t="s">
        <v>587</v>
      </c>
      <c r="Y349" s="73">
        <v>200</v>
      </c>
      <c r="Z349" s="54">
        <v>1</v>
      </c>
      <c r="AA349" s="55" t="s">
        <v>586</v>
      </c>
      <c r="AB349" s="56"/>
      <c r="AC349" s="54"/>
      <c r="AD349" s="6">
        <f>B349+F349-I349-L349-V349-G349-Q349-AC349-AE349</f>
        <v>0</v>
      </c>
      <c r="AE349" s="49">
        <v>35</v>
      </c>
      <c r="AF349" s="5" t="s">
        <v>15</v>
      </c>
    </row>
    <row r="350" spans="1:32" ht="15.75" thickBot="1">
      <c r="A350" s="11">
        <v>44174</v>
      </c>
      <c r="B350" s="2">
        <v>35</v>
      </c>
      <c r="C350" s="3">
        <v>17370</v>
      </c>
      <c r="D350" s="4">
        <v>13750</v>
      </c>
      <c r="E350" s="124"/>
      <c r="F350" s="10">
        <f t="shared" si="18"/>
        <v>3620</v>
      </c>
      <c r="G350" s="3"/>
      <c r="H350" s="4"/>
      <c r="I350" s="52">
        <v>850</v>
      </c>
      <c r="J350" s="53">
        <v>4</v>
      </c>
      <c r="K350" s="54" t="s">
        <v>588</v>
      </c>
      <c r="L350" s="52">
        <v>400</v>
      </c>
      <c r="M350" s="53">
        <v>1</v>
      </c>
      <c r="N350" s="53" t="s">
        <v>515</v>
      </c>
      <c r="O350" s="73"/>
      <c r="P350" s="54"/>
      <c r="Q350" s="52"/>
      <c r="R350" s="53"/>
      <c r="S350" s="57"/>
      <c r="T350" s="60">
        <v>700</v>
      </c>
      <c r="U350" s="106">
        <v>7</v>
      </c>
      <c r="V350" s="56"/>
      <c r="W350" s="54"/>
      <c r="X350" s="54"/>
      <c r="Y350" s="73">
        <v>1650</v>
      </c>
      <c r="Z350" s="54">
        <v>5</v>
      </c>
      <c r="AA350" s="55" t="s">
        <v>589</v>
      </c>
      <c r="AB350" s="56"/>
      <c r="AC350" s="54"/>
      <c r="AD350" s="6">
        <f>B350+F350-I350-L350-V350-G350-Q350-AC350-AE350</f>
        <v>2350</v>
      </c>
      <c r="AE350" s="49">
        <f>25+30</f>
        <v>55</v>
      </c>
      <c r="AF350" s="5" t="s">
        <v>15</v>
      </c>
    </row>
    <row r="351" spans="1:32" ht="15.75" thickBot="1">
      <c r="A351" s="11">
        <v>44175</v>
      </c>
      <c r="B351" s="2">
        <v>55</v>
      </c>
      <c r="C351" s="3">
        <f>22270+360</f>
        <v>22630</v>
      </c>
      <c r="D351" s="4">
        <v>19030</v>
      </c>
      <c r="E351" s="124"/>
      <c r="F351" s="10">
        <f t="shared" si="18"/>
        <v>3600</v>
      </c>
      <c r="G351" s="3">
        <f>100*H351</f>
        <v>500</v>
      </c>
      <c r="H351" s="4">
        <v>5</v>
      </c>
      <c r="I351" s="52">
        <f>450+315+200+200</f>
        <v>1165</v>
      </c>
      <c r="J351" s="53">
        <f>1+1</f>
        <v>2</v>
      </c>
      <c r="K351" s="54" t="s">
        <v>590</v>
      </c>
      <c r="L351" s="52">
        <f>540+300</f>
        <v>840</v>
      </c>
      <c r="M351" s="53">
        <v>3</v>
      </c>
      <c r="N351" s="53" t="s">
        <v>593</v>
      </c>
      <c r="O351" s="73">
        <v>500</v>
      </c>
      <c r="P351" s="54">
        <v>5</v>
      </c>
      <c r="Q351" s="52">
        <f>R351*100</f>
        <v>300</v>
      </c>
      <c r="R351" s="53">
        <v>3</v>
      </c>
      <c r="S351" s="57"/>
      <c r="T351" s="60"/>
      <c r="U351" s="106"/>
      <c r="V351" s="56">
        <f>400</f>
        <v>400</v>
      </c>
      <c r="W351" s="54">
        <v>1</v>
      </c>
      <c r="X351" s="54" t="s">
        <v>591</v>
      </c>
      <c r="Y351" s="73">
        <v>300</v>
      </c>
      <c r="Z351" s="54">
        <v>1</v>
      </c>
      <c r="AA351" s="55" t="s">
        <v>592</v>
      </c>
      <c r="AB351" s="56"/>
      <c r="AC351" s="54"/>
      <c r="AD351" s="6">
        <f>B351+F351-I351-L351-V351-G351-Q351-AC351-AE351</f>
        <v>350</v>
      </c>
      <c r="AE351" s="49">
        <v>100</v>
      </c>
      <c r="AF351" s="5" t="s">
        <v>15</v>
      </c>
    </row>
    <row r="352" spans="1:32" ht="15.75" thickBot="1">
      <c r="A352" s="11">
        <v>44176</v>
      </c>
      <c r="B352" s="2">
        <f t="shared" si="17"/>
        <v>100</v>
      </c>
      <c r="C352" s="3">
        <v>11445</v>
      </c>
      <c r="D352" s="4">
        <v>8755</v>
      </c>
      <c r="E352" s="124"/>
      <c r="F352" s="10">
        <f t="shared" si="18"/>
        <v>2690</v>
      </c>
      <c r="G352" s="3"/>
      <c r="H352" s="4"/>
      <c r="I352" s="52">
        <v>600</v>
      </c>
      <c r="J352" s="53">
        <v>3</v>
      </c>
      <c r="K352" s="54" t="s">
        <v>298</v>
      </c>
      <c r="L352" s="52"/>
      <c r="M352" s="53"/>
      <c r="N352" s="53"/>
      <c r="O352" s="73"/>
      <c r="P352" s="54"/>
      <c r="Q352" s="52"/>
      <c r="R352" s="53"/>
      <c r="S352" s="57"/>
      <c r="T352" s="60">
        <v>900</v>
      </c>
      <c r="U352" s="106">
        <v>9</v>
      </c>
      <c r="V352" s="56"/>
      <c r="W352" s="54"/>
      <c r="X352" s="54"/>
      <c r="Y352" s="73">
        <v>600</v>
      </c>
      <c r="Z352" s="54">
        <v>2</v>
      </c>
      <c r="AA352" s="55" t="s">
        <v>594</v>
      </c>
      <c r="AB352" s="56"/>
      <c r="AC352" s="54"/>
      <c r="AD352" s="6">
        <v>2200</v>
      </c>
      <c r="AE352" s="49">
        <v>85</v>
      </c>
      <c r="AF352" s="5" t="s">
        <v>15</v>
      </c>
    </row>
    <row r="353" spans="1:32" ht="15.75" thickBot="1">
      <c r="A353" s="11">
        <v>44177</v>
      </c>
      <c r="B353" s="2">
        <f t="shared" si="17"/>
        <v>85</v>
      </c>
      <c r="C353" s="3">
        <v>5470</v>
      </c>
      <c r="D353" s="4">
        <v>4780</v>
      </c>
      <c r="E353" s="124"/>
      <c r="F353" s="10">
        <f t="shared" si="18"/>
        <v>690</v>
      </c>
      <c r="G353" s="3"/>
      <c r="H353" s="4"/>
      <c r="I353" s="52">
        <v>875</v>
      </c>
      <c r="J353" s="53">
        <v>3</v>
      </c>
      <c r="K353" s="54" t="s">
        <v>596</v>
      </c>
      <c r="L353" s="52"/>
      <c r="M353" s="53"/>
      <c r="N353" s="53"/>
      <c r="O353" s="73"/>
      <c r="P353" s="54"/>
      <c r="Q353" s="52"/>
      <c r="R353" s="53"/>
      <c r="S353" s="57"/>
      <c r="T353" s="60"/>
      <c r="U353" s="106"/>
      <c r="V353" s="56">
        <v>450</v>
      </c>
      <c r="W353" s="54">
        <v>1</v>
      </c>
      <c r="X353" s="54" t="s">
        <v>121</v>
      </c>
      <c r="Y353" s="73">
        <v>650</v>
      </c>
      <c r="Z353" s="54">
        <v>2</v>
      </c>
      <c r="AA353" s="55" t="s">
        <v>595</v>
      </c>
      <c r="AB353" s="56"/>
      <c r="AC353" s="54"/>
      <c r="AD353" s="6">
        <f>B353+F353-I353-L353-V353-G353-Q353-AC353-AE353</f>
        <v>-550</v>
      </c>
      <c r="AE353" s="49">
        <v>0</v>
      </c>
      <c r="AF353" s="5" t="s">
        <v>15</v>
      </c>
    </row>
    <row r="354" spans="1:32" ht="15.75" thickBot="1">
      <c r="A354" s="11">
        <v>44178</v>
      </c>
      <c r="B354" s="2">
        <v>30</v>
      </c>
      <c r="C354" s="3">
        <f>6220+180</f>
        <v>6400</v>
      </c>
      <c r="D354" s="4">
        <v>5080</v>
      </c>
      <c r="E354" s="124"/>
      <c r="F354" s="10">
        <f t="shared" si="18"/>
        <v>1320</v>
      </c>
      <c r="G354" s="3"/>
      <c r="H354" s="4"/>
      <c r="I354" s="52"/>
      <c r="J354" s="53"/>
      <c r="K354" s="54"/>
      <c r="L354" s="52">
        <v>400</v>
      </c>
      <c r="M354" s="53">
        <v>1</v>
      </c>
      <c r="N354" s="53" t="s">
        <v>597</v>
      </c>
      <c r="O354" s="73"/>
      <c r="P354" s="54"/>
      <c r="Q354" s="52">
        <f>100*R354</f>
        <v>400</v>
      </c>
      <c r="R354" s="53">
        <v>4</v>
      </c>
      <c r="S354" s="57"/>
      <c r="T354" s="60"/>
      <c r="U354" s="106"/>
      <c r="V354" s="56"/>
      <c r="W354" s="54"/>
      <c r="X354" s="54"/>
      <c r="Y354" s="73">
        <v>350</v>
      </c>
      <c r="Z354" s="54">
        <v>1</v>
      </c>
      <c r="AA354" s="55" t="s">
        <v>543</v>
      </c>
      <c r="AB354" s="56"/>
      <c r="AC354" s="54"/>
      <c r="AD354" s="6">
        <f>B354+F354-I354-L354-V354-G354-Q354-AC354-AE354</f>
        <v>550</v>
      </c>
      <c r="AE354" s="49">
        <v>0</v>
      </c>
      <c r="AF354" s="5" t="s">
        <v>15</v>
      </c>
    </row>
    <row r="355" spans="1:32" ht="15.75" thickBot="1">
      <c r="A355" s="11">
        <v>44179</v>
      </c>
      <c r="B355" s="2">
        <f t="shared" si="17"/>
        <v>0</v>
      </c>
      <c r="C355" s="3">
        <v>16240</v>
      </c>
      <c r="D355" s="4">
        <v>9070</v>
      </c>
      <c r="E355" s="124"/>
      <c r="F355" s="10">
        <f t="shared" si="18"/>
        <v>7170</v>
      </c>
      <c r="G355" s="3"/>
      <c r="H355" s="4"/>
      <c r="I355" s="52">
        <v>400</v>
      </c>
      <c r="J355" s="53">
        <v>2</v>
      </c>
      <c r="K355" s="54" t="s">
        <v>298</v>
      </c>
      <c r="L355" s="52">
        <v>1025</v>
      </c>
      <c r="M355" s="53">
        <v>3</v>
      </c>
      <c r="N355" s="53" t="s">
        <v>599</v>
      </c>
      <c r="O355" s="73" t="s">
        <v>601</v>
      </c>
      <c r="P355" s="54"/>
      <c r="Q355" s="52"/>
      <c r="R355" s="53"/>
      <c r="S355" s="57"/>
      <c r="T355" s="60">
        <v>700</v>
      </c>
      <c r="U355" s="106">
        <v>7</v>
      </c>
      <c r="V355" s="97">
        <f>350+300</f>
        <v>650</v>
      </c>
      <c r="W355" s="54">
        <v>1</v>
      </c>
      <c r="X355" s="54" t="s">
        <v>598</v>
      </c>
      <c r="Y355" s="73">
        <v>1300</v>
      </c>
      <c r="Z355" s="54">
        <v>4</v>
      </c>
      <c r="AA355" s="55" t="s">
        <v>600</v>
      </c>
      <c r="AB355" s="56"/>
      <c r="AC355" s="54" t="s">
        <v>553</v>
      </c>
      <c r="AD355" s="6">
        <v>5700</v>
      </c>
      <c r="AE355" s="49">
        <v>0</v>
      </c>
      <c r="AF355" s="5" t="s">
        <v>15</v>
      </c>
    </row>
    <row r="356" spans="1:32" ht="15.75" thickBot="1">
      <c r="A356" s="11">
        <v>44180</v>
      </c>
      <c r="B356" s="2">
        <v>45</v>
      </c>
      <c r="C356" s="3">
        <v>9090</v>
      </c>
      <c r="D356" s="4">
        <v>7340</v>
      </c>
      <c r="E356" s="124"/>
      <c r="F356" s="10">
        <f>C356-D356</f>
        <v>1750</v>
      </c>
      <c r="G356" s="3">
        <v>600</v>
      </c>
      <c r="H356" s="4">
        <v>6</v>
      </c>
      <c r="I356" s="52">
        <f>300+315</f>
        <v>615</v>
      </c>
      <c r="J356" s="53">
        <v>2</v>
      </c>
      <c r="K356" s="54" t="s">
        <v>602</v>
      </c>
      <c r="L356" s="52"/>
      <c r="M356" s="53"/>
      <c r="N356" s="53"/>
      <c r="O356" s="73">
        <v>800</v>
      </c>
      <c r="P356" s="54">
        <v>8</v>
      </c>
      <c r="Q356" s="52">
        <v>600</v>
      </c>
      <c r="R356" s="53">
        <v>6</v>
      </c>
      <c r="S356" s="57"/>
      <c r="T356" s="60"/>
      <c r="U356" s="106"/>
      <c r="V356" s="56">
        <f>400+300+450+300</f>
        <v>1450</v>
      </c>
      <c r="W356" s="54">
        <v>4</v>
      </c>
      <c r="X356" s="54" t="s">
        <v>604</v>
      </c>
      <c r="Y356" s="73">
        <f>400+300</f>
        <v>700</v>
      </c>
      <c r="Z356" s="54">
        <v>2</v>
      </c>
      <c r="AA356" s="55" t="s">
        <v>603</v>
      </c>
      <c r="AB356" s="56"/>
      <c r="AC356" s="54"/>
      <c r="AD356" s="6">
        <f>B356+F356-I356-L356-Q356-AC356-AE356</f>
        <v>500</v>
      </c>
      <c r="AE356" s="49">
        <v>80</v>
      </c>
      <c r="AF356" s="5" t="s">
        <v>15</v>
      </c>
    </row>
    <row r="357" spans="1:32" ht="15.75" thickBot="1">
      <c r="A357" s="11">
        <v>44181</v>
      </c>
      <c r="B357" s="2">
        <f t="shared" si="17"/>
        <v>80</v>
      </c>
      <c r="C357" s="3">
        <f>6300+350</f>
        <v>6650</v>
      </c>
      <c r="D357" s="4">
        <v>3080</v>
      </c>
      <c r="E357" s="124"/>
      <c r="F357" s="10">
        <f t="shared" si="18"/>
        <v>3570</v>
      </c>
      <c r="G357" s="3"/>
      <c r="H357" s="4"/>
      <c r="I357" s="52">
        <f>250+300</f>
        <v>550</v>
      </c>
      <c r="J357" s="53">
        <v>1</v>
      </c>
      <c r="K357" s="54" t="s">
        <v>605</v>
      </c>
      <c r="L357" s="52">
        <f>400+350+400</f>
        <v>1150</v>
      </c>
      <c r="M357" s="53">
        <v>1</v>
      </c>
      <c r="N357" s="53" t="s">
        <v>606</v>
      </c>
      <c r="O357" s="73"/>
      <c r="P357" s="54"/>
      <c r="Q357" s="52"/>
      <c r="R357" s="53"/>
      <c r="S357" s="57"/>
      <c r="T357" s="60">
        <v>500</v>
      </c>
      <c r="U357" s="106">
        <v>5</v>
      </c>
      <c r="V357" s="56">
        <v>350</v>
      </c>
      <c r="W357" s="54">
        <v>1</v>
      </c>
      <c r="X357" s="54" t="s">
        <v>320</v>
      </c>
      <c r="Y357" s="73">
        <v>350</v>
      </c>
      <c r="Z357" s="54">
        <v>1</v>
      </c>
      <c r="AA357" s="55" t="s">
        <v>543</v>
      </c>
      <c r="AB357" s="56"/>
      <c r="AC357" s="54"/>
      <c r="AD357" s="6">
        <f>B357+F357-I357-L357-V357-G357-Q357-AC357-AE357</f>
        <v>1600</v>
      </c>
      <c r="AE357" s="49">
        <v>0</v>
      </c>
      <c r="AF357" s="5" t="s">
        <v>15</v>
      </c>
    </row>
    <row r="358" spans="1:32" ht="15.75" thickBot="1">
      <c r="A358" s="11">
        <v>44182</v>
      </c>
      <c r="B358" s="2">
        <f t="shared" si="17"/>
        <v>0</v>
      </c>
      <c r="C358" s="3">
        <v>5980</v>
      </c>
      <c r="D358" s="4">
        <v>4480</v>
      </c>
      <c r="E358" s="124"/>
      <c r="F358" s="10">
        <f t="shared" si="18"/>
        <v>1500</v>
      </c>
      <c r="G358" s="3">
        <f>100*H358</f>
        <v>500</v>
      </c>
      <c r="H358" s="4">
        <v>5</v>
      </c>
      <c r="I358" s="52">
        <f>450+315+300</f>
        <v>1065</v>
      </c>
      <c r="J358" s="53">
        <v>3</v>
      </c>
      <c r="K358" s="54" t="s">
        <v>607</v>
      </c>
      <c r="L358" s="52"/>
      <c r="M358" s="53"/>
      <c r="N358" s="53"/>
      <c r="O358" s="73">
        <v>400</v>
      </c>
      <c r="P358" s="54">
        <v>4</v>
      </c>
      <c r="Q358" s="52">
        <f>R358*100</f>
        <v>400</v>
      </c>
      <c r="R358" s="53">
        <v>4</v>
      </c>
      <c r="S358" s="57"/>
      <c r="T358" s="60"/>
      <c r="U358" s="106"/>
      <c r="V358" s="56"/>
      <c r="W358" s="54"/>
      <c r="X358" s="54"/>
      <c r="Y358" s="73">
        <f>200+325+300+300</f>
        <v>1125</v>
      </c>
      <c r="Z358" s="54">
        <v>4</v>
      </c>
      <c r="AA358" s="55" t="s">
        <v>608</v>
      </c>
      <c r="AB358" s="56"/>
      <c r="AC358" s="54"/>
      <c r="AD358" s="6">
        <f>B358+F358-I358-L358-V358-Q358-AC358-AE358</f>
        <v>0</v>
      </c>
      <c r="AE358" s="49">
        <v>35</v>
      </c>
      <c r="AF358" s="5" t="s">
        <v>15</v>
      </c>
    </row>
    <row r="359" spans="1:32" ht="15.75" thickBot="1">
      <c r="A359" s="11">
        <v>44183</v>
      </c>
      <c r="B359" s="2">
        <f t="shared" si="17"/>
        <v>35</v>
      </c>
      <c r="C359" s="3">
        <v>19390</v>
      </c>
      <c r="D359" s="4">
        <v>16540</v>
      </c>
      <c r="E359" s="124"/>
      <c r="F359" s="10">
        <f t="shared" si="18"/>
        <v>2850</v>
      </c>
      <c r="G359" s="3"/>
      <c r="H359" s="4"/>
      <c r="I359" s="52">
        <f>300+200</f>
        <v>500</v>
      </c>
      <c r="J359" s="53">
        <v>2</v>
      </c>
      <c r="K359" s="54" t="s">
        <v>610</v>
      </c>
      <c r="L359" s="52"/>
      <c r="M359" s="53"/>
      <c r="N359" s="53"/>
      <c r="O359" s="73"/>
      <c r="P359" s="54"/>
      <c r="Q359" s="52"/>
      <c r="R359" s="53"/>
      <c r="S359" s="57"/>
      <c r="T359" s="95">
        <f>100*U359</f>
        <v>500</v>
      </c>
      <c r="U359" s="106">
        <v>5</v>
      </c>
      <c r="V359" s="56">
        <f>250+300+350</f>
        <v>900</v>
      </c>
      <c r="W359" s="54">
        <v>3</v>
      </c>
      <c r="X359" s="54" t="s">
        <v>611</v>
      </c>
      <c r="Y359" s="73">
        <f>400+200+200</f>
        <v>800</v>
      </c>
      <c r="Z359" s="54">
        <v>4</v>
      </c>
      <c r="AA359" s="55" t="s">
        <v>609</v>
      </c>
      <c r="AB359" s="56"/>
      <c r="AC359" s="54"/>
      <c r="AD359" s="6">
        <f>B359+F359-I359-L359-V359-G359-Q359-AC359-AE359</f>
        <v>1450</v>
      </c>
      <c r="AE359" s="49">
        <v>35</v>
      </c>
      <c r="AF359" s="5" t="s">
        <v>15</v>
      </c>
    </row>
    <row r="360" spans="1:32" ht="15.75" thickBot="1">
      <c r="A360" s="11">
        <v>44184</v>
      </c>
      <c r="B360" s="2">
        <f t="shared" si="17"/>
        <v>35</v>
      </c>
      <c r="C360" s="3">
        <v>4270</v>
      </c>
      <c r="D360" s="4">
        <v>3090</v>
      </c>
      <c r="E360" s="124"/>
      <c r="F360" s="10">
        <f t="shared" si="18"/>
        <v>1180</v>
      </c>
      <c r="G360" s="3"/>
      <c r="H360" s="4"/>
      <c r="I360" s="52"/>
      <c r="J360" s="53"/>
      <c r="K360" s="54"/>
      <c r="L360" s="52"/>
      <c r="M360" s="53"/>
      <c r="N360" s="53"/>
      <c r="O360" s="73"/>
      <c r="P360" s="54"/>
      <c r="Q360" s="52"/>
      <c r="R360" s="53"/>
      <c r="S360" s="57"/>
      <c r="T360" s="60"/>
      <c r="U360" s="106"/>
      <c r="V360" s="56"/>
      <c r="W360" s="54"/>
      <c r="X360" s="54"/>
      <c r="Y360" s="73">
        <v>650</v>
      </c>
      <c r="Z360" s="54">
        <v>2</v>
      </c>
      <c r="AA360" s="55" t="s">
        <v>612</v>
      </c>
      <c r="AB360" s="56"/>
      <c r="AC360" s="54"/>
      <c r="AD360" s="6">
        <v>1150</v>
      </c>
      <c r="AE360" s="49">
        <v>65</v>
      </c>
      <c r="AF360" s="5" t="s">
        <v>15</v>
      </c>
    </row>
    <row r="361" spans="1:32" ht="15.75" thickBot="1">
      <c r="A361" s="11">
        <v>44185</v>
      </c>
      <c r="B361" s="2">
        <f t="shared" si="17"/>
        <v>65</v>
      </c>
      <c r="C361" s="3">
        <v>8930</v>
      </c>
      <c r="D361" s="4">
        <v>7780</v>
      </c>
      <c r="E361" s="124"/>
      <c r="F361" s="10">
        <f t="shared" si="18"/>
        <v>1150</v>
      </c>
      <c r="G361" s="3"/>
      <c r="H361" s="4"/>
      <c r="I361" s="52"/>
      <c r="J361" s="53"/>
      <c r="K361" s="54"/>
      <c r="L361" s="52">
        <f>200+200</f>
        <v>400</v>
      </c>
      <c r="M361" s="53">
        <v>2</v>
      </c>
      <c r="N361" s="53" t="s">
        <v>613</v>
      </c>
      <c r="O361" s="73"/>
      <c r="P361" s="54"/>
      <c r="Q361" s="52">
        <f>R361*100</f>
        <v>500</v>
      </c>
      <c r="R361" s="53">
        <v>5</v>
      </c>
      <c r="S361" s="57"/>
      <c r="T361" s="60"/>
      <c r="U361" s="106"/>
      <c r="V361" s="56"/>
      <c r="W361" s="54"/>
      <c r="X361" s="54"/>
      <c r="Y361" s="73"/>
      <c r="Z361" s="54"/>
      <c r="AA361" s="55"/>
      <c r="AB361" s="56"/>
      <c r="AC361" s="54"/>
      <c r="AD361" s="6">
        <f>B361+F361-I361-L361-V361-G361-Q361-AC361-AE361</f>
        <v>300</v>
      </c>
      <c r="AE361" s="49">
        <v>15</v>
      </c>
      <c r="AF361" s="5" t="s">
        <v>15</v>
      </c>
    </row>
    <row r="362" spans="1:32" ht="15.75" thickBot="1">
      <c r="A362" s="11">
        <v>44186</v>
      </c>
      <c r="B362" s="2">
        <f t="shared" si="17"/>
        <v>15</v>
      </c>
      <c r="C362" s="3">
        <v>7080</v>
      </c>
      <c r="D362" s="4">
        <v>5360</v>
      </c>
      <c r="E362" s="124"/>
      <c r="F362" s="10">
        <f t="shared" si="18"/>
        <v>1720</v>
      </c>
      <c r="G362" s="3"/>
      <c r="H362" s="4"/>
      <c r="I362" s="52">
        <v>1100</v>
      </c>
      <c r="J362" s="53">
        <v>4</v>
      </c>
      <c r="K362" s="54" t="s">
        <v>616</v>
      </c>
      <c r="L362" s="52"/>
      <c r="M362" s="53"/>
      <c r="N362" s="53"/>
      <c r="O362" s="73"/>
      <c r="P362" s="54"/>
      <c r="Q362" s="52"/>
      <c r="R362" s="53"/>
      <c r="S362" s="57"/>
      <c r="T362" s="122">
        <v>600</v>
      </c>
      <c r="U362" s="106">
        <v>6</v>
      </c>
      <c r="V362" s="56">
        <v>750</v>
      </c>
      <c r="W362" s="54">
        <v>2</v>
      </c>
      <c r="X362" s="54" t="s">
        <v>614</v>
      </c>
      <c r="Y362" s="73">
        <v>700</v>
      </c>
      <c r="Z362" s="54">
        <v>3</v>
      </c>
      <c r="AA362" s="55" t="s">
        <v>615</v>
      </c>
      <c r="AB362" s="56"/>
      <c r="AC362" s="54"/>
      <c r="AD362" s="6">
        <f>B362+F362-I362-L362-V362-G362-Q362-AC362-AE362</f>
        <v>-115</v>
      </c>
      <c r="AE362" s="49">
        <v>0</v>
      </c>
      <c r="AF362" s="5" t="s">
        <v>15</v>
      </c>
    </row>
    <row r="363" spans="1:32" ht="15.75" thickBot="1">
      <c r="A363" s="11">
        <v>44187</v>
      </c>
      <c r="B363" s="2">
        <v>35</v>
      </c>
      <c r="C363" s="3">
        <v>5340</v>
      </c>
      <c r="D363" s="4">
        <v>3080</v>
      </c>
      <c r="E363" s="124"/>
      <c r="F363" s="10">
        <f t="shared" si="18"/>
        <v>2260</v>
      </c>
      <c r="G363" s="3">
        <v>400</v>
      </c>
      <c r="H363" s="4">
        <v>4</v>
      </c>
      <c r="I363" s="52">
        <f>300+315</f>
        <v>615</v>
      </c>
      <c r="J363" s="53">
        <v>1</v>
      </c>
      <c r="K363" s="54" t="s">
        <v>617</v>
      </c>
      <c r="L363" s="52"/>
      <c r="M363" s="53"/>
      <c r="N363" s="53"/>
      <c r="O363" s="73">
        <v>400</v>
      </c>
      <c r="P363" s="54">
        <v>4</v>
      </c>
      <c r="Q363" s="52">
        <f>R363*100</f>
        <v>500</v>
      </c>
      <c r="R363" s="53">
        <v>5</v>
      </c>
      <c r="S363" s="57"/>
      <c r="T363" s="60"/>
      <c r="U363" s="106"/>
      <c r="V363" s="56">
        <f>300+300</f>
        <v>600</v>
      </c>
      <c r="W363" s="54">
        <v>2</v>
      </c>
      <c r="X363" s="54" t="s">
        <v>329</v>
      </c>
      <c r="Y363" s="73">
        <f>325+200+200+300+300</f>
        <v>1325</v>
      </c>
      <c r="Z363" s="54">
        <v>4</v>
      </c>
      <c r="AA363" s="55" t="s">
        <v>618</v>
      </c>
      <c r="AB363" s="56"/>
      <c r="AC363" s="54"/>
      <c r="AD363" s="6">
        <f>B363+F363-I363-L363-V363-G363-Q363-AC363-AE363-150</f>
        <v>0</v>
      </c>
      <c r="AE363" s="49">
        <v>30</v>
      </c>
      <c r="AF363" s="5" t="s">
        <v>15</v>
      </c>
    </row>
    <row r="364" spans="1:32" ht="15.75" thickBot="1">
      <c r="A364" s="11">
        <v>44188</v>
      </c>
      <c r="B364" s="2">
        <f t="shared" si="17"/>
        <v>30</v>
      </c>
      <c r="C364" s="3">
        <v>22250</v>
      </c>
      <c r="D364" s="4">
        <v>18860</v>
      </c>
      <c r="E364" s="124"/>
      <c r="F364" s="10">
        <f t="shared" si="18"/>
        <v>3390</v>
      </c>
      <c r="G364" s="3"/>
      <c r="H364" s="4"/>
      <c r="I364" s="52">
        <f>200+200-200</f>
        <v>200</v>
      </c>
      <c r="J364" s="53">
        <v>2</v>
      </c>
      <c r="K364" s="54" t="s">
        <v>619</v>
      </c>
      <c r="L364" s="52"/>
      <c r="M364" s="53"/>
      <c r="N364" s="53"/>
      <c r="O364" s="73"/>
      <c r="P364" s="54"/>
      <c r="Q364" s="52"/>
      <c r="R364" s="53"/>
      <c r="S364" s="57"/>
      <c r="T364" s="60">
        <v>500</v>
      </c>
      <c r="U364" s="106">
        <v>5</v>
      </c>
      <c r="V364" s="56">
        <f>350+300</f>
        <v>650</v>
      </c>
      <c r="W364" s="54">
        <v>2</v>
      </c>
      <c r="X364" s="54" t="s">
        <v>598</v>
      </c>
      <c r="Y364" s="73">
        <v>350</v>
      </c>
      <c r="Z364" s="54">
        <v>1</v>
      </c>
      <c r="AA364" s="55" t="s">
        <v>543</v>
      </c>
      <c r="AB364" s="56"/>
      <c r="AC364" s="54"/>
      <c r="AD364" s="6">
        <f>B364+F364-I364-L364-G364-Q364-AC364-AE364-150</f>
        <v>3000</v>
      </c>
      <c r="AE364" s="49">
        <v>70</v>
      </c>
      <c r="AF364" s="5" t="s">
        <v>15</v>
      </c>
    </row>
    <row r="365" spans="1:32" ht="15.75" thickBot="1">
      <c r="A365" s="11">
        <v>44189</v>
      </c>
      <c r="B365" s="2">
        <f t="shared" si="17"/>
        <v>70</v>
      </c>
      <c r="C365" s="3">
        <v>18010</v>
      </c>
      <c r="D365" s="4">
        <f>2600+4740</f>
        <v>7340</v>
      </c>
      <c r="E365" s="124"/>
      <c r="F365" s="10">
        <f t="shared" si="18"/>
        <v>10670</v>
      </c>
      <c r="G365" s="3">
        <f>H365*100</f>
        <v>500</v>
      </c>
      <c r="H365" s="4">
        <v>5</v>
      </c>
      <c r="I365" s="52">
        <f>300</f>
        <v>300</v>
      </c>
      <c r="J365" s="53">
        <v>1</v>
      </c>
      <c r="K365" s="54" t="s">
        <v>399</v>
      </c>
      <c r="L365" s="52"/>
      <c r="M365" s="53"/>
      <c r="N365" s="53"/>
      <c r="O365" s="73">
        <f>P365*100</f>
        <v>300</v>
      </c>
      <c r="P365" s="54">
        <v>3</v>
      </c>
      <c r="Q365" s="52">
        <f>R365*100</f>
        <v>500</v>
      </c>
      <c r="R365" s="53">
        <v>5</v>
      </c>
      <c r="S365" s="57"/>
      <c r="T365" s="60"/>
      <c r="U365" s="106"/>
      <c r="V365" s="56">
        <f>400+400+300</f>
        <v>1100</v>
      </c>
      <c r="W365" s="54">
        <v>3</v>
      </c>
      <c r="X365" s="54" t="s">
        <v>620</v>
      </c>
      <c r="Y365" s="73">
        <f>200+300</f>
        <v>500</v>
      </c>
      <c r="Z365" s="54">
        <v>2</v>
      </c>
      <c r="AA365" s="55" t="s">
        <v>621</v>
      </c>
      <c r="AB365" s="56"/>
      <c r="AC365" s="54"/>
      <c r="AD365" s="6">
        <f>B365+F365-I365-L365-V365-G365-Q365-AC365-AE365</f>
        <v>8300</v>
      </c>
      <c r="AE365" s="49">
        <v>40</v>
      </c>
      <c r="AF365" s="5" t="s">
        <v>15</v>
      </c>
    </row>
    <row r="366" spans="1:32" ht="15.75" thickBot="1">
      <c r="A366" s="11">
        <v>44190</v>
      </c>
      <c r="B366" s="2">
        <f t="shared" si="17"/>
        <v>40</v>
      </c>
      <c r="C366" s="3">
        <v>11640</v>
      </c>
      <c r="D366" s="4">
        <v>6060</v>
      </c>
      <c r="E366" s="124"/>
      <c r="F366" s="10">
        <f t="shared" si="18"/>
        <v>5580</v>
      </c>
      <c r="G366" s="3"/>
      <c r="H366" s="4"/>
      <c r="I366" s="52">
        <v>200</v>
      </c>
      <c r="J366" s="53">
        <v>1</v>
      </c>
      <c r="K366" s="54" t="s">
        <v>624</v>
      </c>
      <c r="L366" s="52"/>
      <c r="M366" s="53"/>
      <c r="N366" s="53"/>
      <c r="O366" s="73"/>
      <c r="P366" s="54"/>
      <c r="Q366" s="52"/>
      <c r="R366" s="53"/>
      <c r="S366" s="57"/>
      <c r="T366" s="60">
        <v>500</v>
      </c>
      <c r="U366" s="106">
        <v>5</v>
      </c>
      <c r="V366" s="56">
        <f>350+300+350</f>
        <v>1000</v>
      </c>
      <c r="W366" s="54">
        <v>3</v>
      </c>
      <c r="X366" s="54" t="s">
        <v>623</v>
      </c>
      <c r="Y366" s="73">
        <f>325+200</f>
        <v>525</v>
      </c>
      <c r="Z366" s="54">
        <v>3</v>
      </c>
      <c r="AA366" s="55" t="s">
        <v>622</v>
      </c>
      <c r="AB366" s="56"/>
      <c r="AC366" s="54"/>
      <c r="AD366" s="6">
        <f>B366+F366-I366-L366-V366-G366-Q366-AC366-AE366</f>
        <v>4250</v>
      </c>
      <c r="AE366" s="49">
        <v>170</v>
      </c>
      <c r="AF366" s="5" t="s">
        <v>15</v>
      </c>
    </row>
    <row r="367" spans="1:32" ht="15.75" thickBot="1">
      <c r="A367" s="11">
        <v>44191</v>
      </c>
      <c r="B367" s="2">
        <f t="shared" si="17"/>
        <v>170</v>
      </c>
      <c r="C367" s="3">
        <v>1880</v>
      </c>
      <c r="D367" s="4">
        <v>1280</v>
      </c>
      <c r="E367" s="124"/>
      <c r="F367" s="10">
        <f t="shared" si="18"/>
        <v>600</v>
      </c>
      <c r="G367" s="3"/>
      <c r="H367" s="4"/>
      <c r="I367" s="52">
        <v>300</v>
      </c>
      <c r="J367" s="53">
        <v>1</v>
      </c>
      <c r="K367" s="54" t="s">
        <v>399</v>
      </c>
      <c r="L367" s="52"/>
      <c r="M367" s="53"/>
      <c r="N367" s="53"/>
      <c r="O367" s="73"/>
      <c r="P367" s="54"/>
      <c r="Q367" s="52"/>
      <c r="R367" s="53"/>
      <c r="S367" s="57"/>
      <c r="T367" s="60"/>
      <c r="U367" s="106"/>
      <c r="V367" s="56"/>
      <c r="W367" s="54"/>
      <c r="X367" s="54"/>
      <c r="Y367" s="73">
        <v>650</v>
      </c>
      <c r="Z367" s="54">
        <v>2</v>
      </c>
      <c r="AA367" s="55" t="s">
        <v>625</v>
      </c>
      <c r="AB367" s="56"/>
      <c r="AC367" s="54"/>
      <c r="AD367" s="6">
        <v>300</v>
      </c>
      <c r="AE367" s="49">
        <v>170</v>
      </c>
      <c r="AF367" s="5" t="s">
        <v>15</v>
      </c>
    </row>
    <row r="368" spans="1:32" ht="15.75" thickBot="1">
      <c r="A368" s="11">
        <v>44192</v>
      </c>
      <c r="B368" s="2">
        <f t="shared" si="17"/>
        <v>170</v>
      </c>
      <c r="C368" s="3">
        <v>4320</v>
      </c>
      <c r="D368" s="4">
        <v>1830</v>
      </c>
      <c r="E368" s="124"/>
      <c r="F368" s="10">
        <f t="shared" si="18"/>
        <v>2490</v>
      </c>
      <c r="G368" s="3"/>
      <c r="H368" s="4"/>
      <c r="I368" s="52"/>
      <c r="J368" s="53"/>
      <c r="K368" s="54"/>
      <c r="L368" s="52"/>
      <c r="M368" s="53"/>
      <c r="N368" s="53"/>
      <c r="O368" s="73"/>
      <c r="P368" s="54"/>
      <c r="Q368" s="52">
        <f>R368*100</f>
        <v>300</v>
      </c>
      <c r="R368" s="53">
        <v>3</v>
      </c>
      <c r="S368" s="57"/>
      <c r="T368" s="60"/>
      <c r="U368" s="106"/>
      <c r="V368" s="56">
        <f>400+450</f>
        <v>850</v>
      </c>
      <c r="W368" s="54">
        <v>2</v>
      </c>
      <c r="X368" s="54" t="s">
        <v>626</v>
      </c>
      <c r="Y368" s="73"/>
      <c r="Z368" s="54"/>
      <c r="AA368" s="55"/>
      <c r="AB368" s="56"/>
      <c r="AC368" s="54"/>
      <c r="AD368" s="6">
        <f>B368+F368-I368-L368-V368-G368-Q368-AC368-AE368</f>
        <v>1360</v>
      </c>
      <c r="AE368" s="49">
        <v>150</v>
      </c>
      <c r="AF368" s="5" t="s">
        <v>15</v>
      </c>
    </row>
    <row r="369" spans="1:32" ht="15.75" thickBot="1">
      <c r="A369" s="11">
        <v>44193</v>
      </c>
      <c r="B369" s="2">
        <f t="shared" si="17"/>
        <v>150</v>
      </c>
      <c r="C369" s="3">
        <f>8672-150</f>
        <v>8522</v>
      </c>
      <c r="D369" s="4">
        <f>4470+2742</f>
        <v>7212</v>
      </c>
      <c r="E369" s="124"/>
      <c r="F369" s="10">
        <f t="shared" si="18"/>
        <v>1310</v>
      </c>
      <c r="G369" s="3"/>
      <c r="H369" s="4"/>
      <c r="I369" s="52">
        <f>300+450+400+325</f>
        <v>1475</v>
      </c>
      <c r="J369" s="53">
        <v>1</v>
      </c>
      <c r="K369" s="54" t="s">
        <v>627</v>
      </c>
      <c r="L369" s="52"/>
      <c r="M369" s="53"/>
      <c r="N369" s="53"/>
      <c r="O369" s="73"/>
      <c r="P369" s="54"/>
      <c r="Q369" s="52"/>
      <c r="R369" s="53"/>
      <c r="S369" s="57"/>
      <c r="T369" s="60"/>
      <c r="U369" s="106"/>
      <c r="V369" s="56">
        <f>350+350+300</f>
        <v>1000</v>
      </c>
      <c r="W369" s="54">
        <v>3</v>
      </c>
      <c r="X369" s="54" t="s">
        <v>629</v>
      </c>
      <c r="Y369" s="73">
        <f>200+350</f>
        <v>550</v>
      </c>
      <c r="Z369" s="54">
        <v>2</v>
      </c>
      <c r="AA369" s="55" t="s">
        <v>628</v>
      </c>
      <c r="AB369" s="56"/>
      <c r="AC369" s="54"/>
      <c r="AD369" s="6">
        <f>B369+F369-L369-G369-Q369-AC369-AE369</f>
        <v>1300</v>
      </c>
      <c r="AE369" s="49">
        <v>160</v>
      </c>
      <c r="AF369" s="5" t="s">
        <v>15</v>
      </c>
    </row>
    <row r="370" spans="1:32" ht="15.75" thickBot="1">
      <c r="A370" s="11">
        <v>44194</v>
      </c>
      <c r="B370" s="2">
        <f t="shared" si="17"/>
        <v>160</v>
      </c>
      <c r="C370" s="3">
        <v>4650</v>
      </c>
      <c r="D370" s="4">
        <v>1400</v>
      </c>
      <c r="E370" s="124">
        <v>300</v>
      </c>
      <c r="F370" s="10">
        <f>C370-D370-E370</f>
        <v>2950</v>
      </c>
      <c r="G370" s="3">
        <v>600</v>
      </c>
      <c r="H370" s="4">
        <v>6</v>
      </c>
      <c r="I370" s="52">
        <v>300</v>
      </c>
      <c r="J370" s="53">
        <v>1</v>
      </c>
      <c r="K370" s="54" t="s">
        <v>399</v>
      </c>
      <c r="L370" s="52"/>
      <c r="M370" s="53"/>
      <c r="N370" s="53"/>
      <c r="O370" s="73"/>
      <c r="P370" s="54"/>
      <c r="Q370" s="52">
        <v>300</v>
      </c>
      <c r="R370" s="53">
        <v>3</v>
      </c>
      <c r="S370" s="57"/>
      <c r="T370" s="60"/>
      <c r="U370" s="106"/>
      <c r="V370" s="56"/>
      <c r="W370" s="54"/>
      <c r="X370" s="54"/>
      <c r="Y370" s="73">
        <v>500</v>
      </c>
      <c r="Z370" s="54">
        <v>2</v>
      </c>
      <c r="AA370" s="55" t="s">
        <v>631</v>
      </c>
      <c r="AB370" s="56"/>
      <c r="AC370" s="54"/>
      <c r="AD370" s="6">
        <v>1900</v>
      </c>
      <c r="AE370" s="49">
        <v>160</v>
      </c>
      <c r="AF370" s="5" t="s">
        <v>15</v>
      </c>
    </row>
    <row r="371" spans="1:32" ht="15.75" thickBot="1">
      <c r="A371" s="11">
        <v>44195</v>
      </c>
      <c r="B371" s="2">
        <f t="shared" si="17"/>
        <v>160</v>
      </c>
      <c r="C371" s="3">
        <f>5985-160-100</f>
        <v>5725</v>
      </c>
      <c r="D371" s="4">
        <v>2545</v>
      </c>
      <c r="E371" s="124">
        <v>250</v>
      </c>
      <c r="F371" s="10">
        <f>C371-D371-E371</f>
        <v>2930</v>
      </c>
      <c r="G371" s="3"/>
      <c r="H371" s="4"/>
      <c r="I371" s="52">
        <v>400</v>
      </c>
      <c r="J371" s="53">
        <v>2</v>
      </c>
      <c r="K371" s="54" t="s">
        <v>634</v>
      </c>
      <c r="L371" s="52"/>
      <c r="M371" s="53"/>
      <c r="N371" s="53"/>
      <c r="O371" s="73"/>
      <c r="P371" s="54"/>
      <c r="Q371" s="52"/>
      <c r="R371" s="53"/>
      <c r="S371" s="57"/>
      <c r="T371" s="60">
        <v>800</v>
      </c>
      <c r="U371" s="106">
        <v>8</v>
      </c>
      <c r="V371" s="56"/>
      <c r="W371" s="54"/>
      <c r="X371" s="54"/>
      <c r="Y371" s="73">
        <f>200+325</f>
        <v>525</v>
      </c>
      <c r="Z371" s="54">
        <v>1</v>
      </c>
      <c r="AA371" s="55" t="s">
        <v>632</v>
      </c>
      <c r="AB371" s="56"/>
      <c r="AC371" s="54"/>
      <c r="AD371" s="6">
        <f>B371+F371-I371-L371-V371-G371-Q371-AC371-AE371</f>
        <v>2450</v>
      </c>
      <c r="AE371" s="49">
        <v>240</v>
      </c>
      <c r="AF371" s="5" t="s">
        <v>15</v>
      </c>
    </row>
    <row r="372" spans="1:32" ht="15.75" thickBot="1">
      <c r="A372" s="11">
        <v>44196</v>
      </c>
      <c r="B372" s="2">
        <f t="shared" si="17"/>
        <v>240</v>
      </c>
      <c r="C372" s="3">
        <v>1060</v>
      </c>
      <c r="D372" s="4">
        <v>960</v>
      </c>
      <c r="E372" s="124">
        <v>0</v>
      </c>
      <c r="F372" s="10">
        <f t="shared" ref="F372:F409" si="19">C372-D372-E372</f>
        <v>100</v>
      </c>
      <c r="G372" s="3"/>
      <c r="H372" s="4"/>
      <c r="I372" s="52"/>
      <c r="J372" s="53"/>
      <c r="K372" s="54"/>
      <c r="L372" s="52"/>
      <c r="M372" s="53"/>
      <c r="N372" s="53"/>
      <c r="O372" s="73"/>
      <c r="P372" s="54"/>
      <c r="Q372" s="52"/>
      <c r="R372" s="53"/>
      <c r="S372" s="57"/>
      <c r="T372" s="60"/>
      <c r="U372" s="61"/>
      <c r="V372" s="56"/>
      <c r="W372" s="54"/>
      <c r="X372" s="54"/>
      <c r="Y372" s="52"/>
      <c r="Z372" s="54"/>
      <c r="AA372" s="55"/>
      <c r="AB372" s="56"/>
      <c r="AC372" s="54"/>
      <c r="AD372" s="6">
        <f t="shared" ref="AD372:AD395" si="20">B372+F372-I372-L372-V372-G372-Q372-AC372-AE372</f>
        <v>100</v>
      </c>
      <c r="AE372" s="49">
        <v>240</v>
      </c>
      <c r="AF372" s="5" t="s">
        <v>15</v>
      </c>
    </row>
    <row r="373" spans="1:32" ht="15.75" thickBot="1">
      <c r="A373" s="11">
        <v>44197</v>
      </c>
      <c r="B373" s="2"/>
      <c r="C373" s="3"/>
      <c r="D373" s="4"/>
      <c r="E373" s="124"/>
      <c r="F373" s="10">
        <f t="shared" si="19"/>
        <v>0</v>
      </c>
      <c r="G373" s="3"/>
      <c r="H373" s="4"/>
      <c r="I373" s="52"/>
      <c r="J373" s="53"/>
      <c r="K373" s="54"/>
      <c r="L373" s="52"/>
      <c r="M373" s="53"/>
      <c r="N373" s="53"/>
      <c r="O373" s="52"/>
      <c r="P373" s="54"/>
      <c r="Q373" s="52"/>
      <c r="R373" s="53"/>
      <c r="S373" s="57"/>
      <c r="T373" s="60"/>
      <c r="U373" s="61"/>
      <c r="V373" s="56"/>
      <c r="W373" s="54"/>
      <c r="X373" s="54"/>
      <c r="Y373" s="52"/>
      <c r="Z373" s="54"/>
      <c r="AA373" s="55"/>
      <c r="AB373" s="56"/>
      <c r="AC373" s="54"/>
      <c r="AD373" s="6">
        <f t="shared" si="20"/>
        <v>0</v>
      </c>
      <c r="AE373" s="49"/>
      <c r="AF373" s="5" t="s">
        <v>15</v>
      </c>
    </row>
    <row r="374" spans="1:32" ht="15.75" thickBot="1">
      <c r="A374" s="11">
        <v>44198</v>
      </c>
      <c r="B374" s="2">
        <v>240</v>
      </c>
      <c r="C374" s="3">
        <v>11900</v>
      </c>
      <c r="D374" s="4">
        <v>8500</v>
      </c>
      <c r="E374" s="124"/>
      <c r="F374" s="10">
        <f t="shared" si="19"/>
        <v>3400</v>
      </c>
      <c r="G374" s="3"/>
      <c r="H374" s="4"/>
      <c r="I374" s="52">
        <v>350</v>
      </c>
      <c r="J374" s="53">
        <v>1</v>
      </c>
      <c r="K374" s="54" t="s">
        <v>636</v>
      </c>
      <c r="L374" s="52"/>
      <c r="M374" s="53"/>
      <c r="N374" s="53"/>
      <c r="O374" s="52"/>
      <c r="P374" s="54"/>
      <c r="Q374" s="52"/>
      <c r="R374" s="53"/>
      <c r="S374" s="57"/>
      <c r="T374" s="60"/>
      <c r="U374" s="61"/>
      <c r="V374" s="56"/>
      <c r="W374" s="54"/>
      <c r="X374" s="54"/>
      <c r="Y374" s="52">
        <v>750</v>
      </c>
      <c r="Z374" s="54">
        <v>3</v>
      </c>
      <c r="AA374" s="55" t="s">
        <v>635</v>
      </c>
      <c r="AB374" s="56"/>
      <c r="AC374" s="54"/>
      <c r="AD374" s="6">
        <f>B374+F374-I374-L374-V374-G374-Q374-AC374-AE374</f>
        <v>3080</v>
      </c>
      <c r="AE374" s="49">
        <v>210</v>
      </c>
      <c r="AF374" s="5" t="s">
        <v>15</v>
      </c>
    </row>
    <row r="375" spans="1:32" ht="15.75" thickBot="1">
      <c r="A375" s="11">
        <v>44199</v>
      </c>
      <c r="B375" s="2">
        <f t="shared" si="17"/>
        <v>210</v>
      </c>
      <c r="C375" s="3">
        <v>5990</v>
      </c>
      <c r="D375" s="4">
        <v>5010</v>
      </c>
      <c r="E375" s="124"/>
      <c r="F375" s="10">
        <f t="shared" si="19"/>
        <v>980</v>
      </c>
      <c r="G375" s="3"/>
      <c r="H375" s="4"/>
      <c r="I375" s="52"/>
      <c r="J375" s="53"/>
      <c r="K375" s="54"/>
      <c r="L375" s="52"/>
      <c r="M375" s="53"/>
      <c r="N375" s="53"/>
      <c r="O375" s="52"/>
      <c r="P375" s="54"/>
      <c r="Q375" s="52">
        <f>R375*100</f>
        <v>300</v>
      </c>
      <c r="R375" s="53">
        <v>3</v>
      </c>
      <c r="S375" s="57"/>
      <c r="T375" s="60"/>
      <c r="U375" s="61"/>
      <c r="V375" s="56">
        <v>450</v>
      </c>
      <c r="W375" s="54">
        <v>2</v>
      </c>
      <c r="X375" s="54" t="s">
        <v>563</v>
      </c>
      <c r="Y375" s="52"/>
      <c r="Z375" s="54"/>
      <c r="AA375" s="55"/>
      <c r="AB375" s="56"/>
      <c r="AC375" s="54"/>
      <c r="AD375" s="6">
        <f t="shared" si="20"/>
        <v>300</v>
      </c>
      <c r="AE375" s="49">
        <v>140</v>
      </c>
      <c r="AF375" s="5" t="s">
        <v>15</v>
      </c>
    </row>
    <row r="376" spans="1:32" ht="15.75" thickBot="1">
      <c r="A376" s="11">
        <v>44200</v>
      </c>
      <c r="B376" s="2">
        <f t="shared" si="17"/>
        <v>140</v>
      </c>
      <c r="C376" s="3">
        <f>14620-140</f>
        <v>14480</v>
      </c>
      <c r="D376" s="4">
        <v>11190</v>
      </c>
      <c r="E376" s="124"/>
      <c r="F376" s="10">
        <f t="shared" si="19"/>
        <v>3290</v>
      </c>
      <c r="G376" s="3"/>
      <c r="H376" s="4"/>
      <c r="I376" s="52">
        <f>450+200+350</f>
        <v>1000</v>
      </c>
      <c r="J376" s="53">
        <v>2</v>
      </c>
      <c r="K376" s="54" t="s">
        <v>637</v>
      </c>
      <c r="L376" s="52"/>
      <c r="M376" s="53"/>
      <c r="N376" s="53"/>
      <c r="O376" s="52"/>
      <c r="P376" s="54"/>
      <c r="Q376" s="52"/>
      <c r="R376" s="53"/>
      <c r="S376" s="57"/>
      <c r="T376" s="60"/>
      <c r="U376" s="61"/>
      <c r="V376" s="56"/>
      <c r="W376" s="54"/>
      <c r="X376" s="54"/>
      <c r="Y376" s="52"/>
      <c r="Z376" s="54"/>
      <c r="AA376" s="55"/>
      <c r="AB376" s="56"/>
      <c r="AC376" s="54"/>
      <c r="AD376" s="6">
        <f t="shared" si="20"/>
        <v>2430</v>
      </c>
      <c r="AE376" s="49">
        <v>0</v>
      </c>
      <c r="AF376" s="5" t="s">
        <v>15</v>
      </c>
    </row>
    <row r="377" spans="1:32" ht="15.75" thickBot="1">
      <c r="A377" s="11">
        <v>44201</v>
      </c>
      <c r="B377" s="2">
        <v>140</v>
      </c>
      <c r="C377" s="3">
        <v>5990</v>
      </c>
      <c r="D377" s="4">
        <v>2980</v>
      </c>
      <c r="E377" s="124"/>
      <c r="F377" s="10">
        <v>3010</v>
      </c>
      <c r="G377" s="3"/>
      <c r="H377" s="4"/>
      <c r="I377" s="52"/>
      <c r="J377" s="53"/>
      <c r="K377" s="54"/>
      <c r="L377" s="52"/>
      <c r="M377" s="53"/>
      <c r="N377" s="53"/>
      <c r="O377" s="52">
        <v>400</v>
      </c>
      <c r="P377" s="54">
        <v>4</v>
      </c>
      <c r="Q377" s="52">
        <v>300</v>
      </c>
      <c r="R377" s="53">
        <v>3</v>
      </c>
      <c r="S377" s="57"/>
      <c r="T377" s="60"/>
      <c r="U377" s="61"/>
      <c r="V377" s="56">
        <v>300</v>
      </c>
      <c r="W377" s="54">
        <v>1</v>
      </c>
      <c r="X377" s="54" t="s">
        <v>464</v>
      </c>
      <c r="Y377" s="52">
        <v>725</v>
      </c>
      <c r="Z377" s="54">
        <v>3</v>
      </c>
      <c r="AA377" s="55" t="s">
        <v>638</v>
      </c>
      <c r="AB377" s="56"/>
      <c r="AC377" s="54"/>
      <c r="AD377" s="6">
        <f t="shared" si="20"/>
        <v>2450</v>
      </c>
      <c r="AE377" s="49">
        <v>100</v>
      </c>
      <c r="AF377" s="5" t="s">
        <v>15</v>
      </c>
    </row>
    <row r="378" spans="1:32" ht="15.75" thickBot="1">
      <c r="A378" s="11">
        <v>44202</v>
      </c>
      <c r="B378" s="2">
        <f t="shared" si="17"/>
        <v>100</v>
      </c>
      <c r="C378" s="3">
        <f>14920-100</f>
        <v>14820</v>
      </c>
      <c r="D378" s="4">
        <v>13370</v>
      </c>
      <c r="E378" s="124"/>
      <c r="F378" s="10">
        <f t="shared" si="19"/>
        <v>1450</v>
      </c>
      <c r="G378" s="3">
        <v>500</v>
      </c>
      <c r="H378" s="4">
        <v>5</v>
      </c>
      <c r="I378" s="52">
        <f>350+200</f>
        <v>550</v>
      </c>
      <c r="J378" s="53">
        <v>2</v>
      </c>
      <c r="K378" s="54" t="s">
        <v>640</v>
      </c>
      <c r="L378" s="52"/>
      <c r="M378" s="53"/>
      <c r="N378" s="53"/>
      <c r="O378" s="52"/>
      <c r="P378" s="54"/>
      <c r="Q378" s="52"/>
      <c r="R378" s="53"/>
      <c r="S378" s="57"/>
      <c r="T378" s="60">
        <v>800</v>
      </c>
      <c r="U378" s="61">
        <v>8</v>
      </c>
      <c r="V378" s="56"/>
      <c r="W378" s="54"/>
      <c r="X378" s="54"/>
      <c r="Y378" s="52">
        <f>350+300+300+400</f>
        <v>1350</v>
      </c>
      <c r="Z378" s="54">
        <v>1</v>
      </c>
      <c r="AA378" s="55" t="s">
        <v>639</v>
      </c>
      <c r="AB378" s="56"/>
      <c r="AC378" s="54"/>
      <c r="AD378" s="6">
        <f t="shared" si="20"/>
        <v>400</v>
      </c>
      <c r="AE378" s="49">
        <v>100</v>
      </c>
      <c r="AF378" s="5" t="s">
        <v>15</v>
      </c>
    </row>
    <row r="379" spans="1:32" ht="15.75" thickBot="1">
      <c r="A379" s="11">
        <v>44203</v>
      </c>
      <c r="B379" s="2">
        <f t="shared" si="17"/>
        <v>100</v>
      </c>
      <c r="C379" s="3"/>
      <c r="D379" s="4"/>
      <c r="E379" s="124"/>
      <c r="F379" s="10">
        <f t="shared" si="19"/>
        <v>0</v>
      </c>
      <c r="G379" s="3"/>
      <c r="H379" s="4"/>
      <c r="I379" s="52"/>
      <c r="J379" s="53"/>
      <c r="K379" s="54"/>
      <c r="L379" s="52"/>
      <c r="M379" s="53"/>
      <c r="N379" s="53"/>
      <c r="O379" s="52"/>
      <c r="P379" s="54"/>
      <c r="Q379" s="52"/>
      <c r="R379" s="53"/>
      <c r="S379" s="57"/>
      <c r="T379" s="60">
        <v>300</v>
      </c>
      <c r="U379" s="61" t="s">
        <v>641</v>
      </c>
      <c r="V379" s="56"/>
      <c r="W379" s="54"/>
      <c r="X379" s="54"/>
      <c r="Y379" s="52"/>
      <c r="Z379" s="54"/>
      <c r="AA379" s="55"/>
      <c r="AB379" s="56"/>
      <c r="AC379" s="54"/>
      <c r="AD379" s="6">
        <f t="shared" si="20"/>
        <v>0</v>
      </c>
      <c r="AE379" s="49">
        <v>100</v>
      </c>
      <c r="AF379" s="5" t="s">
        <v>15</v>
      </c>
    </row>
    <row r="380" spans="1:32" ht="15.75" thickBot="1">
      <c r="A380" s="11">
        <v>44204</v>
      </c>
      <c r="B380" s="2">
        <f t="shared" si="17"/>
        <v>100</v>
      </c>
      <c r="C380" s="3">
        <f>22190-100+600</f>
        <v>22690</v>
      </c>
      <c r="D380" s="4">
        <v>17730</v>
      </c>
      <c r="E380" s="124">
        <v>100</v>
      </c>
      <c r="F380" s="10">
        <f t="shared" si="19"/>
        <v>4860</v>
      </c>
      <c r="G380" s="3">
        <v>600</v>
      </c>
      <c r="H380" s="4">
        <v>6</v>
      </c>
      <c r="I380" s="52">
        <v>200</v>
      </c>
      <c r="J380" s="53">
        <v>1</v>
      </c>
      <c r="K380" s="54" t="s">
        <v>624</v>
      </c>
      <c r="L380" s="52"/>
      <c r="M380" s="53"/>
      <c r="N380" s="53"/>
      <c r="O380" s="52"/>
      <c r="P380" s="54"/>
      <c r="Q380" s="52"/>
      <c r="R380" s="53"/>
      <c r="S380" s="57"/>
      <c r="T380" s="60">
        <v>800</v>
      </c>
      <c r="U380" s="61">
        <v>8</v>
      </c>
      <c r="V380" s="56">
        <f>450+300</f>
        <v>750</v>
      </c>
      <c r="W380" s="54">
        <v>1</v>
      </c>
      <c r="X380" s="54" t="s">
        <v>643</v>
      </c>
      <c r="Y380" s="52">
        <f>250+300+400+200</f>
        <v>1150</v>
      </c>
      <c r="Z380" s="54">
        <v>3</v>
      </c>
      <c r="AA380" s="55" t="s">
        <v>642</v>
      </c>
      <c r="AB380" s="56"/>
      <c r="AC380" s="54"/>
      <c r="AD380" s="6">
        <f>B380+F380-I380-L380-V380-G380-Q380-AC380-AE380</f>
        <v>3100</v>
      </c>
      <c r="AE380" s="49">
        <v>310</v>
      </c>
      <c r="AF380" s="5" t="s">
        <v>15</v>
      </c>
    </row>
    <row r="381" spans="1:32" ht="15.75" thickBot="1">
      <c r="A381" s="11">
        <v>44205</v>
      </c>
      <c r="B381" s="2">
        <f t="shared" si="17"/>
        <v>310</v>
      </c>
      <c r="C381" s="3">
        <v>8900</v>
      </c>
      <c r="D381" s="4">
        <v>7740</v>
      </c>
      <c r="E381" s="124"/>
      <c r="F381" s="10">
        <f t="shared" si="19"/>
        <v>1160</v>
      </c>
      <c r="G381" s="3"/>
      <c r="H381" s="4"/>
      <c r="I381" s="52"/>
      <c r="J381" s="53"/>
      <c r="K381" s="54"/>
      <c r="L381" s="52"/>
      <c r="M381" s="53"/>
      <c r="N381" s="53"/>
      <c r="O381" s="52"/>
      <c r="P381" s="54"/>
      <c r="Q381" s="52"/>
      <c r="R381" s="53"/>
      <c r="S381" s="57"/>
      <c r="T381" s="60"/>
      <c r="U381" s="61"/>
      <c r="V381" s="56">
        <v>300</v>
      </c>
      <c r="W381" s="54">
        <v>1</v>
      </c>
      <c r="X381" s="54" t="s">
        <v>464</v>
      </c>
      <c r="Y381" s="52"/>
      <c r="Z381" s="54"/>
      <c r="AA381" s="55"/>
      <c r="AB381" s="56"/>
      <c r="AC381" s="54"/>
      <c r="AD381" s="6">
        <v>1000</v>
      </c>
      <c r="AE381" s="49">
        <v>280</v>
      </c>
      <c r="AF381" s="5" t="s">
        <v>15</v>
      </c>
    </row>
    <row r="382" spans="1:32" ht="15.75" thickBot="1">
      <c r="A382" s="11">
        <v>44206</v>
      </c>
      <c r="B382" s="2">
        <f t="shared" si="17"/>
        <v>280</v>
      </c>
      <c r="C382" s="3">
        <v>4090</v>
      </c>
      <c r="D382" s="4">
        <v>1640</v>
      </c>
      <c r="E382" s="124"/>
      <c r="F382" s="10">
        <f t="shared" si="19"/>
        <v>2450</v>
      </c>
      <c r="G382" s="3"/>
      <c r="H382" s="4"/>
      <c r="I382" s="52"/>
      <c r="J382" s="53"/>
      <c r="K382" s="54"/>
      <c r="L382" s="52"/>
      <c r="M382" s="53"/>
      <c r="N382" s="53"/>
      <c r="O382" s="52">
        <f>P382*100</f>
        <v>500</v>
      </c>
      <c r="P382" s="54">
        <v>5</v>
      </c>
      <c r="Q382" s="52"/>
      <c r="R382" s="53"/>
      <c r="S382" s="57"/>
      <c r="T382" s="60"/>
      <c r="U382" s="61"/>
      <c r="V382" s="56"/>
      <c r="W382" s="54"/>
      <c r="X382" s="54"/>
      <c r="Y382" s="52">
        <f>400+350</f>
        <v>750</v>
      </c>
      <c r="Z382" s="54">
        <v>2</v>
      </c>
      <c r="AA382" s="55" t="s">
        <v>645</v>
      </c>
      <c r="AB382" s="56"/>
      <c r="AC382" s="54"/>
      <c r="AD382" s="6">
        <f t="shared" si="20"/>
        <v>2450</v>
      </c>
      <c r="AE382" s="49">
        <v>280</v>
      </c>
      <c r="AF382" s="5" t="s">
        <v>15</v>
      </c>
    </row>
    <row r="383" spans="1:32" ht="15.75" thickBot="1">
      <c r="A383" s="11">
        <v>44207</v>
      </c>
      <c r="B383" s="2">
        <f t="shared" si="17"/>
        <v>280</v>
      </c>
      <c r="C383" s="3">
        <v>28430</v>
      </c>
      <c r="D383" s="4">
        <v>24130</v>
      </c>
      <c r="E383" s="124"/>
      <c r="F383" s="10">
        <f t="shared" si="19"/>
        <v>4300</v>
      </c>
      <c r="G383" s="3"/>
      <c r="H383" s="4"/>
      <c r="I383" s="52">
        <v>400</v>
      </c>
      <c r="J383" s="53">
        <v>2</v>
      </c>
      <c r="K383" s="54" t="s">
        <v>298</v>
      </c>
      <c r="L383" s="52">
        <v>650</v>
      </c>
      <c r="M383" s="53">
        <v>2</v>
      </c>
      <c r="N383" s="53" t="s">
        <v>649</v>
      </c>
      <c r="O383" s="52"/>
      <c r="P383" s="54"/>
      <c r="Q383" s="52"/>
      <c r="R383" s="53"/>
      <c r="S383" s="57"/>
      <c r="T383" s="60">
        <v>1100</v>
      </c>
      <c r="U383" s="61">
        <v>11</v>
      </c>
      <c r="V383" s="56">
        <v>700</v>
      </c>
      <c r="W383" s="54">
        <v>2</v>
      </c>
      <c r="X383" s="54" t="s">
        <v>646</v>
      </c>
      <c r="Y383" s="52">
        <v>1425</v>
      </c>
      <c r="Z383" s="54">
        <v>3</v>
      </c>
      <c r="AA383" s="55" t="s">
        <v>647</v>
      </c>
      <c r="AB383" s="56" t="s">
        <v>648</v>
      </c>
      <c r="AC383" s="54" t="s">
        <v>553</v>
      </c>
      <c r="AD383" s="6">
        <v>2500</v>
      </c>
      <c r="AE383" s="49">
        <v>195</v>
      </c>
      <c r="AF383" s="5" t="s">
        <v>15</v>
      </c>
    </row>
    <row r="384" spans="1:32" ht="15.75" thickBot="1">
      <c r="A384" s="11">
        <v>44208</v>
      </c>
      <c r="B384" s="2">
        <f t="shared" si="17"/>
        <v>195</v>
      </c>
      <c r="C384" s="3">
        <v>26190</v>
      </c>
      <c r="D384" s="4">
        <v>24030</v>
      </c>
      <c r="E384" s="124"/>
      <c r="F384" s="10">
        <f t="shared" si="19"/>
        <v>2160</v>
      </c>
      <c r="G384" s="3">
        <v>500</v>
      </c>
      <c r="H384" s="4">
        <v>5</v>
      </c>
      <c r="I384" s="52">
        <v>300</v>
      </c>
      <c r="J384" s="53">
        <v>1</v>
      </c>
      <c r="K384" s="54" t="s">
        <v>399</v>
      </c>
      <c r="L384" s="52"/>
      <c r="M384" s="53"/>
      <c r="N384" s="53"/>
      <c r="O384" s="52">
        <v>900</v>
      </c>
      <c r="P384" s="54">
        <v>9</v>
      </c>
      <c r="Q384" s="52">
        <f>4*100</f>
        <v>400</v>
      </c>
      <c r="R384" s="53">
        <v>4</v>
      </c>
      <c r="S384" s="57"/>
      <c r="T384" s="60"/>
      <c r="U384" s="61"/>
      <c r="V384" s="56">
        <f>300+450+350</f>
        <v>1100</v>
      </c>
      <c r="W384" s="54">
        <v>1</v>
      </c>
      <c r="X384" s="54" t="s">
        <v>652</v>
      </c>
      <c r="Y384" s="52">
        <f>325+200+200+300</f>
        <v>1025</v>
      </c>
      <c r="Z384" s="54">
        <v>1</v>
      </c>
      <c r="AA384" s="55" t="s">
        <v>651</v>
      </c>
      <c r="AB384" s="56"/>
      <c r="AC384" s="54"/>
      <c r="AD384" s="6">
        <f>B384+F384-I384-L384-V384-G384-Q384-AC384-AE384+100</f>
        <v>0</v>
      </c>
      <c r="AE384" s="49">
        <v>155</v>
      </c>
      <c r="AF384" s="5" t="s">
        <v>15</v>
      </c>
    </row>
    <row r="385" spans="1:32" ht="15.75" thickBot="1">
      <c r="A385" s="11">
        <v>44209</v>
      </c>
      <c r="B385" s="2">
        <f t="shared" si="17"/>
        <v>155</v>
      </c>
      <c r="C385" s="3">
        <v>11510</v>
      </c>
      <c r="D385" s="4">
        <v>8840</v>
      </c>
      <c r="E385" s="124"/>
      <c r="F385" s="10">
        <f t="shared" si="19"/>
        <v>2670</v>
      </c>
      <c r="G385" s="3"/>
      <c r="H385" s="4"/>
      <c r="I385" s="52">
        <v>1150</v>
      </c>
      <c r="J385" s="53">
        <v>1</v>
      </c>
      <c r="K385" s="54" t="s">
        <v>653</v>
      </c>
      <c r="L385" s="52">
        <v>400</v>
      </c>
      <c r="M385" s="53">
        <v>1</v>
      </c>
      <c r="N385" s="53" t="s">
        <v>515</v>
      </c>
      <c r="O385" s="52"/>
      <c r="P385" s="54"/>
      <c r="Q385" s="52"/>
      <c r="R385" s="53"/>
      <c r="S385" s="57"/>
      <c r="T385" s="60">
        <v>700</v>
      </c>
      <c r="U385" s="61">
        <v>7</v>
      </c>
      <c r="V385" s="56">
        <v>300</v>
      </c>
      <c r="W385" s="54">
        <v>1</v>
      </c>
      <c r="X385" s="54" t="s">
        <v>464</v>
      </c>
      <c r="Y385" s="52">
        <v>750</v>
      </c>
      <c r="Z385" s="54">
        <v>2</v>
      </c>
      <c r="AA385" s="55" t="s">
        <v>572</v>
      </c>
      <c r="AB385" s="56"/>
      <c r="AC385" s="54"/>
      <c r="AD385" s="6">
        <f t="shared" si="20"/>
        <v>850</v>
      </c>
      <c r="AE385" s="49">
        <v>125</v>
      </c>
      <c r="AF385" s="5" t="s">
        <v>15</v>
      </c>
    </row>
    <row r="386" spans="1:32" ht="15.75" thickBot="1">
      <c r="A386" s="11">
        <v>44210</v>
      </c>
      <c r="B386" s="2">
        <f t="shared" si="17"/>
        <v>125</v>
      </c>
      <c r="C386" s="3">
        <v>7860</v>
      </c>
      <c r="D386" s="4">
        <v>7360</v>
      </c>
      <c r="E386" s="124"/>
      <c r="F386" s="10">
        <f t="shared" si="19"/>
        <v>500</v>
      </c>
      <c r="G386" s="3">
        <v>600</v>
      </c>
      <c r="H386" s="4">
        <v>6</v>
      </c>
      <c r="I386" s="52"/>
      <c r="J386" s="53"/>
      <c r="K386" s="54"/>
      <c r="L386" s="52">
        <v>300</v>
      </c>
      <c r="M386" s="53">
        <v>1</v>
      </c>
      <c r="N386" s="53" t="s">
        <v>120</v>
      </c>
      <c r="O386" s="52">
        <v>300</v>
      </c>
      <c r="P386" s="54">
        <v>3</v>
      </c>
      <c r="Q386" s="52">
        <v>300</v>
      </c>
      <c r="R386" s="53">
        <v>3</v>
      </c>
      <c r="S386" s="57"/>
      <c r="T386" s="60"/>
      <c r="U386" s="61"/>
      <c r="V386" s="56"/>
      <c r="W386" s="54"/>
      <c r="X386" s="54"/>
      <c r="Y386" s="52">
        <f>200+300</f>
        <v>500</v>
      </c>
      <c r="Z386" s="54">
        <v>1</v>
      </c>
      <c r="AA386" s="55" t="s">
        <v>654</v>
      </c>
      <c r="AB386" s="56"/>
      <c r="AC386" s="54"/>
      <c r="AD386" s="6">
        <f>B386+F386-I386-L386-V386-G386-Q386-AC386-AE386+700</f>
        <v>0</v>
      </c>
      <c r="AE386" s="49">
        <v>125</v>
      </c>
      <c r="AF386" s="5" t="s">
        <v>15</v>
      </c>
    </row>
    <row r="387" spans="1:32" ht="15.75" thickBot="1">
      <c r="A387" s="11">
        <v>44211</v>
      </c>
      <c r="B387" s="2">
        <f t="shared" si="17"/>
        <v>125</v>
      </c>
      <c r="C387" s="3">
        <v>6760</v>
      </c>
      <c r="D387" s="4">
        <v>4700</v>
      </c>
      <c r="E387" s="124"/>
      <c r="F387" s="10">
        <f t="shared" si="19"/>
        <v>2060</v>
      </c>
      <c r="G387" s="3"/>
      <c r="H387" s="4"/>
      <c r="I387" s="52">
        <f>250+200+200</f>
        <v>650</v>
      </c>
      <c r="J387" s="53">
        <v>1</v>
      </c>
      <c r="K387" s="54" t="s">
        <v>656</v>
      </c>
      <c r="L387" s="52"/>
      <c r="M387" s="53"/>
      <c r="N387" s="53"/>
      <c r="O387" s="52"/>
      <c r="P387" s="54"/>
      <c r="Q387" s="52"/>
      <c r="R387" s="53"/>
      <c r="S387" s="57"/>
      <c r="T387" s="60">
        <v>900</v>
      </c>
      <c r="U387" s="61">
        <v>9</v>
      </c>
      <c r="V387" s="56">
        <v>350</v>
      </c>
      <c r="W387" s="54">
        <v>1</v>
      </c>
      <c r="X387" s="54" t="s">
        <v>320</v>
      </c>
      <c r="Y387" s="52">
        <f>350+325</f>
        <v>675</v>
      </c>
      <c r="Z387" s="54">
        <v>2</v>
      </c>
      <c r="AA387" s="55" t="s">
        <v>655</v>
      </c>
      <c r="AB387" s="56"/>
      <c r="AC387" s="54"/>
      <c r="AD387" s="6">
        <f>B387+F387-I387-L387-V387-G387-Q387-AC387-AE387</f>
        <v>1050</v>
      </c>
      <c r="AE387" s="49">
        <v>135</v>
      </c>
      <c r="AF387" s="5" t="s">
        <v>15</v>
      </c>
    </row>
    <row r="388" spans="1:32" ht="15.75" thickBot="1">
      <c r="A388" s="11">
        <v>44212</v>
      </c>
      <c r="B388" s="2">
        <f t="shared" si="17"/>
        <v>135</v>
      </c>
      <c r="C388" s="3">
        <v>10630</v>
      </c>
      <c r="D388" s="4">
        <v>10900</v>
      </c>
      <c r="E388" s="124"/>
      <c r="F388" s="10">
        <f t="shared" si="19"/>
        <v>-270</v>
      </c>
      <c r="G388" s="3"/>
      <c r="H388" s="4"/>
      <c r="I388" s="52">
        <v>250</v>
      </c>
      <c r="J388" s="53">
        <v>1</v>
      </c>
      <c r="K388" s="54" t="s">
        <v>455</v>
      </c>
      <c r="L388" s="52"/>
      <c r="M388" s="53"/>
      <c r="N388" s="53"/>
      <c r="O388" s="52"/>
      <c r="P388" s="54"/>
      <c r="Q388" s="52"/>
      <c r="R388" s="53"/>
      <c r="S388" s="57"/>
      <c r="T388" s="60"/>
      <c r="U388" s="61"/>
      <c r="V388" s="56">
        <v>1100</v>
      </c>
      <c r="W388" s="54">
        <v>3</v>
      </c>
      <c r="X388" s="54" t="s">
        <v>657</v>
      </c>
      <c r="Y388" s="52">
        <v>1450</v>
      </c>
      <c r="Z388" s="54">
        <v>3</v>
      </c>
      <c r="AA388" s="55" t="s">
        <v>658</v>
      </c>
      <c r="AB388" s="56"/>
      <c r="AC388" s="54"/>
      <c r="AD388" s="6">
        <f>B388+F388-I388-L388-V388-G388-Q388-AC388-AE388</f>
        <v>-1560</v>
      </c>
      <c r="AE388" s="49">
        <v>75</v>
      </c>
      <c r="AF388" s="5" t="s">
        <v>15</v>
      </c>
    </row>
    <row r="389" spans="1:32" ht="15.75" thickBot="1">
      <c r="A389" s="11">
        <v>44213</v>
      </c>
      <c r="B389" s="2">
        <f t="shared" si="17"/>
        <v>75</v>
      </c>
      <c r="C389" s="3">
        <v>21090</v>
      </c>
      <c r="D389" s="4">
        <v>19550</v>
      </c>
      <c r="E389" s="124">
        <v>160</v>
      </c>
      <c r="F389" s="10">
        <f t="shared" si="19"/>
        <v>1380</v>
      </c>
      <c r="G389" s="3"/>
      <c r="H389" s="4"/>
      <c r="I389" s="52"/>
      <c r="J389" s="53"/>
      <c r="K389" s="54"/>
      <c r="L389" s="52">
        <f>400+300</f>
        <v>700</v>
      </c>
      <c r="M389" s="53">
        <v>3</v>
      </c>
      <c r="N389" s="53" t="s">
        <v>659</v>
      </c>
      <c r="O389" s="52">
        <v>400</v>
      </c>
      <c r="P389" s="54">
        <v>4</v>
      </c>
      <c r="Q389" s="52">
        <v>600</v>
      </c>
      <c r="R389" s="53">
        <v>6</v>
      </c>
      <c r="S389" s="57"/>
      <c r="T389" s="60"/>
      <c r="U389" s="61"/>
      <c r="V389" s="56"/>
      <c r="W389" s="54"/>
      <c r="X389" s="54"/>
      <c r="Y389" s="52"/>
      <c r="Z389" s="54"/>
      <c r="AA389" s="55"/>
      <c r="AB389" s="56"/>
      <c r="AC389" s="54"/>
      <c r="AD389" s="6">
        <f t="shared" si="20"/>
        <v>50</v>
      </c>
      <c r="AE389" s="49">
        <v>105</v>
      </c>
      <c r="AF389" s="5" t="s">
        <v>15</v>
      </c>
    </row>
    <row r="390" spans="1:32" ht="15.75" thickBot="1">
      <c r="A390" s="11">
        <v>44214</v>
      </c>
      <c r="B390" s="2">
        <f t="shared" si="17"/>
        <v>105</v>
      </c>
      <c r="C390" s="3">
        <v>25286</v>
      </c>
      <c r="D390" s="4">
        <v>16450</v>
      </c>
      <c r="E390" s="124">
        <v>100</v>
      </c>
      <c r="F390" s="10">
        <f t="shared" si="19"/>
        <v>8736</v>
      </c>
      <c r="G390" s="3"/>
      <c r="H390" s="4"/>
      <c r="I390" s="52">
        <f>450+600</f>
        <v>1050</v>
      </c>
      <c r="J390" s="53">
        <v>1</v>
      </c>
      <c r="K390" s="54" t="s">
        <v>661</v>
      </c>
      <c r="L390" s="52"/>
      <c r="M390" s="53"/>
      <c r="N390" s="53"/>
      <c r="O390" s="52"/>
      <c r="P390" s="54"/>
      <c r="Q390" s="52"/>
      <c r="R390" s="53"/>
      <c r="S390" s="57"/>
      <c r="T390" s="60">
        <v>700</v>
      </c>
      <c r="U390" s="61">
        <v>7</v>
      </c>
      <c r="V390" s="56">
        <f>300+350</f>
        <v>650</v>
      </c>
      <c r="W390" s="54">
        <v>1</v>
      </c>
      <c r="X390" s="54" t="s">
        <v>660</v>
      </c>
      <c r="Y390" s="52">
        <f>400+400+300+350</f>
        <v>1450</v>
      </c>
      <c r="Z390" s="54">
        <v>4</v>
      </c>
      <c r="AA390" s="55" t="s">
        <v>662</v>
      </c>
      <c r="AB390" s="56"/>
      <c r="AC390" s="54"/>
      <c r="AD390" s="6">
        <f t="shared" si="20"/>
        <v>7000</v>
      </c>
      <c r="AE390" s="49">
        <v>141</v>
      </c>
      <c r="AF390" s="5" t="s">
        <v>15</v>
      </c>
    </row>
    <row r="391" spans="1:32" ht="15.75" thickBot="1">
      <c r="A391" s="11">
        <v>44215</v>
      </c>
      <c r="B391" s="2">
        <f t="shared" si="17"/>
        <v>141</v>
      </c>
      <c r="C391" s="3">
        <v>18010</v>
      </c>
      <c r="D391" s="4">
        <v>6960</v>
      </c>
      <c r="E391" s="124">
        <v>300</v>
      </c>
      <c r="F391" s="10">
        <f t="shared" si="19"/>
        <v>10750</v>
      </c>
      <c r="G391" s="3">
        <v>500</v>
      </c>
      <c r="H391" s="4">
        <v>5</v>
      </c>
      <c r="I391" s="52">
        <f>250+315+350+400</f>
        <v>1315</v>
      </c>
      <c r="J391" s="53">
        <v>5</v>
      </c>
      <c r="K391" s="54" t="s">
        <v>665</v>
      </c>
      <c r="L391" s="52"/>
      <c r="M391" s="53"/>
      <c r="N391" s="53"/>
      <c r="O391" s="52">
        <v>600</v>
      </c>
      <c r="P391" s="54">
        <v>6</v>
      </c>
      <c r="Q391" s="52">
        <v>500</v>
      </c>
      <c r="R391" s="53">
        <v>5</v>
      </c>
      <c r="S391" s="57"/>
      <c r="T391" s="60"/>
      <c r="U391" s="61"/>
      <c r="V391" s="56">
        <v>400</v>
      </c>
      <c r="W391" s="54">
        <v>1</v>
      </c>
      <c r="X391" s="54" t="s">
        <v>663</v>
      </c>
      <c r="Y391" s="52">
        <f>325+200+200+300</f>
        <v>1025</v>
      </c>
      <c r="Z391" s="54">
        <v>3</v>
      </c>
      <c r="AA391" s="55" t="s">
        <v>664</v>
      </c>
      <c r="AB391" s="56"/>
      <c r="AC391" s="54"/>
      <c r="AD391" s="6">
        <f t="shared" si="20"/>
        <v>8100</v>
      </c>
      <c r="AE391" s="49">
        <v>76</v>
      </c>
      <c r="AF391" s="5" t="s">
        <v>15</v>
      </c>
    </row>
    <row r="392" spans="1:32" ht="18.75" customHeight="1" thickBot="1">
      <c r="A392" s="11">
        <v>44216</v>
      </c>
      <c r="B392" s="2">
        <f t="shared" ref="B392:B409" si="21">AE391</f>
        <v>76</v>
      </c>
      <c r="C392" s="3">
        <f>11850+230</f>
        <v>12080</v>
      </c>
      <c r="D392" s="4">
        <v>7800</v>
      </c>
      <c r="E392" s="124">
        <v>2600</v>
      </c>
      <c r="F392" s="10">
        <f t="shared" si="19"/>
        <v>1680</v>
      </c>
      <c r="G392" s="3"/>
      <c r="H392" s="4"/>
      <c r="I392" s="52">
        <v>600</v>
      </c>
      <c r="J392" s="53">
        <v>3</v>
      </c>
      <c r="K392" s="54" t="s">
        <v>669</v>
      </c>
      <c r="L392" s="52">
        <f>300+400+300</f>
        <v>1000</v>
      </c>
      <c r="M392" s="53">
        <v>3</v>
      </c>
      <c r="N392" s="53" t="s">
        <v>667</v>
      </c>
      <c r="O392" s="52"/>
      <c r="P392" s="54"/>
      <c r="Q392" s="52"/>
      <c r="R392" s="53"/>
      <c r="S392" s="57"/>
      <c r="T392" s="60">
        <v>600</v>
      </c>
      <c r="U392" s="61">
        <v>6</v>
      </c>
      <c r="V392" s="56">
        <v>300</v>
      </c>
      <c r="W392" s="54">
        <v>1</v>
      </c>
      <c r="X392" s="54" t="s">
        <v>282</v>
      </c>
      <c r="Y392" s="52">
        <f>325+400+350+300</f>
        <v>1375</v>
      </c>
      <c r="Z392" s="54">
        <v>4</v>
      </c>
      <c r="AA392" s="55" t="s">
        <v>668</v>
      </c>
      <c r="AB392" s="56"/>
      <c r="AC392" s="54"/>
      <c r="AD392" s="6">
        <f>B392+F392-I392-300-G392-Q392-AC392-AE392</f>
        <v>850</v>
      </c>
      <c r="AE392" s="49">
        <v>6</v>
      </c>
      <c r="AF392" s="5" t="s">
        <v>15</v>
      </c>
    </row>
    <row r="393" spans="1:32" ht="15.75" thickBot="1">
      <c r="A393" s="11">
        <v>44217</v>
      </c>
      <c r="B393" s="2">
        <f t="shared" si="21"/>
        <v>6</v>
      </c>
      <c r="C393" s="3">
        <v>18120</v>
      </c>
      <c r="D393" s="4">
        <v>11470</v>
      </c>
      <c r="E393" s="124"/>
      <c r="F393" s="10">
        <f t="shared" si="19"/>
        <v>6650</v>
      </c>
      <c r="G393" s="3">
        <v>600</v>
      </c>
      <c r="H393" s="4">
        <v>6</v>
      </c>
      <c r="I393" s="52">
        <f>250+350+450+315+400</f>
        <v>1765</v>
      </c>
      <c r="J393" s="53">
        <v>4</v>
      </c>
      <c r="K393" s="54" t="s">
        <v>673</v>
      </c>
      <c r="L393" s="52">
        <v>350</v>
      </c>
      <c r="M393" s="53">
        <v>1</v>
      </c>
      <c r="N393" s="53" t="s">
        <v>516</v>
      </c>
      <c r="O393" s="52"/>
      <c r="P393" s="54"/>
      <c r="Q393" s="52">
        <v>500</v>
      </c>
      <c r="R393" s="53">
        <v>5</v>
      </c>
      <c r="S393" s="57"/>
      <c r="T393" s="60"/>
      <c r="U393" s="61"/>
      <c r="V393" s="56"/>
      <c r="W393" s="54"/>
      <c r="X393" s="54"/>
      <c r="Y393" s="52">
        <f>325+200+300</f>
        <v>825</v>
      </c>
      <c r="Z393" s="54">
        <v>3</v>
      </c>
      <c r="AA393" s="55" t="s">
        <v>674</v>
      </c>
      <c r="AB393" s="56"/>
      <c r="AC393" s="54"/>
      <c r="AD393" s="6">
        <f t="shared" si="20"/>
        <v>3350</v>
      </c>
      <c r="AE393" s="49">
        <v>91</v>
      </c>
      <c r="AF393" s="5" t="s">
        <v>15</v>
      </c>
    </row>
    <row r="394" spans="1:32" ht="15.75" thickBot="1">
      <c r="A394" s="11">
        <v>44218</v>
      </c>
      <c r="B394" s="2">
        <f t="shared" si="21"/>
        <v>91</v>
      </c>
      <c r="C394" s="3">
        <v>5710</v>
      </c>
      <c r="D394" s="4">
        <v>3290</v>
      </c>
      <c r="E394" s="124"/>
      <c r="F394" s="10">
        <f t="shared" si="19"/>
        <v>2420</v>
      </c>
      <c r="G394" s="3"/>
      <c r="H394" s="4"/>
      <c r="I394" s="52">
        <v>200</v>
      </c>
      <c r="J394" s="53">
        <v>1</v>
      </c>
      <c r="K394" s="54" t="s">
        <v>624</v>
      </c>
      <c r="L394" s="52"/>
      <c r="M394" s="53"/>
      <c r="N394" s="53"/>
      <c r="O394" s="52"/>
      <c r="P394" s="54"/>
      <c r="Q394" s="52"/>
      <c r="R394" s="53"/>
      <c r="S394" s="57"/>
      <c r="T394" s="60">
        <v>700</v>
      </c>
      <c r="U394" s="61">
        <v>7</v>
      </c>
      <c r="V394" s="56"/>
      <c r="W394" s="54"/>
      <c r="X394" s="54"/>
      <c r="Y394" s="52">
        <v>300</v>
      </c>
      <c r="Z394" s="54">
        <v>1</v>
      </c>
      <c r="AA394" s="55" t="s">
        <v>675</v>
      </c>
      <c r="AB394" s="56"/>
      <c r="AC394" s="54"/>
      <c r="AD394" s="6">
        <v>2250</v>
      </c>
      <c r="AE394" s="49">
        <v>61</v>
      </c>
      <c r="AF394" s="5" t="s">
        <v>15</v>
      </c>
    </row>
    <row r="395" spans="1:32" ht="15.75" thickBot="1">
      <c r="A395" s="11">
        <v>44219</v>
      </c>
      <c r="B395" s="2">
        <f t="shared" si="21"/>
        <v>61</v>
      </c>
      <c r="C395" s="3">
        <v>9790</v>
      </c>
      <c r="D395" s="4">
        <v>9750</v>
      </c>
      <c r="E395" s="124"/>
      <c r="F395" s="10">
        <f t="shared" si="19"/>
        <v>40</v>
      </c>
      <c r="G395" s="3"/>
      <c r="H395" s="4"/>
      <c r="I395" s="52"/>
      <c r="J395" s="53"/>
      <c r="K395" s="54"/>
      <c r="L395" s="52"/>
      <c r="M395" s="53"/>
      <c r="N395" s="53"/>
      <c r="O395" s="52"/>
      <c r="P395" s="54"/>
      <c r="Q395" s="52"/>
      <c r="R395" s="53"/>
      <c r="S395" s="57"/>
      <c r="T395" s="60"/>
      <c r="U395" s="61"/>
      <c r="V395" s="56">
        <v>350</v>
      </c>
      <c r="W395" s="54">
        <v>1</v>
      </c>
      <c r="X395" s="54" t="s">
        <v>320</v>
      </c>
      <c r="Y395" s="52">
        <v>650</v>
      </c>
      <c r="Z395" s="54">
        <v>2</v>
      </c>
      <c r="AA395" s="55" t="s">
        <v>676</v>
      </c>
      <c r="AB395" s="56"/>
      <c r="AC395" s="54"/>
      <c r="AD395" s="6">
        <f t="shared" si="20"/>
        <v>-310</v>
      </c>
      <c r="AE395" s="49">
        <v>61</v>
      </c>
      <c r="AF395" s="5" t="s">
        <v>15</v>
      </c>
    </row>
    <row r="396" spans="1:32" ht="15.75" thickBot="1">
      <c r="A396" s="11">
        <v>44220</v>
      </c>
      <c r="B396" s="2">
        <f t="shared" si="21"/>
        <v>61</v>
      </c>
      <c r="C396" s="3">
        <v>10870</v>
      </c>
      <c r="D396" s="4">
        <v>9010</v>
      </c>
      <c r="E396" s="124"/>
      <c r="F396" s="10">
        <f t="shared" si="19"/>
        <v>1860</v>
      </c>
      <c r="G396" s="3"/>
      <c r="H396" s="4"/>
      <c r="I396" s="52"/>
      <c r="J396" s="53"/>
      <c r="K396" s="54"/>
      <c r="L396" s="52">
        <v>700</v>
      </c>
      <c r="M396" s="53">
        <v>3</v>
      </c>
      <c r="N396" s="53" t="s">
        <v>677</v>
      </c>
      <c r="O396" s="52"/>
      <c r="P396" s="54"/>
      <c r="Q396" s="52">
        <v>500</v>
      </c>
      <c r="R396" s="53">
        <v>5</v>
      </c>
      <c r="S396" s="57"/>
      <c r="T396" s="60"/>
      <c r="U396" s="61"/>
      <c r="V396" s="56"/>
      <c r="W396" s="54"/>
      <c r="X396" s="54"/>
      <c r="Y396" s="52">
        <v>400</v>
      </c>
      <c r="Z396" s="54">
        <v>1</v>
      </c>
      <c r="AA396" s="55" t="s">
        <v>678</v>
      </c>
      <c r="AB396" s="56"/>
      <c r="AC396" s="54"/>
      <c r="AD396" s="6">
        <f t="shared" ref="AD396:AD409" si="22">B396+F396-I396-L396-V396-G396-Q396-AC396-AE396</f>
        <v>700</v>
      </c>
      <c r="AE396" s="49">
        <v>21</v>
      </c>
      <c r="AF396" s="5" t="s">
        <v>15</v>
      </c>
    </row>
    <row r="397" spans="1:32" ht="15.75" thickBot="1">
      <c r="A397" s="11">
        <v>44221</v>
      </c>
      <c r="B397" s="2">
        <f t="shared" si="21"/>
        <v>21</v>
      </c>
      <c r="C397" s="3">
        <v>14910</v>
      </c>
      <c r="D397" s="4">
        <v>12760</v>
      </c>
      <c r="E397" s="124"/>
      <c r="F397" s="10">
        <f t="shared" si="19"/>
        <v>2150</v>
      </c>
      <c r="G397" s="3"/>
      <c r="H397" s="4"/>
      <c r="I397" s="52">
        <v>1800</v>
      </c>
      <c r="J397" s="53">
        <v>7</v>
      </c>
      <c r="K397" s="54" t="s">
        <v>679</v>
      </c>
      <c r="L397" s="52">
        <v>300</v>
      </c>
      <c r="M397" s="53">
        <v>1</v>
      </c>
      <c r="N397" s="53" t="s">
        <v>396</v>
      </c>
      <c r="O397" s="52"/>
      <c r="P397" s="54"/>
      <c r="Q397" s="52"/>
      <c r="R397" s="53"/>
      <c r="S397" s="57"/>
      <c r="T397" s="60">
        <v>900</v>
      </c>
      <c r="U397" s="61">
        <v>9</v>
      </c>
      <c r="V397" s="56"/>
      <c r="W397" s="54"/>
      <c r="X397" s="54"/>
      <c r="Y397" s="52">
        <v>2125</v>
      </c>
      <c r="Z397" s="54">
        <v>7</v>
      </c>
      <c r="AA397" s="55" t="s">
        <v>680</v>
      </c>
      <c r="AB397" s="56"/>
      <c r="AC397" s="54"/>
      <c r="AD397" s="6">
        <v>250</v>
      </c>
      <c r="AE397" s="49">
        <v>91</v>
      </c>
      <c r="AF397" s="5" t="s">
        <v>15</v>
      </c>
    </row>
    <row r="398" spans="1:32" ht="15.75" thickBot="1">
      <c r="A398" s="11">
        <v>44222</v>
      </c>
      <c r="B398" s="2">
        <f t="shared" si="21"/>
        <v>91</v>
      </c>
      <c r="C398" s="3">
        <v>12320</v>
      </c>
      <c r="D398" s="4">
        <v>3990</v>
      </c>
      <c r="E398" s="124"/>
      <c r="F398" s="10">
        <f t="shared" si="19"/>
        <v>8330</v>
      </c>
      <c r="G398" s="3">
        <v>700</v>
      </c>
      <c r="H398" s="4">
        <v>7</v>
      </c>
      <c r="I398" s="52">
        <v>400</v>
      </c>
      <c r="J398" s="53">
        <v>2</v>
      </c>
      <c r="K398" s="54" t="s">
        <v>684</v>
      </c>
      <c r="L398" s="52"/>
      <c r="M398" s="53"/>
      <c r="N398" s="53"/>
      <c r="O398" s="52">
        <v>500</v>
      </c>
      <c r="P398" s="54">
        <v>5</v>
      </c>
      <c r="Q398" s="52">
        <v>400</v>
      </c>
      <c r="R398" s="53">
        <v>4</v>
      </c>
      <c r="S398" s="57"/>
      <c r="T398" s="60"/>
      <c r="U398" s="61"/>
      <c r="V398" s="56">
        <f>300+400+350</f>
        <v>1050</v>
      </c>
      <c r="W398" s="54">
        <v>1</v>
      </c>
      <c r="X398" s="54" t="s">
        <v>683</v>
      </c>
      <c r="Y398" s="52">
        <f>400+300</f>
        <v>700</v>
      </c>
      <c r="Z398" s="54">
        <v>1</v>
      </c>
      <c r="AA398" s="55" t="s">
        <v>682</v>
      </c>
      <c r="AB398" s="56"/>
      <c r="AC398" s="54"/>
      <c r="AD398" s="6">
        <f t="shared" si="22"/>
        <v>5700</v>
      </c>
      <c r="AE398" s="49">
        <v>171</v>
      </c>
      <c r="AF398" s="5" t="s">
        <v>15</v>
      </c>
    </row>
    <row r="399" spans="1:32" ht="15.75" thickBot="1">
      <c r="A399" s="11">
        <v>44223</v>
      </c>
      <c r="B399" s="2">
        <f t="shared" si="21"/>
        <v>171</v>
      </c>
      <c r="C399" s="3">
        <v>10810</v>
      </c>
      <c r="D399" s="4">
        <v>8180</v>
      </c>
      <c r="E399" s="124"/>
      <c r="F399" s="10">
        <f t="shared" si="19"/>
        <v>2630</v>
      </c>
      <c r="G399" s="3"/>
      <c r="H399" s="4"/>
      <c r="I399" s="52">
        <v>600</v>
      </c>
      <c r="J399" s="53">
        <v>3</v>
      </c>
      <c r="K399" s="54" t="s">
        <v>298</v>
      </c>
      <c r="L399" s="52">
        <v>700</v>
      </c>
      <c r="M399" s="53">
        <v>2</v>
      </c>
      <c r="N399" s="53" t="s">
        <v>685</v>
      </c>
      <c r="O399" s="52"/>
      <c r="P399" s="54"/>
      <c r="Q399" s="52"/>
      <c r="R399" s="53"/>
      <c r="S399" s="57"/>
      <c r="T399" s="60">
        <v>800</v>
      </c>
      <c r="U399" s="61">
        <v>8</v>
      </c>
      <c r="V399" s="56">
        <v>1150</v>
      </c>
      <c r="W399" s="54">
        <v>3</v>
      </c>
      <c r="X399" s="54" t="s">
        <v>686</v>
      </c>
      <c r="Y399" s="52"/>
      <c r="Z399" s="54"/>
      <c r="AA399" s="55"/>
      <c r="AB399" s="56"/>
      <c r="AC399" s="54"/>
      <c r="AD399" s="6">
        <v>250</v>
      </c>
      <c r="AE399" s="49">
        <v>201</v>
      </c>
      <c r="AF399" s="5" t="s">
        <v>15</v>
      </c>
    </row>
    <row r="400" spans="1:32" ht="15.75" thickBot="1">
      <c r="A400" s="11">
        <v>44224</v>
      </c>
      <c r="B400" s="2">
        <f t="shared" si="21"/>
        <v>201</v>
      </c>
      <c r="C400" s="3">
        <v>9210</v>
      </c>
      <c r="D400" s="4">
        <v>8220</v>
      </c>
      <c r="E400" s="124">
        <v>300</v>
      </c>
      <c r="F400" s="10">
        <f t="shared" si="19"/>
        <v>690</v>
      </c>
      <c r="G400" s="3">
        <v>600</v>
      </c>
      <c r="H400" s="4">
        <v>6</v>
      </c>
      <c r="I400" s="52">
        <v>965</v>
      </c>
      <c r="J400" s="53">
        <v>5</v>
      </c>
      <c r="K400" s="54" t="s">
        <v>688</v>
      </c>
      <c r="L400" s="52">
        <f>350+250</f>
        <v>600</v>
      </c>
      <c r="M400" s="53">
        <v>2</v>
      </c>
      <c r="N400" s="53" t="s">
        <v>687</v>
      </c>
      <c r="O400" s="52">
        <v>500</v>
      </c>
      <c r="P400" s="54">
        <v>5</v>
      </c>
      <c r="Q400" s="52"/>
      <c r="R400" s="53"/>
      <c r="S400" s="57"/>
      <c r="T400" s="60"/>
      <c r="U400" s="61"/>
      <c r="V400" s="56">
        <f>300+350</f>
        <v>650</v>
      </c>
      <c r="W400" s="54">
        <v>1</v>
      </c>
      <c r="X400" s="54" t="s">
        <v>282</v>
      </c>
      <c r="Y400" s="52">
        <f>325+400+350</f>
        <v>1075</v>
      </c>
      <c r="Z400" s="54">
        <v>3</v>
      </c>
      <c r="AA400" s="55" t="s">
        <v>689</v>
      </c>
      <c r="AB400" s="56"/>
      <c r="AC400" s="54"/>
      <c r="AD400" s="6">
        <f>B400+F400-I400-L400-V400-G400-Q400-AC400-AE400+600+850+650</f>
        <v>0</v>
      </c>
      <c r="AE400" s="49">
        <v>176</v>
      </c>
      <c r="AF400" s="5" t="s">
        <v>15</v>
      </c>
    </row>
    <row r="401" spans="1:32" ht="15.75" thickBot="1">
      <c r="A401" s="11">
        <v>44225</v>
      </c>
      <c r="B401" s="2">
        <f t="shared" si="21"/>
        <v>176</v>
      </c>
      <c r="C401" s="3">
        <v>14230</v>
      </c>
      <c r="D401" s="4">
        <v>5830</v>
      </c>
      <c r="E401" s="124"/>
      <c r="F401" s="10">
        <f t="shared" si="19"/>
        <v>8400</v>
      </c>
      <c r="G401" s="3"/>
      <c r="H401" s="4"/>
      <c r="I401" s="52">
        <f>250+350+400+400</f>
        <v>1400</v>
      </c>
      <c r="J401" s="53">
        <v>1</v>
      </c>
      <c r="K401" s="54" t="s">
        <v>692</v>
      </c>
      <c r="L401" s="52">
        <v>300</v>
      </c>
      <c r="M401" s="53">
        <v>1</v>
      </c>
      <c r="N401" s="53" t="s">
        <v>120</v>
      </c>
      <c r="O401" s="52"/>
      <c r="P401" s="54"/>
      <c r="Q401" s="52"/>
      <c r="R401" s="53"/>
      <c r="S401" s="57"/>
      <c r="T401" s="60">
        <f>700+300</f>
        <v>1000</v>
      </c>
      <c r="U401" s="61">
        <f>7+3</f>
        <v>10</v>
      </c>
      <c r="V401" s="56"/>
      <c r="W401" s="54"/>
      <c r="X401" s="54"/>
      <c r="Y401" s="52">
        <v>1425</v>
      </c>
      <c r="Z401" s="54">
        <v>1</v>
      </c>
      <c r="AA401" s="55" t="s">
        <v>691</v>
      </c>
      <c r="AB401" s="56"/>
      <c r="AC401" s="54" t="s">
        <v>693</v>
      </c>
      <c r="AD401" s="6">
        <v>6700</v>
      </c>
      <c r="AE401" s="49">
        <v>176</v>
      </c>
      <c r="AF401" s="5" t="s">
        <v>15</v>
      </c>
    </row>
    <row r="402" spans="1:32" ht="15.75" thickBot="1">
      <c r="A402" s="11">
        <v>44226</v>
      </c>
      <c r="B402" s="2">
        <f t="shared" si="21"/>
        <v>176</v>
      </c>
      <c r="C402" s="3">
        <v>23520</v>
      </c>
      <c r="D402" s="4">
        <v>22210</v>
      </c>
      <c r="E402" s="124"/>
      <c r="F402" s="10">
        <f t="shared" si="19"/>
        <v>1310</v>
      </c>
      <c r="G402" s="3"/>
      <c r="H402" s="4"/>
      <c r="I402" s="52">
        <v>250</v>
      </c>
      <c r="J402" s="53">
        <v>1</v>
      </c>
      <c r="K402" s="54" t="s">
        <v>696</v>
      </c>
      <c r="L402" s="52"/>
      <c r="M402" s="53"/>
      <c r="N402" s="53"/>
      <c r="O402" s="52"/>
      <c r="P402" s="54"/>
      <c r="Q402" s="52"/>
      <c r="R402" s="53"/>
      <c r="S402" s="57"/>
      <c r="T402" s="60"/>
      <c r="U402" s="61"/>
      <c r="V402" s="56">
        <v>600</v>
      </c>
      <c r="W402" s="54">
        <v>2</v>
      </c>
      <c r="X402" s="54" t="s">
        <v>694</v>
      </c>
      <c r="Y402" s="52">
        <v>850</v>
      </c>
      <c r="Z402" s="54">
        <v>3</v>
      </c>
      <c r="AA402" s="55" t="s">
        <v>695</v>
      </c>
      <c r="AB402" s="56"/>
      <c r="AC402" s="54"/>
      <c r="AD402" s="6">
        <v>450</v>
      </c>
      <c r="AE402" s="49">
        <v>181</v>
      </c>
      <c r="AF402" s="5" t="s">
        <v>15</v>
      </c>
    </row>
    <row r="403" spans="1:32" ht="15.75" thickBot="1">
      <c r="A403" s="11">
        <v>44227</v>
      </c>
      <c r="B403" s="2">
        <f t="shared" si="21"/>
        <v>181</v>
      </c>
      <c r="C403" s="3">
        <v>3150</v>
      </c>
      <c r="D403" s="4">
        <v>1800</v>
      </c>
      <c r="E403" s="124"/>
      <c r="F403" s="10">
        <f t="shared" si="19"/>
        <v>1350</v>
      </c>
      <c r="G403" s="3"/>
      <c r="H403" s="4"/>
      <c r="I403" s="52"/>
      <c r="J403" s="53"/>
      <c r="K403" s="54"/>
      <c r="L403" s="52">
        <v>400</v>
      </c>
      <c r="M403" s="53">
        <v>2</v>
      </c>
      <c r="N403" s="53" t="s">
        <v>597</v>
      </c>
      <c r="O403" s="52"/>
      <c r="P403" s="54"/>
      <c r="Q403" s="52"/>
      <c r="R403" s="53"/>
      <c r="S403" s="57"/>
      <c r="T403" s="60"/>
      <c r="U403" s="61"/>
      <c r="V403" s="56"/>
      <c r="W403" s="54"/>
      <c r="X403" s="54"/>
      <c r="Y403" s="52"/>
      <c r="Z403" s="54"/>
      <c r="AA403" s="55"/>
      <c r="AB403" s="56"/>
      <c r="AC403" s="54"/>
      <c r="AD403" s="6">
        <f t="shared" si="22"/>
        <v>950</v>
      </c>
      <c r="AE403" s="49">
        <v>181</v>
      </c>
      <c r="AF403" s="5" t="s">
        <v>15</v>
      </c>
    </row>
    <row r="404" spans="1:32" ht="15.75" thickBot="1">
      <c r="A404" s="11">
        <v>44228</v>
      </c>
      <c r="B404" s="2">
        <f t="shared" si="21"/>
        <v>181</v>
      </c>
      <c r="C404" s="3">
        <v>19940</v>
      </c>
      <c r="D404" s="4">
        <v>19070</v>
      </c>
      <c r="E404" s="124"/>
      <c r="F404" s="10">
        <f t="shared" si="19"/>
        <v>870</v>
      </c>
      <c r="G404" s="3"/>
      <c r="H404" s="4"/>
      <c r="I404" s="52">
        <v>850</v>
      </c>
      <c r="J404" s="53">
        <v>3</v>
      </c>
      <c r="K404" s="54" t="s">
        <v>699</v>
      </c>
      <c r="L404" s="52">
        <v>600</v>
      </c>
      <c r="M404" s="53">
        <v>2</v>
      </c>
      <c r="N404" s="53" t="s">
        <v>697</v>
      </c>
      <c r="O404" s="52"/>
      <c r="P404" s="54"/>
      <c r="Q404" s="52"/>
      <c r="R404" s="53"/>
      <c r="S404" s="57"/>
      <c r="T404" s="60">
        <v>1200</v>
      </c>
      <c r="U404" s="61">
        <v>12</v>
      </c>
      <c r="V404" s="56">
        <v>300</v>
      </c>
      <c r="W404" s="54">
        <v>1</v>
      </c>
      <c r="X404" s="54" t="s">
        <v>449</v>
      </c>
      <c r="Y404" s="52">
        <v>675</v>
      </c>
      <c r="Z404" s="54">
        <v>2</v>
      </c>
      <c r="AA404" s="55" t="s">
        <v>698</v>
      </c>
      <c r="AB404" s="56"/>
      <c r="AC404" s="54"/>
      <c r="AD404" s="6">
        <f t="shared" si="22"/>
        <v>-730</v>
      </c>
      <c r="AE404" s="49">
        <v>31</v>
      </c>
      <c r="AF404" s="5" t="s">
        <v>15</v>
      </c>
    </row>
    <row r="405" spans="1:32" ht="15.75" thickBot="1">
      <c r="A405" s="11">
        <v>44229</v>
      </c>
      <c r="B405" s="2">
        <f t="shared" si="21"/>
        <v>31</v>
      </c>
      <c r="C405" s="3">
        <v>29460</v>
      </c>
      <c r="D405" s="4">
        <v>26130</v>
      </c>
      <c r="E405" s="124">
        <v>300</v>
      </c>
      <c r="F405" s="10">
        <f t="shared" si="19"/>
        <v>3030</v>
      </c>
      <c r="G405" s="3">
        <v>500</v>
      </c>
      <c r="H405" s="4">
        <v>5</v>
      </c>
      <c r="I405" s="52">
        <f>315+300+400+400+400</f>
        <v>1815</v>
      </c>
      <c r="J405" s="53">
        <v>6</v>
      </c>
      <c r="K405" s="54" t="s">
        <v>702</v>
      </c>
      <c r="L405" s="52">
        <f>350+350</f>
        <v>700</v>
      </c>
      <c r="M405" s="53">
        <v>2</v>
      </c>
      <c r="N405" s="53" t="s">
        <v>700</v>
      </c>
      <c r="O405" s="52">
        <v>1000</v>
      </c>
      <c r="P405" s="54">
        <v>10</v>
      </c>
      <c r="Q405" s="52"/>
      <c r="R405" s="53"/>
      <c r="S405" s="57"/>
      <c r="T405" s="60"/>
      <c r="U405" s="61"/>
      <c r="V405" s="56"/>
      <c r="W405" s="54"/>
      <c r="X405" s="54"/>
      <c r="Y405" s="52">
        <f>400+400+400+300+300</f>
        <v>1800</v>
      </c>
      <c r="Z405" s="54">
        <v>6</v>
      </c>
      <c r="AA405" s="55" t="s">
        <v>703</v>
      </c>
      <c r="AB405" s="56"/>
      <c r="AC405" s="54"/>
      <c r="AD405" s="6">
        <f t="shared" si="22"/>
        <v>0</v>
      </c>
      <c r="AE405" s="49">
        <v>46</v>
      </c>
      <c r="AF405" s="5" t="s">
        <v>15</v>
      </c>
    </row>
    <row r="406" spans="1:32" ht="15.75" thickBot="1">
      <c r="A406" s="11">
        <v>44230</v>
      </c>
      <c r="B406" s="2">
        <f t="shared" si="21"/>
        <v>46</v>
      </c>
      <c r="C406" s="3">
        <v>13280</v>
      </c>
      <c r="D406" s="4">
        <v>10650</v>
      </c>
      <c r="E406" s="124"/>
      <c r="F406" s="10">
        <f t="shared" si="19"/>
        <v>2630</v>
      </c>
      <c r="G406" s="3"/>
      <c r="H406" s="4"/>
      <c r="I406" s="52">
        <v>350</v>
      </c>
      <c r="J406" s="53">
        <v>1</v>
      </c>
      <c r="K406" s="54" t="s">
        <v>707</v>
      </c>
      <c r="L406" s="52">
        <v>1000</v>
      </c>
      <c r="M406" s="53">
        <v>2</v>
      </c>
      <c r="N406" s="53" t="s">
        <v>704</v>
      </c>
      <c r="O406" s="52"/>
      <c r="P406" s="54"/>
      <c r="Q406" s="52" t="s">
        <v>705</v>
      </c>
      <c r="R406" s="53"/>
      <c r="S406" s="57"/>
      <c r="T406" s="60">
        <v>1000</v>
      </c>
      <c r="U406" s="61">
        <v>10</v>
      </c>
      <c r="V406" s="56">
        <v>750</v>
      </c>
      <c r="W406" s="54">
        <v>2</v>
      </c>
      <c r="X406" s="54" t="s">
        <v>706</v>
      </c>
      <c r="Y406" s="52">
        <v>1475</v>
      </c>
      <c r="Z406" s="54">
        <v>4</v>
      </c>
      <c r="AA406" s="55" t="s">
        <v>708</v>
      </c>
      <c r="AB406" s="56"/>
      <c r="AC406" s="54"/>
      <c r="AD406" s="6">
        <v>700</v>
      </c>
      <c r="AE406" s="49">
        <v>6</v>
      </c>
      <c r="AF406" s="5" t="s">
        <v>15</v>
      </c>
    </row>
    <row r="407" spans="1:32" ht="15.75" thickBot="1">
      <c r="A407" s="11">
        <v>44231</v>
      </c>
      <c r="B407" s="2">
        <f t="shared" si="21"/>
        <v>6</v>
      </c>
      <c r="C407" s="3">
        <v>22340</v>
      </c>
      <c r="D407" s="4">
        <v>19120</v>
      </c>
      <c r="E407" s="124"/>
      <c r="F407" s="10">
        <f t="shared" si="19"/>
        <v>3220</v>
      </c>
      <c r="G407" s="3">
        <v>400</v>
      </c>
      <c r="H407" s="4">
        <v>4</v>
      </c>
      <c r="I407" s="52">
        <f>450+300+400+200+400</f>
        <v>1750</v>
      </c>
      <c r="J407" s="53">
        <v>8</v>
      </c>
      <c r="K407" s="54" t="s">
        <v>710</v>
      </c>
      <c r="L407" s="52">
        <f>250+400+300</f>
        <v>950</v>
      </c>
      <c r="M407" s="53">
        <v>4</v>
      </c>
      <c r="N407" s="53" t="s">
        <v>711</v>
      </c>
      <c r="O407" s="52">
        <v>500</v>
      </c>
      <c r="P407" s="54">
        <v>5</v>
      </c>
      <c r="Q407" s="52">
        <v>400</v>
      </c>
      <c r="R407" s="53">
        <v>4</v>
      </c>
      <c r="S407" s="57"/>
      <c r="T407" s="60"/>
      <c r="U407" s="61"/>
      <c r="V407" s="56">
        <f>400+300+350</f>
        <v>1050</v>
      </c>
      <c r="W407" s="54">
        <v>3</v>
      </c>
      <c r="X407" s="54" t="s">
        <v>709</v>
      </c>
      <c r="Y407" s="52">
        <f>500+300+300</f>
        <v>1100</v>
      </c>
      <c r="Z407" s="54">
        <v>2</v>
      </c>
      <c r="AA407" s="55" t="s">
        <v>723</v>
      </c>
      <c r="AB407" s="56">
        <v>-316</v>
      </c>
      <c r="AC407" s="54"/>
      <c r="AD407" s="6">
        <f>B407+F407-I407-L407-V407-G407-Q407-AC407-AE407+1050+350</f>
        <v>0</v>
      </c>
      <c r="AE407" s="49">
        <v>76</v>
      </c>
      <c r="AF407" s="5" t="s">
        <v>15</v>
      </c>
    </row>
    <row r="408" spans="1:32" ht="15.75" thickBot="1">
      <c r="A408" s="11">
        <v>44232</v>
      </c>
      <c r="B408" s="2">
        <f t="shared" si="21"/>
        <v>76</v>
      </c>
      <c r="C408" s="3">
        <v>24520</v>
      </c>
      <c r="D408" s="4">
        <v>16690</v>
      </c>
      <c r="E408" s="124"/>
      <c r="F408" s="10">
        <f t="shared" si="19"/>
        <v>7830</v>
      </c>
      <c r="G408" s="3"/>
      <c r="H408" s="4"/>
      <c r="I408" s="52">
        <v>700</v>
      </c>
      <c r="J408" s="53">
        <v>3</v>
      </c>
      <c r="K408" s="54" t="s">
        <v>714</v>
      </c>
      <c r="L408" s="52">
        <v>650</v>
      </c>
      <c r="M408" s="53">
        <v>2</v>
      </c>
      <c r="N408" s="53" t="s">
        <v>713</v>
      </c>
      <c r="O408" s="52"/>
      <c r="P408" s="54"/>
      <c r="Q408" s="52"/>
      <c r="R408" s="53"/>
      <c r="S408" s="57"/>
      <c r="T408" s="60">
        <v>1000</v>
      </c>
      <c r="U408" s="61">
        <v>10</v>
      </c>
      <c r="V408" s="56">
        <v>1500</v>
      </c>
      <c r="W408" s="54">
        <v>4</v>
      </c>
      <c r="X408" s="54" t="s">
        <v>712</v>
      </c>
      <c r="Y408" s="52">
        <v>1200</v>
      </c>
      <c r="Z408" s="54">
        <v>4</v>
      </c>
      <c r="AA408" s="55" t="s">
        <v>715</v>
      </c>
      <c r="AB408" s="56"/>
      <c r="AC408" s="54"/>
      <c r="AD408" s="6">
        <f t="shared" si="22"/>
        <v>5000</v>
      </c>
      <c r="AE408" s="49">
        <v>56</v>
      </c>
      <c r="AF408" s="5" t="s">
        <v>15</v>
      </c>
    </row>
    <row r="409" spans="1:32" ht="15.75" thickBot="1">
      <c r="A409" s="11">
        <v>44233</v>
      </c>
      <c r="B409" s="2">
        <f t="shared" si="21"/>
        <v>56</v>
      </c>
      <c r="C409" s="3">
        <v>10930</v>
      </c>
      <c r="D409" s="4">
        <v>7580</v>
      </c>
      <c r="E409" s="124"/>
      <c r="F409" s="10">
        <f t="shared" si="19"/>
        <v>3350</v>
      </c>
      <c r="G409" s="3"/>
      <c r="H409" s="4"/>
      <c r="I409" s="52">
        <v>350</v>
      </c>
      <c r="J409" s="53">
        <v>1</v>
      </c>
      <c r="K409" s="54" t="s">
        <v>707</v>
      </c>
      <c r="L409" s="52">
        <v>650</v>
      </c>
      <c r="M409" s="53">
        <v>2</v>
      </c>
      <c r="N409" s="53" t="s">
        <v>716</v>
      </c>
      <c r="O409" s="52"/>
      <c r="P409" s="54"/>
      <c r="Q409" s="52"/>
      <c r="R409" s="53"/>
      <c r="S409" s="57"/>
      <c r="T409" s="52"/>
      <c r="U409" s="54"/>
      <c r="V409" s="56"/>
      <c r="W409" s="54"/>
      <c r="X409" s="54"/>
      <c r="Y409" s="52">
        <f>300+350+325+300</f>
        <v>1275</v>
      </c>
      <c r="Z409" s="54">
        <v>1</v>
      </c>
      <c r="AA409" s="55" t="s">
        <v>717</v>
      </c>
      <c r="AB409" s="56"/>
      <c r="AC409" s="54"/>
      <c r="AD409" s="6">
        <f t="shared" si="22"/>
        <v>2400</v>
      </c>
      <c r="AE409" s="49">
        <v>6</v>
      </c>
      <c r="AF409" s="5" t="s">
        <v>15</v>
      </c>
    </row>
    <row r="410" spans="1:32" ht="15.75" thickBot="1">
      <c r="A410" s="11">
        <v>44234</v>
      </c>
      <c r="B410" s="2">
        <f t="shared" ref="B410:B473" si="23">AE409</f>
        <v>6</v>
      </c>
      <c r="C410" s="3">
        <v>24580</v>
      </c>
      <c r="D410" s="4">
        <v>21360</v>
      </c>
      <c r="E410" s="124"/>
      <c r="F410" s="10">
        <f t="shared" ref="F410:F473" si="24">C410-D410-E410</f>
        <v>3220</v>
      </c>
      <c r="G410" s="3"/>
      <c r="H410" s="4"/>
      <c r="I410" s="52"/>
      <c r="J410" s="53"/>
      <c r="K410" s="54"/>
      <c r="L410" s="52">
        <v>420</v>
      </c>
      <c r="M410" s="53">
        <v>2</v>
      </c>
      <c r="N410" s="53" t="s">
        <v>597</v>
      </c>
      <c r="O410" s="52">
        <v>400</v>
      </c>
      <c r="P410" s="54">
        <v>4</v>
      </c>
      <c r="Q410" s="52">
        <v>600</v>
      </c>
      <c r="R410" s="53">
        <v>6</v>
      </c>
      <c r="S410" s="57"/>
      <c r="T410" s="60"/>
      <c r="U410" s="61"/>
      <c r="V410" s="56"/>
      <c r="W410" s="54"/>
      <c r="X410" s="54"/>
      <c r="Y410" s="52">
        <v>400</v>
      </c>
      <c r="Z410" s="54">
        <v>1</v>
      </c>
      <c r="AA410" s="55" t="s">
        <v>718</v>
      </c>
      <c r="AB410" s="56"/>
      <c r="AC410" s="54"/>
      <c r="AD410" s="6">
        <f t="shared" ref="AD410:AD473" si="25">B410+F410-I410-L410-V410-G410-Q410-AC410-AE410</f>
        <v>2200</v>
      </c>
      <c r="AE410" s="49">
        <v>6</v>
      </c>
      <c r="AF410" s="5" t="s">
        <v>15</v>
      </c>
    </row>
    <row r="411" spans="1:32" ht="15.75" thickBot="1">
      <c r="A411" s="11">
        <v>44235</v>
      </c>
      <c r="B411" s="2">
        <f t="shared" si="23"/>
        <v>6</v>
      </c>
      <c r="C411" s="3">
        <v>7870</v>
      </c>
      <c r="D411" s="4">
        <v>6070</v>
      </c>
      <c r="E411" s="124"/>
      <c r="F411" s="10">
        <f t="shared" si="24"/>
        <v>1800</v>
      </c>
      <c r="G411" s="3"/>
      <c r="H411" s="4"/>
      <c r="I411" s="52">
        <v>1200</v>
      </c>
      <c r="J411" s="53">
        <v>3</v>
      </c>
      <c r="K411" s="54" t="s">
        <v>679</v>
      </c>
      <c r="L411" s="52">
        <v>300</v>
      </c>
      <c r="M411" s="53">
        <v>1</v>
      </c>
      <c r="N411" s="53" t="s">
        <v>120</v>
      </c>
      <c r="O411" s="52"/>
      <c r="P411" s="54"/>
      <c r="Q411" s="52"/>
      <c r="R411" s="53"/>
      <c r="S411" s="57"/>
      <c r="T411" s="60">
        <v>900</v>
      </c>
      <c r="U411" s="61">
        <v>9</v>
      </c>
      <c r="V411" s="56"/>
      <c r="W411" s="54"/>
      <c r="X411" s="54"/>
      <c r="Y411" s="52">
        <v>1375</v>
      </c>
      <c r="Z411" s="54">
        <v>4</v>
      </c>
      <c r="AA411" s="55" t="s">
        <v>719</v>
      </c>
      <c r="AB411" s="56"/>
      <c r="AC411" s="54"/>
      <c r="AD411" s="6">
        <v>300</v>
      </c>
      <c r="AE411" s="49">
        <v>6</v>
      </c>
      <c r="AF411" s="5" t="s">
        <v>15</v>
      </c>
    </row>
    <row r="412" spans="1:32" ht="15.75" thickBot="1">
      <c r="A412" s="11">
        <v>44236</v>
      </c>
      <c r="B412" s="2">
        <f t="shared" si="23"/>
        <v>6</v>
      </c>
      <c r="C412" s="3">
        <v>11760</v>
      </c>
      <c r="D412" s="4">
        <v>9140</v>
      </c>
      <c r="E412" s="124"/>
      <c r="F412" s="10">
        <f t="shared" si="24"/>
        <v>2620</v>
      </c>
      <c r="G412" s="3">
        <v>600</v>
      </c>
      <c r="H412" s="4">
        <v>6</v>
      </c>
      <c r="I412" s="52">
        <f>300+400+400+400</f>
        <v>1500</v>
      </c>
      <c r="J412" s="53">
        <v>3</v>
      </c>
      <c r="K412" s="54" t="s">
        <v>722</v>
      </c>
      <c r="L412" s="52">
        <f>350+400</f>
        <v>750</v>
      </c>
      <c r="M412" s="53">
        <v>1</v>
      </c>
      <c r="N412" s="53" t="s">
        <v>721</v>
      </c>
      <c r="O412" s="52">
        <v>500</v>
      </c>
      <c r="P412" s="54">
        <v>5</v>
      </c>
      <c r="Q412" s="52">
        <v>400</v>
      </c>
      <c r="R412" s="53">
        <v>4</v>
      </c>
      <c r="S412" s="57"/>
      <c r="T412" s="60"/>
      <c r="U412" s="61"/>
      <c r="V412" s="56">
        <f>450</f>
        <v>450</v>
      </c>
      <c r="W412" s="54">
        <v>2</v>
      </c>
      <c r="X412" s="54" t="s">
        <v>563</v>
      </c>
      <c r="Y412" s="52">
        <f>400+400+200+300+300</f>
        <v>1600</v>
      </c>
      <c r="Z412" s="54">
        <v>7</v>
      </c>
      <c r="AA412" s="55" t="s">
        <v>724</v>
      </c>
      <c r="AB412" s="56"/>
      <c r="AC412" s="54"/>
      <c r="AD412" s="6">
        <f>B412+F412-I412-L412-V412-G412-Q412-AC412-AE412+700+400</f>
        <v>0</v>
      </c>
      <c r="AE412" s="49">
        <v>26</v>
      </c>
      <c r="AF412" s="5" t="s">
        <v>15</v>
      </c>
    </row>
    <row r="413" spans="1:32" ht="15.75" thickBot="1">
      <c r="A413" s="11">
        <v>44237</v>
      </c>
      <c r="B413" s="2">
        <f t="shared" si="23"/>
        <v>26</v>
      </c>
      <c r="C413" s="3">
        <v>13810</v>
      </c>
      <c r="D413" s="4">
        <v>12970</v>
      </c>
      <c r="E413" s="124"/>
      <c r="F413" s="10">
        <f t="shared" si="24"/>
        <v>840</v>
      </c>
      <c r="G413" s="3"/>
      <c r="H413" s="4"/>
      <c r="I413" s="52">
        <v>200</v>
      </c>
      <c r="J413" s="53">
        <v>1</v>
      </c>
      <c r="K413" s="54" t="s">
        <v>624</v>
      </c>
      <c r="L413" s="52">
        <v>1375</v>
      </c>
      <c r="M413" s="53">
        <v>4</v>
      </c>
      <c r="N413" s="53" t="s">
        <v>725</v>
      </c>
      <c r="O413" s="52"/>
      <c r="P413" s="54"/>
      <c r="Q413" s="52"/>
      <c r="R413" s="53"/>
      <c r="S413" s="57"/>
      <c r="T413" s="60">
        <v>500</v>
      </c>
      <c r="U413" s="61">
        <v>5</v>
      </c>
      <c r="V413" s="56">
        <v>650</v>
      </c>
      <c r="W413" s="54">
        <v>2</v>
      </c>
      <c r="X413" s="54" t="s">
        <v>660</v>
      </c>
      <c r="Y413" s="52">
        <v>1370</v>
      </c>
      <c r="Z413" s="54">
        <v>4</v>
      </c>
      <c r="AA413" s="55" t="s">
        <v>726</v>
      </c>
      <c r="AB413" s="56"/>
      <c r="AC413" s="54"/>
      <c r="AD413" s="6">
        <f t="shared" si="25"/>
        <v>-1385</v>
      </c>
      <c r="AE413" s="49">
        <v>26</v>
      </c>
      <c r="AF413" s="5" t="s">
        <v>15</v>
      </c>
    </row>
    <row r="414" spans="1:32" ht="15.75" thickBot="1">
      <c r="A414" s="11">
        <v>44238</v>
      </c>
      <c r="B414" s="2">
        <f t="shared" si="23"/>
        <v>26</v>
      </c>
      <c r="C414" s="3">
        <v>18830</v>
      </c>
      <c r="D414" s="4">
        <v>14890</v>
      </c>
      <c r="E414" s="124"/>
      <c r="F414" s="10">
        <f t="shared" si="24"/>
        <v>3940</v>
      </c>
      <c r="G414" s="3">
        <v>300</v>
      </c>
      <c r="H414" s="4">
        <v>3</v>
      </c>
      <c r="I414" s="52">
        <f>450+400+200+300+400</f>
        <v>1750</v>
      </c>
      <c r="J414" s="53">
        <v>5</v>
      </c>
      <c r="K414" s="54" t="s">
        <v>730</v>
      </c>
      <c r="L414" s="52">
        <f>400+300</f>
        <v>700</v>
      </c>
      <c r="M414" s="53">
        <v>3</v>
      </c>
      <c r="N414" s="53" t="s">
        <v>729</v>
      </c>
      <c r="O414" s="52">
        <v>200</v>
      </c>
      <c r="P414" s="54">
        <v>2</v>
      </c>
      <c r="Q414" s="52">
        <v>500</v>
      </c>
      <c r="R414" s="53">
        <v>5</v>
      </c>
      <c r="S414" s="57"/>
      <c r="T414" s="60"/>
      <c r="U414" s="61"/>
      <c r="V414" s="56"/>
      <c r="W414" s="54"/>
      <c r="X414" s="54"/>
      <c r="Y414" s="52">
        <f>600+400+300+300</f>
        <v>1600</v>
      </c>
      <c r="Z414" s="54">
        <v>6</v>
      </c>
      <c r="AA414" s="55" t="s">
        <v>728</v>
      </c>
      <c r="AB414" s="56"/>
      <c r="AC414" s="54"/>
      <c r="AD414" s="6">
        <f t="shared" si="25"/>
        <v>600</v>
      </c>
      <c r="AE414" s="49">
        <v>116</v>
      </c>
      <c r="AF414" s="5" t="s">
        <v>15</v>
      </c>
    </row>
    <row r="415" spans="1:32" ht="15.75" thickBot="1">
      <c r="A415" s="11">
        <v>44239</v>
      </c>
      <c r="B415" s="2">
        <f t="shared" si="23"/>
        <v>116</v>
      </c>
      <c r="C415" s="3">
        <v>15040</v>
      </c>
      <c r="D415" s="4">
        <v>13290</v>
      </c>
      <c r="E415" s="124"/>
      <c r="F415" s="10">
        <f t="shared" si="24"/>
        <v>1750</v>
      </c>
      <c r="G415" s="3"/>
      <c r="H415" s="4"/>
      <c r="I415" s="52">
        <v>400</v>
      </c>
      <c r="J415" s="53">
        <v>2</v>
      </c>
      <c r="K415" s="54" t="s">
        <v>733</v>
      </c>
      <c r="L415" s="52"/>
      <c r="M415" s="53"/>
      <c r="N415" s="53"/>
      <c r="O415" s="52"/>
      <c r="P415" s="54"/>
      <c r="Q415" s="52"/>
      <c r="R415" s="53"/>
      <c r="S415" s="57"/>
      <c r="T415" s="60">
        <v>1000</v>
      </c>
      <c r="U415" s="61">
        <f>7+3</f>
        <v>10</v>
      </c>
      <c r="V415" s="56">
        <f>350+350+300+300</f>
        <v>1300</v>
      </c>
      <c r="W415" s="54">
        <v>3</v>
      </c>
      <c r="X415" s="54" t="s">
        <v>731</v>
      </c>
      <c r="Y415" s="52">
        <f>350+325+350</f>
        <v>1025</v>
      </c>
      <c r="Z415" s="54">
        <v>2</v>
      </c>
      <c r="AA415" s="55" t="s">
        <v>732</v>
      </c>
      <c r="AB415" s="56"/>
      <c r="AC415" s="54"/>
      <c r="AD415" s="6">
        <f t="shared" si="25"/>
        <v>150</v>
      </c>
      <c r="AE415" s="49">
        <v>16</v>
      </c>
      <c r="AF415" s="5" t="s">
        <v>15</v>
      </c>
    </row>
    <row r="416" spans="1:32" ht="15.75" thickBot="1">
      <c r="A416" s="11">
        <v>44240</v>
      </c>
      <c r="B416" s="2">
        <f t="shared" si="23"/>
        <v>16</v>
      </c>
      <c r="C416" s="3">
        <v>3910</v>
      </c>
      <c r="D416" s="4">
        <v>3770</v>
      </c>
      <c r="E416" s="124"/>
      <c r="F416" s="10">
        <f t="shared" si="24"/>
        <v>140</v>
      </c>
      <c r="G416" s="3"/>
      <c r="H416" s="4"/>
      <c r="I416" s="52">
        <v>350</v>
      </c>
      <c r="J416" s="53">
        <v>1</v>
      </c>
      <c r="K416" s="54" t="s">
        <v>707</v>
      </c>
      <c r="L416" s="52">
        <v>700</v>
      </c>
      <c r="M416" s="53">
        <v>2</v>
      </c>
      <c r="N416" s="53" t="s">
        <v>735</v>
      </c>
      <c r="O416" s="52"/>
      <c r="P416" s="54"/>
      <c r="Q416" s="52"/>
      <c r="R416" s="53"/>
      <c r="S416" s="57"/>
      <c r="T416" s="60"/>
      <c r="U416" s="61"/>
      <c r="V416" s="56">
        <v>750</v>
      </c>
      <c r="W416" s="54">
        <v>2</v>
      </c>
      <c r="X416" s="54" t="s">
        <v>734</v>
      </c>
      <c r="Y416" s="52">
        <v>700</v>
      </c>
      <c r="Z416" s="54">
        <v>2</v>
      </c>
      <c r="AA416" s="55" t="s">
        <v>736</v>
      </c>
      <c r="AB416" s="56"/>
      <c r="AC416" s="54"/>
      <c r="AD416" s="6">
        <f t="shared" si="25"/>
        <v>-1644</v>
      </c>
      <c r="AE416" s="49">
        <v>0</v>
      </c>
      <c r="AF416" s="5" t="s">
        <v>15</v>
      </c>
    </row>
    <row r="417" spans="1:32" ht="15.75" thickBot="1">
      <c r="A417" s="11">
        <v>44241</v>
      </c>
      <c r="B417" s="2">
        <f t="shared" si="23"/>
        <v>0</v>
      </c>
      <c r="C417" s="3">
        <v>3380</v>
      </c>
      <c r="D417" s="4">
        <v>2610</v>
      </c>
      <c r="E417" s="124">
        <v>300</v>
      </c>
      <c r="F417" s="10">
        <f t="shared" si="24"/>
        <v>470</v>
      </c>
      <c r="G417" s="3"/>
      <c r="H417" s="4"/>
      <c r="I417" s="52"/>
      <c r="J417" s="53"/>
      <c r="K417" s="54"/>
      <c r="L417" s="52">
        <v>300</v>
      </c>
      <c r="M417" s="53"/>
      <c r="N417" s="53" t="s">
        <v>120</v>
      </c>
      <c r="O417" s="52"/>
      <c r="P417" s="54"/>
      <c r="Q417" s="52">
        <v>600</v>
      </c>
      <c r="R417" s="53">
        <v>6</v>
      </c>
      <c r="S417" s="57"/>
      <c r="T417" s="52"/>
      <c r="U417" s="54"/>
      <c r="V417" s="56"/>
      <c r="W417" s="54"/>
      <c r="X417" s="54"/>
      <c r="Y417" s="52">
        <v>350</v>
      </c>
      <c r="Z417" s="54">
        <v>1</v>
      </c>
      <c r="AA417" s="55" t="s">
        <v>288</v>
      </c>
      <c r="AB417" s="56"/>
      <c r="AC417" s="54"/>
      <c r="AD417" s="6">
        <f t="shared" si="25"/>
        <v>-430</v>
      </c>
      <c r="AE417" s="49">
        <v>0</v>
      </c>
      <c r="AF417" s="5" t="s">
        <v>15</v>
      </c>
    </row>
    <row r="418" spans="1:32" ht="15.75" thickBot="1">
      <c r="A418" s="11">
        <v>44242</v>
      </c>
      <c r="B418" s="2">
        <f t="shared" si="23"/>
        <v>0</v>
      </c>
      <c r="C418" s="3">
        <v>12520</v>
      </c>
      <c r="D418" s="4">
        <v>11120</v>
      </c>
      <c r="E418" s="124"/>
      <c r="F418" s="10">
        <f t="shared" si="24"/>
        <v>1400</v>
      </c>
      <c r="G418" s="3"/>
      <c r="H418" s="4"/>
      <c r="I418" s="52">
        <f>350+400+400</f>
        <v>1150</v>
      </c>
      <c r="J418" s="53">
        <v>3</v>
      </c>
      <c r="K418" s="54" t="s">
        <v>737</v>
      </c>
      <c r="L418" s="52"/>
      <c r="M418" s="53"/>
      <c r="N418" s="53"/>
      <c r="O418" s="52"/>
      <c r="P418" s="54"/>
      <c r="Q418" s="52"/>
      <c r="R418" s="53"/>
      <c r="S418" s="57"/>
      <c r="T418" s="60">
        <v>600</v>
      </c>
      <c r="U418" s="61">
        <v>6</v>
      </c>
      <c r="V418" s="56">
        <f>300+300+400</f>
        <v>1000</v>
      </c>
      <c r="W418" s="54">
        <v>3</v>
      </c>
      <c r="X418" s="54" t="s">
        <v>739</v>
      </c>
      <c r="Y418" s="52">
        <f>325+350+400+300</f>
        <v>1375</v>
      </c>
      <c r="Z418" s="54">
        <v>4</v>
      </c>
      <c r="AA418" s="55" t="s">
        <v>738</v>
      </c>
      <c r="AB418" s="56"/>
      <c r="AC418" s="54"/>
      <c r="AD418" s="6">
        <f>B418+F418-I418-L418-G418-Q418-AC418-AE418</f>
        <v>250</v>
      </c>
      <c r="AE418" s="49">
        <v>0</v>
      </c>
      <c r="AF418" s="5" t="s">
        <v>15</v>
      </c>
    </row>
    <row r="419" spans="1:32" ht="15.75" thickBot="1">
      <c r="A419" s="11">
        <v>44243</v>
      </c>
      <c r="B419" s="2">
        <v>6</v>
      </c>
      <c r="C419" s="3">
        <v>31310</v>
      </c>
      <c r="D419" s="4">
        <v>24110</v>
      </c>
      <c r="E419" s="124">
        <v>300</v>
      </c>
      <c r="F419" s="10">
        <f t="shared" si="24"/>
        <v>6900</v>
      </c>
      <c r="G419" s="3"/>
      <c r="H419" s="4"/>
      <c r="I419" s="52">
        <f>450+400</f>
        <v>850</v>
      </c>
      <c r="J419" s="53">
        <v>1</v>
      </c>
      <c r="K419" s="54" t="s">
        <v>690</v>
      </c>
      <c r="L419" s="52">
        <f>300+450+450</f>
        <v>1200</v>
      </c>
      <c r="M419" s="53">
        <v>1</v>
      </c>
      <c r="N419" s="53" t="s">
        <v>743</v>
      </c>
      <c r="O419" s="52">
        <v>700</v>
      </c>
      <c r="P419" s="54">
        <v>7</v>
      </c>
      <c r="Q419" s="52">
        <v>600</v>
      </c>
      <c r="R419" s="53">
        <v>6</v>
      </c>
      <c r="S419" s="57"/>
      <c r="T419" s="60"/>
      <c r="U419" s="61"/>
      <c r="V419" s="56">
        <f>350+400+300+350+300</f>
        <v>1700</v>
      </c>
      <c r="W419" s="54">
        <v>1</v>
      </c>
      <c r="X419" s="54" t="s">
        <v>744</v>
      </c>
      <c r="Y419" s="52">
        <f>400+400+300</f>
        <v>1100</v>
      </c>
      <c r="Z419" s="54">
        <v>4</v>
      </c>
      <c r="AA419" s="55" t="s">
        <v>742</v>
      </c>
      <c r="AB419" s="56"/>
      <c r="AC419" s="54"/>
      <c r="AD419" s="6">
        <f>B419+F419-I419-G419-Q419-AC419-AE419</f>
        <v>5400</v>
      </c>
      <c r="AE419" s="49">
        <v>56</v>
      </c>
      <c r="AF419" s="5" t="s">
        <v>15</v>
      </c>
    </row>
    <row r="420" spans="1:32" ht="15.75" thickBot="1">
      <c r="A420" s="11">
        <v>44244</v>
      </c>
      <c r="B420" s="2">
        <f t="shared" si="23"/>
        <v>56</v>
      </c>
      <c r="C420" s="3">
        <f>14220+700+6</f>
        <v>14926</v>
      </c>
      <c r="D420" s="4">
        <v>13220</v>
      </c>
      <c r="E420" s="124"/>
      <c r="F420" s="10">
        <f t="shared" si="24"/>
        <v>1706</v>
      </c>
      <c r="G420" s="3"/>
      <c r="H420" s="4"/>
      <c r="I420" s="52"/>
      <c r="J420" s="53"/>
      <c r="K420" s="54"/>
      <c r="L420" s="52"/>
      <c r="M420" s="53"/>
      <c r="N420" s="53"/>
      <c r="O420" s="52"/>
      <c r="P420" s="54"/>
      <c r="Q420" s="52"/>
      <c r="R420" s="53"/>
      <c r="S420" s="57"/>
      <c r="T420" s="60">
        <v>900</v>
      </c>
      <c r="U420" s="61">
        <v>9</v>
      </c>
      <c r="V420" s="56">
        <f>300+450</f>
        <v>750</v>
      </c>
      <c r="W420" s="54">
        <v>2</v>
      </c>
      <c r="X420" s="54" t="s">
        <v>745</v>
      </c>
      <c r="Y420" s="52">
        <f>325+400+350+300</f>
        <v>1375</v>
      </c>
      <c r="Z420" s="54">
        <v>4</v>
      </c>
      <c r="AA420" s="55" t="s">
        <v>747</v>
      </c>
      <c r="AB420" s="56"/>
      <c r="AC420" s="54"/>
      <c r="AD420" s="6">
        <f t="shared" si="25"/>
        <v>856</v>
      </c>
      <c r="AE420" s="49">
        <v>156</v>
      </c>
      <c r="AF420" s="5" t="s">
        <v>15</v>
      </c>
    </row>
    <row r="421" spans="1:32" ht="15.75" thickBot="1">
      <c r="A421" s="11">
        <v>44245</v>
      </c>
      <c r="B421" s="2">
        <f t="shared" si="23"/>
        <v>156</v>
      </c>
      <c r="C421" s="3">
        <f>12331-156+400+375</f>
        <v>12950</v>
      </c>
      <c r="D421" s="4">
        <v>10650</v>
      </c>
      <c r="E421" s="124"/>
      <c r="F421" s="10">
        <f t="shared" si="24"/>
        <v>2300</v>
      </c>
      <c r="G421" s="3"/>
      <c r="H421" s="4"/>
      <c r="I421" s="52">
        <f>350+300+400+350</f>
        <v>1400</v>
      </c>
      <c r="J421" s="53">
        <v>4</v>
      </c>
      <c r="K421" s="54" t="s">
        <v>749</v>
      </c>
      <c r="L421" s="52">
        <f>325+450</f>
        <v>775</v>
      </c>
      <c r="M421" s="53">
        <v>2</v>
      </c>
      <c r="N421" s="53" t="s">
        <v>748</v>
      </c>
      <c r="O421" s="52">
        <v>600</v>
      </c>
      <c r="P421" s="54">
        <v>6</v>
      </c>
      <c r="Q421" s="52">
        <v>300</v>
      </c>
      <c r="R421" s="53">
        <v>3</v>
      </c>
      <c r="S421" s="57"/>
      <c r="T421" s="60"/>
      <c r="U421" s="61"/>
      <c r="V421" s="56">
        <v>400</v>
      </c>
      <c r="W421" s="54">
        <v>1</v>
      </c>
      <c r="X421" s="54" t="s">
        <v>750</v>
      </c>
      <c r="Y421" s="52">
        <f>325+600+300+300</f>
        <v>1525</v>
      </c>
      <c r="Z421" s="54">
        <v>4</v>
      </c>
      <c r="AA421" s="55" t="s">
        <v>751</v>
      </c>
      <c r="AB421" s="56"/>
      <c r="AC421" s="54"/>
      <c r="AD421" s="6">
        <f>B421+F421-I421-75-V421-G421-Q421-AC421-AE421</f>
        <v>150</v>
      </c>
      <c r="AE421" s="49">
        <v>131</v>
      </c>
      <c r="AF421" s="5" t="s">
        <v>15</v>
      </c>
    </row>
    <row r="422" spans="1:32" ht="15.75" thickBot="1">
      <c r="A422" s="11">
        <v>44246</v>
      </c>
      <c r="B422" s="2">
        <f t="shared" si="23"/>
        <v>131</v>
      </c>
      <c r="C422" s="3">
        <f>16264-400</f>
        <v>15864</v>
      </c>
      <c r="D422" s="4">
        <v>11920</v>
      </c>
      <c r="E422" s="124">
        <v>300</v>
      </c>
      <c r="F422" s="10">
        <f>C422-D422-E422</f>
        <v>3644</v>
      </c>
      <c r="G422" s="3"/>
      <c r="H422" s="4"/>
      <c r="I422" s="52">
        <f>400+200</f>
        <v>600</v>
      </c>
      <c r="J422" s="53">
        <v>1</v>
      </c>
      <c r="K422" s="54" t="s">
        <v>752</v>
      </c>
      <c r="L422" s="52">
        <v>400</v>
      </c>
      <c r="M422" s="53">
        <v>1</v>
      </c>
      <c r="N422" s="53" t="s">
        <v>515</v>
      </c>
      <c r="O422" s="52"/>
      <c r="P422" s="54"/>
      <c r="Q422" s="52"/>
      <c r="R422" s="53"/>
      <c r="S422" s="57"/>
      <c r="T422" s="60">
        <v>900</v>
      </c>
      <c r="U422" s="61">
        <v>9</v>
      </c>
      <c r="V422" s="56"/>
      <c r="W422" s="54"/>
      <c r="X422" s="54"/>
      <c r="Y422" s="52">
        <f>400+350+300</f>
        <v>1050</v>
      </c>
      <c r="Z422" s="54">
        <v>1</v>
      </c>
      <c r="AA422" s="55" t="s">
        <v>753</v>
      </c>
      <c r="AB422" s="56"/>
      <c r="AC422" s="54"/>
      <c r="AD422" s="6">
        <f>B422+F422-I422-L422-V422-G422-Q422-AC422-AE422</f>
        <v>2650</v>
      </c>
      <c r="AE422" s="49">
        <v>125</v>
      </c>
      <c r="AF422" s="5" t="s">
        <v>15</v>
      </c>
    </row>
    <row r="423" spans="1:32" ht="15.75" thickBot="1">
      <c r="A423" s="11">
        <v>44247</v>
      </c>
      <c r="B423" s="2">
        <f t="shared" si="23"/>
        <v>125</v>
      </c>
      <c r="C423" s="3">
        <v>13670</v>
      </c>
      <c r="D423" s="4">
        <v>13290</v>
      </c>
      <c r="E423" s="124"/>
      <c r="F423" s="10">
        <f t="shared" si="24"/>
        <v>380</v>
      </c>
      <c r="G423" s="3"/>
      <c r="H423" s="4"/>
      <c r="I423" s="52">
        <v>1000</v>
      </c>
      <c r="J423" s="53">
        <v>3</v>
      </c>
      <c r="K423" s="54" t="s">
        <v>757</v>
      </c>
      <c r="L423" s="52">
        <v>1050</v>
      </c>
      <c r="M423" s="53">
        <v>3</v>
      </c>
      <c r="N423" s="53" t="s">
        <v>755</v>
      </c>
      <c r="O423" s="52"/>
      <c r="P423" s="54"/>
      <c r="Q423" s="52"/>
      <c r="R423" s="53"/>
      <c r="S423" s="57"/>
      <c r="T423" s="60"/>
      <c r="U423" s="61"/>
      <c r="V423" s="56">
        <v>400</v>
      </c>
      <c r="W423" s="54">
        <v>1</v>
      </c>
      <c r="X423" s="54" t="s">
        <v>754</v>
      </c>
      <c r="Y423" s="52">
        <v>600</v>
      </c>
      <c r="Z423" s="54">
        <v>2</v>
      </c>
      <c r="AA423" s="55" t="s">
        <v>756</v>
      </c>
      <c r="AB423" s="56"/>
      <c r="AC423" s="54"/>
      <c r="AD423" s="6">
        <f t="shared" si="25"/>
        <v>-1945</v>
      </c>
      <c r="AE423" s="49">
        <v>0</v>
      </c>
      <c r="AF423" s="5" t="s">
        <v>15</v>
      </c>
    </row>
    <row r="424" spans="1:32" ht="15.75" thickBot="1">
      <c r="A424" s="11">
        <v>44248</v>
      </c>
      <c r="B424" s="2">
        <v>65</v>
      </c>
      <c r="C424" s="3">
        <v>15030</v>
      </c>
      <c r="D424" s="4">
        <v>14670</v>
      </c>
      <c r="E424" s="124"/>
      <c r="F424" s="10">
        <f t="shared" si="24"/>
        <v>360</v>
      </c>
      <c r="G424" s="3"/>
      <c r="H424" s="4"/>
      <c r="I424" s="52"/>
      <c r="J424" s="53"/>
      <c r="K424" s="54"/>
      <c r="L424" s="52"/>
      <c r="M424" s="53"/>
      <c r="N424" s="53"/>
      <c r="O424" s="52">
        <v>700</v>
      </c>
      <c r="P424" s="54">
        <v>7</v>
      </c>
      <c r="Q424" s="52">
        <v>300</v>
      </c>
      <c r="R424" s="53">
        <v>3</v>
      </c>
      <c r="S424" s="57"/>
      <c r="T424" s="60"/>
      <c r="U424" s="61"/>
      <c r="V424" s="56">
        <f>300+350+450</f>
        <v>1100</v>
      </c>
      <c r="W424" s="54">
        <v>2</v>
      </c>
      <c r="X424" s="54" t="s">
        <v>758</v>
      </c>
      <c r="Y424" s="52"/>
      <c r="Z424" s="54"/>
      <c r="AA424" s="55"/>
      <c r="AB424" s="56"/>
      <c r="AC424" s="54"/>
      <c r="AD424" s="6">
        <f>B424+F424-I424-L424-V424-G424-Q424-AC424-AE424+1100</f>
        <v>50</v>
      </c>
      <c r="AE424" s="49">
        <v>75</v>
      </c>
      <c r="AF424" s="5" t="s">
        <v>15</v>
      </c>
    </row>
    <row r="425" spans="1:32" ht="15.75" thickBot="1">
      <c r="A425" s="11">
        <v>44249</v>
      </c>
      <c r="B425" s="2">
        <f t="shared" si="23"/>
        <v>75</v>
      </c>
      <c r="C425" s="3">
        <f>15605-75</f>
        <v>15530</v>
      </c>
      <c r="D425" s="4">
        <v>14560</v>
      </c>
      <c r="E425" s="124">
        <v>100</v>
      </c>
      <c r="F425" s="10">
        <f t="shared" si="24"/>
        <v>870</v>
      </c>
      <c r="G425" s="3"/>
      <c r="H425" s="4"/>
      <c r="I425" s="52"/>
      <c r="J425" s="53"/>
      <c r="K425" s="54"/>
      <c r="L425" s="52">
        <f>325+325</f>
        <v>650</v>
      </c>
      <c r="M425" s="53">
        <v>2</v>
      </c>
      <c r="N425" s="53" t="s">
        <v>759</v>
      </c>
      <c r="O425" s="52"/>
      <c r="P425" s="54"/>
      <c r="Q425" s="52"/>
      <c r="R425" s="53"/>
      <c r="S425" s="57"/>
      <c r="T425" s="52">
        <v>600</v>
      </c>
      <c r="U425" s="54">
        <v>6</v>
      </c>
      <c r="V425" s="56"/>
      <c r="W425" s="54"/>
      <c r="X425" s="54"/>
      <c r="Y425" s="52">
        <f>350+300</f>
        <v>650</v>
      </c>
      <c r="Z425" s="54">
        <v>1</v>
      </c>
      <c r="AA425" s="55" t="s">
        <v>760</v>
      </c>
      <c r="AB425" s="56"/>
      <c r="AC425" s="54"/>
      <c r="AD425" s="6">
        <f>B425+F425-I425-V425-G425-Q425-AC425-AE425</f>
        <v>900</v>
      </c>
      <c r="AE425" s="49">
        <v>45</v>
      </c>
      <c r="AF425" s="5" t="s">
        <v>15</v>
      </c>
    </row>
    <row r="426" spans="1:32" ht="15.75" thickBot="1">
      <c r="A426" s="11">
        <v>44250</v>
      </c>
      <c r="B426" s="2">
        <f t="shared" si="23"/>
        <v>45</v>
      </c>
      <c r="C426" s="3">
        <v>17390</v>
      </c>
      <c r="D426" s="4">
        <v>12640</v>
      </c>
      <c r="E426" s="124"/>
      <c r="F426" s="10">
        <f t="shared" si="24"/>
        <v>4750</v>
      </c>
      <c r="G426" s="3"/>
      <c r="H426" s="4"/>
      <c r="I426" s="52">
        <v>650</v>
      </c>
      <c r="J426" s="53">
        <v>2</v>
      </c>
      <c r="K426" s="54" t="s">
        <v>761</v>
      </c>
      <c r="L426" s="52">
        <f>450+350</f>
        <v>800</v>
      </c>
      <c r="M426" s="53">
        <v>3</v>
      </c>
      <c r="N426" s="53" t="s">
        <v>762</v>
      </c>
      <c r="O426" s="52"/>
      <c r="P426" s="54"/>
      <c r="Q426" s="52">
        <v>500</v>
      </c>
      <c r="R426" s="53">
        <v>5</v>
      </c>
      <c r="S426" s="57"/>
      <c r="T426" s="60"/>
      <c r="U426" s="61"/>
      <c r="V426" s="56">
        <f>300+300+300</f>
        <v>900</v>
      </c>
      <c r="W426" s="54">
        <v>3</v>
      </c>
      <c r="X426" s="54" t="s">
        <v>764</v>
      </c>
      <c r="Y426" s="52">
        <f>325+300</f>
        <v>625</v>
      </c>
      <c r="Z426" s="54">
        <v>2</v>
      </c>
      <c r="AA426" s="55" t="s">
        <v>763</v>
      </c>
      <c r="AB426" s="56"/>
      <c r="AC426" s="54"/>
      <c r="AD426" s="6">
        <f t="shared" si="25"/>
        <v>1800</v>
      </c>
      <c r="AE426" s="49">
        <v>145</v>
      </c>
      <c r="AF426" s="5" t="s">
        <v>15</v>
      </c>
    </row>
    <row r="427" spans="1:32" ht="15.75" thickBot="1">
      <c r="A427" s="11">
        <v>44251</v>
      </c>
      <c r="B427" s="2">
        <f t="shared" si="23"/>
        <v>145</v>
      </c>
      <c r="C427" s="3">
        <v>16970</v>
      </c>
      <c r="D427" s="4">
        <v>13400</v>
      </c>
      <c r="E427" s="124"/>
      <c r="F427" s="10">
        <f t="shared" si="24"/>
        <v>3570</v>
      </c>
      <c r="G427" s="3"/>
      <c r="H427" s="4"/>
      <c r="I427" s="52"/>
      <c r="J427" s="53"/>
      <c r="K427" s="54"/>
      <c r="L427" s="52">
        <f>300+325+400+300</f>
        <v>1325</v>
      </c>
      <c r="M427" s="53">
        <v>2</v>
      </c>
      <c r="N427" s="53" t="s">
        <v>766</v>
      </c>
      <c r="O427" s="52"/>
      <c r="P427" s="54"/>
      <c r="Q427" s="52"/>
      <c r="R427" s="53"/>
      <c r="S427" s="57"/>
      <c r="T427" s="60">
        <v>1000</v>
      </c>
      <c r="U427" s="61">
        <v>10</v>
      </c>
      <c r="V427" s="56">
        <f>400+300+450</f>
        <v>1150</v>
      </c>
      <c r="W427" s="54">
        <v>3</v>
      </c>
      <c r="X427" s="54" t="s">
        <v>765</v>
      </c>
      <c r="Y427" s="52">
        <f>350+300</f>
        <v>650</v>
      </c>
      <c r="Z427" s="54">
        <v>2</v>
      </c>
      <c r="AA427" s="55" t="s">
        <v>760</v>
      </c>
      <c r="AB427" s="56"/>
      <c r="AC427" s="54"/>
      <c r="AD427" s="6">
        <f t="shared" si="25"/>
        <v>1100</v>
      </c>
      <c r="AE427" s="49">
        <v>140</v>
      </c>
      <c r="AF427" s="5" t="s">
        <v>15</v>
      </c>
    </row>
    <row r="428" spans="1:32" ht="15.75" thickBot="1">
      <c r="A428" s="11">
        <v>44252</v>
      </c>
      <c r="B428" s="2">
        <f t="shared" si="23"/>
        <v>140</v>
      </c>
      <c r="C428" s="3">
        <v>8290</v>
      </c>
      <c r="D428" s="4">
        <v>4350</v>
      </c>
      <c r="E428" s="124"/>
      <c r="F428" s="10">
        <f t="shared" si="24"/>
        <v>3940</v>
      </c>
      <c r="G428" s="3">
        <v>400</v>
      </c>
      <c r="H428" s="4">
        <v>4</v>
      </c>
      <c r="I428" s="52">
        <f>350+300+450+200+200+400</f>
        <v>1900</v>
      </c>
      <c r="J428" s="53">
        <v>8</v>
      </c>
      <c r="K428" s="54" t="s">
        <v>768</v>
      </c>
      <c r="L428" s="52"/>
      <c r="M428" s="53"/>
      <c r="N428" s="53"/>
      <c r="O428" s="52">
        <v>600</v>
      </c>
      <c r="P428" s="54">
        <v>6</v>
      </c>
      <c r="Q428" s="52">
        <v>500</v>
      </c>
      <c r="R428" s="53">
        <v>5</v>
      </c>
      <c r="S428" s="57"/>
      <c r="T428" s="60"/>
      <c r="U428" s="61"/>
      <c r="V428" s="56">
        <v>650</v>
      </c>
      <c r="W428" s="54">
        <v>2</v>
      </c>
      <c r="X428" s="54" t="s">
        <v>767</v>
      </c>
      <c r="Y428" s="52">
        <v>1025</v>
      </c>
      <c r="Z428" s="54">
        <v>4</v>
      </c>
      <c r="AA428" s="55" t="s">
        <v>769</v>
      </c>
      <c r="AB428" s="56"/>
      <c r="AC428" s="54"/>
      <c r="AD428" s="6">
        <f t="shared" si="25"/>
        <v>550</v>
      </c>
      <c r="AE428" s="49">
        <v>80</v>
      </c>
      <c r="AF428" s="5" t="s">
        <v>15</v>
      </c>
    </row>
    <row r="429" spans="1:32" ht="15.75" thickBot="1">
      <c r="A429" s="11">
        <v>44253</v>
      </c>
      <c r="B429" s="2">
        <f t="shared" si="23"/>
        <v>80</v>
      </c>
      <c r="C429" s="3">
        <v>10960</v>
      </c>
      <c r="D429" s="4">
        <v>7150</v>
      </c>
      <c r="E429" s="124"/>
      <c r="F429" s="10">
        <f t="shared" si="24"/>
        <v>3810</v>
      </c>
      <c r="G429" s="3"/>
      <c r="H429" s="4"/>
      <c r="I429" s="52"/>
      <c r="J429" s="53"/>
      <c r="K429" s="54"/>
      <c r="L429" s="52"/>
      <c r="M429" s="53"/>
      <c r="N429" s="53"/>
      <c r="O429" s="52"/>
      <c r="P429" s="54"/>
      <c r="Q429" s="52"/>
      <c r="R429" s="53"/>
      <c r="S429" s="57"/>
      <c r="T429" s="60">
        <v>1200</v>
      </c>
      <c r="U429" s="61">
        <v>12</v>
      </c>
      <c r="V429" s="56"/>
      <c r="W429" s="54"/>
      <c r="X429" s="54"/>
      <c r="Y429" s="52">
        <v>925</v>
      </c>
      <c r="Z429" s="54">
        <v>3</v>
      </c>
      <c r="AA429" s="55" t="s">
        <v>770</v>
      </c>
      <c r="AB429" s="56"/>
      <c r="AC429" s="54"/>
      <c r="AD429" s="6">
        <v>3800</v>
      </c>
      <c r="AE429" s="49">
        <v>90</v>
      </c>
      <c r="AF429" s="5" t="s">
        <v>15</v>
      </c>
    </row>
    <row r="430" spans="1:32" ht="15.75" thickBot="1">
      <c r="A430" s="11">
        <v>44254</v>
      </c>
      <c r="B430" s="2">
        <f t="shared" si="23"/>
        <v>90</v>
      </c>
      <c r="C430" s="3">
        <v>11330</v>
      </c>
      <c r="D430" s="4">
        <v>10720</v>
      </c>
      <c r="E430" s="124"/>
      <c r="F430" s="10">
        <f t="shared" si="24"/>
        <v>610</v>
      </c>
      <c r="G430" s="3"/>
      <c r="H430" s="4"/>
      <c r="I430" s="52"/>
      <c r="J430" s="53"/>
      <c r="K430" s="54"/>
      <c r="L430" s="52">
        <v>300</v>
      </c>
      <c r="M430" s="53">
        <v>1</v>
      </c>
      <c r="N430" s="53" t="s">
        <v>121</v>
      </c>
      <c r="O430" s="52"/>
      <c r="P430" s="54"/>
      <c r="Q430" s="52"/>
      <c r="R430" s="53"/>
      <c r="S430" s="57"/>
      <c r="T430" s="60"/>
      <c r="U430" s="61"/>
      <c r="V430" s="56">
        <v>700</v>
      </c>
      <c r="W430" s="54">
        <v>2</v>
      </c>
      <c r="X430" s="54" t="s">
        <v>771</v>
      </c>
      <c r="Y430" s="52">
        <v>950</v>
      </c>
      <c r="Z430" s="54">
        <v>3</v>
      </c>
      <c r="AA430" s="55" t="s">
        <v>772</v>
      </c>
      <c r="AB430" s="56"/>
      <c r="AC430" s="54"/>
      <c r="AD430" s="6">
        <f t="shared" si="25"/>
        <v>-300</v>
      </c>
      <c r="AE430" s="49">
        <v>0</v>
      </c>
      <c r="AF430" s="5" t="s">
        <v>15</v>
      </c>
    </row>
    <row r="431" spans="1:32" ht="15.75" thickBot="1">
      <c r="A431" s="11">
        <v>44255</v>
      </c>
      <c r="B431" s="2">
        <f t="shared" si="23"/>
        <v>0</v>
      </c>
      <c r="C431" s="3">
        <v>17940</v>
      </c>
      <c r="D431" s="4">
        <v>15320</v>
      </c>
      <c r="E431" s="124"/>
      <c r="F431" s="10">
        <f t="shared" si="24"/>
        <v>2620</v>
      </c>
      <c r="G431" s="3"/>
      <c r="H431" s="4"/>
      <c r="I431" s="52"/>
      <c r="J431" s="53"/>
      <c r="K431" s="54"/>
      <c r="L431" s="52">
        <f>300+325+400</f>
        <v>1025</v>
      </c>
      <c r="M431" s="53">
        <v>4</v>
      </c>
      <c r="N431" s="53" t="s">
        <v>773</v>
      </c>
      <c r="O431" s="52"/>
      <c r="P431" s="54"/>
      <c r="Q431" s="52">
        <v>400</v>
      </c>
      <c r="R431" s="53">
        <v>4</v>
      </c>
      <c r="S431" s="57"/>
      <c r="T431" s="60"/>
      <c r="U431" s="61"/>
      <c r="V431" s="56">
        <v>450</v>
      </c>
      <c r="W431" s="54">
        <v>2</v>
      </c>
      <c r="X431" s="54" t="s">
        <v>121</v>
      </c>
      <c r="Y431" s="52">
        <v>300</v>
      </c>
      <c r="Z431" s="54">
        <v>1</v>
      </c>
      <c r="AA431" s="55" t="s">
        <v>774</v>
      </c>
      <c r="AB431" s="56"/>
      <c r="AC431" s="54"/>
      <c r="AD431" s="6">
        <f>B431+F431-I431-L431-V431-G431-Q431-AC431-AE431</f>
        <v>700</v>
      </c>
      <c r="AE431" s="49">
        <v>45</v>
      </c>
      <c r="AF431" s="5" t="s">
        <v>15</v>
      </c>
    </row>
    <row r="432" spans="1:32" ht="15.75" thickBot="1">
      <c r="A432" s="11">
        <v>44256</v>
      </c>
      <c r="B432" s="2">
        <f t="shared" si="23"/>
        <v>45</v>
      </c>
      <c r="C432" s="3">
        <f>40250-45+15</f>
        <v>40220</v>
      </c>
      <c r="D432" s="4">
        <v>22850</v>
      </c>
      <c r="E432" s="124">
        <v>7000</v>
      </c>
      <c r="F432" s="10">
        <f t="shared" si="24"/>
        <v>10370</v>
      </c>
      <c r="G432" s="3"/>
      <c r="H432" s="4"/>
      <c r="I432" s="52">
        <f>450+400+400</f>
        <v>1250</v>
      </c>
      <c r="J432" s="53">
        <v>2</v>
      </c>
      <c r="K432" s="54" t="s">
        <v>775</v>
      </c>
      <c r="L432" s="52"/>
      <c r="M432" s="53"/>
      <c r="N432" s="53"/>
      <c r="O432" s="52"/>
      <c r="P432" s="54"/>
      <c r="Q432" s="52"/>
      <c r="R432" s="53"/>
      <c r="S432" s="57"/>
      <c r="T432" s="60">
        <v>800</v>
      </c>
      <c r="U432" s="61">
        <v>8</v>
      </c>
      <c r="V432" s="56">
        <f>300+350</f>
        <v>650</v>
      </c>
      <c r="W432" s="54">
        <v>2</v>
      </c>
      <c r="X432" s="54" t="s">
        <v>477</v>
      </c>
      <c r="Y432" s="52">
        <f>400+350+300</f>
        <v>1050</v>
      </c>
      <c r="Z432" s="54">
        <v>3</v>
      </c>
      <c r="AA432" s="55" t="s">
        <v>776</v>
      </c>
      <c r="AB432" s="56"/>
      <c r="AC432" s="54"/>
      <c r="AD432" s="6">
        <f>B432+F432-L432-550-G432-Q432-AC432-AE432</f>
        <v>9850</v>
      </c>
      <c r="AE432" s="49">
        <v>15</v>
      </c>
      <c r="AF432" s="5" t="s">
        <v>15</v>
      </c>
    </row>
    <row r="433" spans="1:32" ht="15.75" thickBot="1">
      <c r="A433" s="11">
        <v>44257</v>
      </c>
      <c r="B433" s="2">
        <f t="shared" si="23"/>
        <v>15</v>
      </c>
      <c r="C433" s="3">
        <v>23740</v>
      </c>
      <c r="D433" s="4">
        <v>18220</v>
      </c>
      <c r="E433" s="124"/>
      <c r="F433" s="10">
        <f t="shared" si="24"/>
        <v>5520</v>
      </c>
      <c r="G433" s="3">
        <v>500</v>
      </c>
      <c r="H433" s="4">
        <v>5</v>
      </c>
      <c r="I433" s="52">
        <f>300+450+400</f>
        <v>1150</v>
      </c>
      <c r="J433" s="53">
        <v>5</v>
      </c>
      <c r="K433" s="54" t="s">
        <v>778</v>
      </c>
      <c r="L433" s="52">
        <f>325+300+325+300</f>
        <v>1250</v>
      </c>
      <c r="M433" s="53">
        <v>4</v>
      </c>
      <c r="N433" s="53" t="s">
        <v>779</v>
      </c>
      <c r="O433" s="52">
        <v>900</v>
      </c>
      <c r="P433" s="54">
        <v>9</v>
      </c>
      <c r="Q433" s="52">
        <v>500</v>
      </c>
      <c r="R433" s="53">
        <v>5</v>
      </c>
      <c r="S433" s="57"/>
      <c r="T433" s="52"/>
      <c r="U433" s="54"/>
      <c r="V433" s="56"/>
      <c r="W433" s="54"/>
      <c r="X433" s="54"/>
      <c r="Y433" s="52">
        <f>325+325+200+200+300+300</f>
        <v>1650</v>
      </c>
      <c r="Z433" s="54">
        <v>6</v>
      </c>
      <c r="AA433" s="55" t="s">
        <v>777</v>
      </c>
      <c r="AB433" s="56"/>
      <c r="AC433" s="54"/>
      <c r="AD433" s="6">
        <f>B433+F433-I433-L433-V433-G433-Q433-AC433-AE433</f>
        <v>2100</v>
      </c>
      <c r="AE433" s="49">
        <v>35</v>
      </c>
      <c r="AF433" s="5" t="s">
        <v>15</v>
      </c>
    </row>
    <row r="434" spans="1:32" ht="15.75" thickBot="1">
      <c r="A434" s="11">
        <v>44258</v>
      </c>
      <c r="B434" s="2">
        <f t="shared" si="23"/>
        <v>35</v>
      </c>
      <c r="C434" s="3">
        <f>23871-45-15+3250+30</f>
        <v>27091</v>
      </c>
      <c r="D434" s="4">
        <f>21070+3280</f>
        <v>24350</v>
      </c>
      <c r="E434" s="124"/>
      <c r="F434" s="10">
        <f t="shared" si="24"/>
        <v>2741</v>
      </c>
      <c r="G434" s="3"/>
      <c r="H434" s="4"/>
      <c r="I434" s="52">
        <f>200+200</f>
        <v>400</v>
      </c>
      <c r="J434" s="53">
        <v>2</v>
      </c>
      <c r="K434" s="54" t="s">
        <v>780</v>
      </c>
      <c r="L434" s="52">
        <f>325+400</f>
        <v>725</v>
      </c>
      <c r="M434" s="53">
        <v>2</v>
      </c>
      <c r="N434" s="53" t="s">
        <v>782</v>
      </c>
      <c r="O434" s="52"/>
      <c r="P434" s="54"/>
      <c r="Q434" s="52"/>
      <c r="R434" s="53"/>
      <c r="S434" s="57"/>
      <c r="T434" s="60">
        <v>600</v>
      </c>
      <c r="U434" s="61">
        <v>6</v>
      </c>
      <c r="V434" s="56">
        <f>400+300+450</f>
        <v>1150</v>
      </c>
      <c r="W434" s="54">
        <v>3</v>
      </c>
      <c r="X434" s="54" t="s">
        <v>781</v>
      </c>
      <c r="Y434" s="52">
        <v>1050</v>
      </c>
      <c r="Z434" s="54">
        <v>3</v>
      </c>
      <c r="AA434" s="55" t="s">
        <v>776</v>
      </c>
      <c r="AB434" s="56"/>
      <c r="AC434" s="54"/>
      <c r="AD434" s="6">
        <f>B434+F434-L434--G434-Q434-AC434-AE434</f>
        <v>2000</v>
      </c>
      <c r="AE434" s="49">
        <v>51</v>
      </c>
      <c r="AF434" s="5" t="s">
        <v>15</v>
      </c>
    </row>
    <row r="435" spans="1:32" ht="15.75" thickBot="1">
      <c r="A435" s="11">
        <v>44259</v>
      </c>
      <c r="B435" s="2">
        <f t="shared" si="23"/>
        <v>51</v>
      </c>
      <c r="C435" s="3">
        <v>19090</v>
      </c>
      <c r="D435" s="4">
        <v>12120</v>
      </c>
      <c r="E435" s="124"/>
      <c r="F435" s="10">
        <f t="shared" si="24"/>
        <v>6970</v>
      </c>
      <c r="G435" s="3">
        <v>500</v>
      </c>
      <c r="H435" s="4">
        <v>5</v>
      </c>
      <c r="I435" s="52">
        <f>450+300+450+400+400</f>
        <v>2000</v>
      </c>
      <c r="J435" s="53">
        <v>7</v>
      </c>
      <c r="K435" s="54" t="s">
        <v>787</v>
      </c>
      <c r="L435" s="52">
        <f>300+325</f>
        <v>625</v>
      </c>
      <c r="M435" s="53">
        <v>2</v>
      </c>
      <c r="N435" s="53" t="s">
        <v>784</v>
      </c>
      <c r="O435" s="52">
        <v>700</v>
      </c>
      <c r="P435" s="54">
        <v>7</v>
      </c>
      <c r="Q435" s="52">
        <v>200</v>
      </c>
      <c r="R435" s="53">
        <v>2</v>
      </c>
      <c r="S435" s="57"/>
      <c r="T435" s="60"/>
      <c r="U435" s="61"/>
      <c r="V435" s="56">
        <v>300</v>
      </c>
      <c r="W435" s="54">
        <v>1</v>
      </c>
      <c r="X435" s="54" t="s">
        <v>783</v>
      </c>
      <c r="Y435" s="52">
        <f>400+300</f>
        <v>700</v>
      </c>
      <c r="Z435" s="54">
        <v>2</v>
      </c>
      <c r="AA435" s="55" t="s">
        <v>786</v>
      </c>
      <c r="AB435" s="56"/>
      <c r="AC435" s="54"/>
      <c r="AD435" s="6">
        <f t="shared" si="25"/>
        <v>3300</v>
      </c>
      <c r="AE435" s="49">
        <v>96</v>
      </c>
      <c r="AF435" s="5" t="s">
        <v>15</v>
      </c>
    </row>
    <row r="436" spans="1:32" ht="15.75" thickBot="1">
      <c r="A436" s="11">
        <v>44260</v>
      </c>
      <c r="B436" s="2">
        <f t="shared" si="23"/>
        <v>96</v>
      </c>
      <c r="C436" s="3"/>
      <c r="D436" s="4"/>
      <c r="E436" s="124"/>
      <c r="F436" s="10">
        <f t="shared" si="24"/>
        <v>0</v>
      </c>
      <c r="G436" s="3"/>
      <c r="H436" s="4"/>
      <c r="I436" s="52"/>
      <c r="J436" s="53"/>
      <c r="K436" s="54" t="s">
        <v>785</v>
      </c>
      <c r="L436" s="52"/>
      <c r="M436" s="53"/>
      <c r="N436" s="53"/>
      <c r="O436" s="52"/>
      <c r="P436" s="54"/>
      <c r="Q436" s="52"/>
      <c r="R436" s="53"/>
      <c r="S436" s="57"/>
      <c r="T436" s="60"/>
      <c r="U436" s="61"/>
      <c r="V436" s="56"/>
      <c r="W436" s="54"/>
      <c r="X436" s="54"/>
      <c r="Y436" s="52"/>
      <c r="Z436" s="54"/>
      <c r="AA436" s="55"/>
      <c r="AB436" s="56"/>
      <c r="AC436" s="54"/>
      <c r="AD436" s="6">
        <f t="shared" si="25"/>
        <v>96</v>
      </c>
      <c r="AE436" s="49">
        <v>0</v>
      </c>
      <c r="AF436" s="5" t="s">
        <v>15</v>
      </c>
    </row>
    <row r="437" spans="1:32" ht="15.75" thickBot="1">
      <c r="A437" s="11">
        <v>44261</v>
      </c>
      <c r="B437" s="2">
        <f t="shared" si="23"/>
        <v>0</v>
      </c>
      <c r="C437" s="3"/>
      <c r="D437" s="4"/>
      <c r="E437" s="124"/>
      <c r="F437" s="10">
        <f t="shared" si="24"/>
        <v>0</v>
      </c>
      <c r="G437" s="3"/>
      <c r="H437" s="4"/>
      <c r="I437" s="52"/>
      <c r="J437" s="53"/>
      <c r="K437" s="54"/>
      <c r="L437" s="52"/>
      <c r="M437" s="53"/>
      <c r="N437" s="53"/>
      <c r="O437" s="52"/>
      <c r="P437" s="54"/>
      <c r="Q437" s="52"/>
      <c r="R437" s="53"/>
      <c r="S437" s="57"/>
      <c r="T437" s="60"/>
      <c r="U437" s="61"/>
      <c r="V437" s="56"/>
      <c r="W437" s="54"/>
      <c r="X437" s="54"/>
      <c r="Y437" s="52"/>
      <c r="Z437" s="54"/>
      <c r="AA437" s="55"/>
      <c r="AB437" s="56"/>
      <c r="AC437" s="54"/>
      <c r="AD437" s="6">
        <f t="shared" si="25"/>
        <v>0</v>
      </c>
      <c r="AE437" s="49">
        <v>0</v>
      </c>
      <c r="AF437" s="5" t="s">
        <v>15</v>
      </c>
    </row>
    <row r="438" spans="1:32" ht="15.75" thickBot="1">
      <c r="A438" s="11">
        <v>44262</v>
      </c>
      <c r="B438" s="2">
        <f t="shared" si="23"/>
        <v>0</v>
      </c>
      <c r="C438" s="3"/>
      <c r="D438" s="4"/>
      <c r="E438" s="124"/>
      <c r="F438" s="10">
        <f t="shared" si="24"/>
        <v>0</v>
      </c>
      <c r="G438" s="3"/>
      <c r="H438" s="4"/>
      <c r="I438" s="52"/>
      <c r="J438" s="53"/>
      <c r="K438" s="54"/>
      <c r="L438" s="52"/>
      <c r="M438" s="53"/>
      <c r="N438" s="53"/>
      <c r="O438" s="52"/>
      <c r="P438" s="54"/>
      <c r="Q438" s="52"/>
      <c r="R438" s="53"/>
      <c r="S438" s="57"/>
      <c r="T438" s="60"/>
      <c r="U438" s="61"/>
      <c r="V438" s="56"/>
      <c r="W438" s="54"/>
      <c r="X438" s="54"/>
      <c r="Y438" s="52"/>
      <c r="Z438" s="54"/>
      <c r="AA438" s="55"/>
      <c r="AB438" s="56"/>
      <c r="AC438" s="54"/>
      <c r="AD438" s="6">
        <f t="shared" si="25"/>
        <v>0</v>
      </c>
      <c r="AE438" s="49">
        <v>0</v>
      </c>
      <c r="AF438" s="5" t="s">
        <v>15</v>
      </c>
    </row>
    <row r="439" spans="1:32" ht="15.75" thickBot="1">
      <c r="A439" s="11">
        <v>44263</v>
      </c>
      <c r="B439" s="2">
        <f t="shared" si="23"/>
        <v>0</v>
      </c>
      <c r="C439" s="3"/>
      <c r="D439" s="4"/>
      <c r="E439" s="124"/>
      <c r="F439" s="10">
        <f t="shared" si="24"/>
        <v>0</v>
      </c>
      <c r="G439" s="3"/>
      <c r="H439" s="4"/>
      <c r="I439" s="52"/>
      <c r="J439" s="53"/>
      <c r="K439" s="54"/>
      <c r="L439" s="52"/>
      <c r="M439" s="53"/>
      <c r="N439" s="53"/>
      <c r="O439" s="52"/>
      <c r="P439" s="54"/>
      <c r="Q439" s="52"/>
      <c r="R439" s="53"/>
      <c r="S439" s="57"/>
      <c r="T439" s="60"/>
      <c r="U439" s="61"/>
      <c r="V439" s="56"/>
      <c r="W439" s="54"/>
      <c r="X439" s="54"/>
      <c r="Y439" s="52"/>
      <c r="Z439" s="54"/>
      <c r="AA439" s="55"/>
      <c r="AB439" s="56"/>
      <c r="AC439" s="54"/>
      <c r="AD439" s="6">
        <f t="shared" si="25"/>
        <v>0</v>
      </c>
      <c r="AE439" s="49">
        <v>0</v>
      </c>
      <c r="AF439" s="5" t="s">
        <v>15</v>
      </c>
    </row>
    <row r="440" spans="1:32" ht="15.75" thickBot="1">
      <c r="A440" s="11">
        <v>44264</v>
      </c>
      <c r="B440" s="2">
        <f t="shared" si="23"/>
        <v>0</v>
      </c>
      <c r="C440" s="3"/>
      <c r="D440" s="4"/>
      <c r="E440" s="124"/>
      <c r="F440" s="10">
        <f t="shared" si="24"/>
        <v>0</v>
      </c>
      <c r="G440" s="3"/>
      <c r="H440" s="4"/>
      <c r="I440" s="52"/>
      <c r="J440" s="53"/>
      <c r="K440" s="54"/>
      <c r="L440" s="52"/>
      <c r="M440" s="53"/>
      <c r="N440" s="53"/>
      <c r="O440" s="52"/>
      <c r="P440" s="54"/>
      <c r="Q440" s="52"/>
      <c r="R440" s="53"/>
      <c r="S440" s="57"/>
      <c r="T440" s="60"/>
      <c r="U440" s="61"/>
      <c r="V440" s="56"/>
      <c r="W440" s="54"/>
      <c r="X440" s="54"/>
      <c r="Y440" s="52"/>
      <c r="Z440" s="54"/>
      <c r="AA440" s="55"/>
      <c r="AB440" s="56"/>
      <c r="AC440" s="54"/>
      <c r="AD440" s="6">
        <f t="shared" si="25"/>
        <v>0</v>
      </c>
      <c r="AE440" s="49">
        <v>0</v>
      </c>
      <c r="AF440" s="5" t="s">
        <v>15</v>
      </c>
    </row>
    <row r="441" spans="1:32" ht="15.75" thickBot="1">
      <c r="A441" s="11">
        <v>44265</v>
      </c>
      <c r="B441" s="2">
        <f t="shared" si="23"/>
        <v>0</v>
      </c>
      <c r="C441" s="3"/>
      <c r="D441" s="4"/>
      <c r="E441" s="124"/>
      <c r="F441" s="10">
        <f t="shared" si="24"/>
        <v>0</v>
      </c>
      <c r="G441" s="3"/>
      <c r="H441" s="4"/>
      <c r="I441" s="52"/>
      <c r="J441" s="53"/>
      <c r="K441" s="54"/>
      <c r="L441" s="52"/>
      <c r="M441" s="53"/>
      <c r="N441" s="53"/>
      <c r="O441" s="52"/>
      <c r="P441" s="54"/>
      <c r="Q441" s="52"/>
      <c r="R441" s="53"/>
      <c r="S441" s="57"/>
      <c r="T441" s="52"/>
      <c r="U441" s="54"/>
      <c r="V441" s="56"/>
      <c r="W441" s="54"/>
      <c r="X441" s="54"/>
      <c r="Y441" s="52"/>
      <c r="Z441" s="54"/>
      <c r="AA441" s="55"/>
      <c r="AB441" s="56"/>
      <c r="AC441" s="54"/>
      <c r="AD441" s="6">
        <f t="shared" si="25"/>
        <v>0</v>
      </c>
      <c r="AE441" s="49">
        <v>0</v>
      </c>
      <c r="AF441" s="5" t="s">
        <v>15</v>
      </c>
    </row>
    <row r="442" spans="1:32" ht="15.75" thickBot="1">
      <c r="A442" s="11">
        <v>44266</v>
      </c>
      <c r="B442" s="2">
        <f t="shared" si="23"/>
        <v>0</v>
      </c>
      <c r="C442" s="3"/>
      <c r="D442" s="4"/>
      <c r="E442" s="124"/>
      <c r="F442" s="10">
        <f t="shared" si="24"/>
        <v>0</v>
      </c>
      <c r="G442" s="3"/>
      <c r="H442" s="4"/>
      <c r="I442" s="52"/>
      <c r="J442" s="53"/>
      <c r="K442" s="54"/>
      <c r="L442" s="52"/>
      <c r="M442" s="53"/>
      <c r="N442" s="53"/>
      <c r="O442" s="52"/>
      <c r="P442" s="54"/>
      <c r="Q442" s="52"/>
      <c r="R442" s="53"/>
      <c r="S442" s="57"/>
      <c r="T442" s="60"/>
      <c r="U442" s="61"/>
      <c r="V442" s="56"/>
      <c r="W442" s="54"/>
      <c r="X442" s="54"/>
      <c r="Y442" s="52"/>
      <c r="Z442" s="54"/>
      <c r="AA442" s="55"/>
      <c r="AB442" s="56"/>
      <c r="AC442" s="54"/>
      <c r="AD442" s="6">
        <f t="shared" si="25"/>
        <v>0</v>
      </c>
      <c r="AE442" s="49">
        <v>0</v>
      </c>
      <c r="AF442" s="5" t="s">
        <v>15</v>
      </c>
    </row>
    <row r="443" spans="1:32" ht="15.75" thickBot="1">
      <c r="A443" s="11">
        <v>44267</v>
      </c>
      <c r="B443" s="2">
        <f t="shared" si="23"/>
        <v>0</v>
      </c>
      <c r="C443" s="3"/>
      <c r="D443" s="4"/>
      <c r="E443" s="124"/>
      <c r="F443" s="10">
        <f t="shared" si="24"/>
        <v>0</v>
      </c>
      <c r="G443" s="3"/>
      <c r="H443" s="4"/>
      <c r="I443" s="52"/>
      <c r="J443" s="53"/>
      <c r="K443" s="54"/>
      <c r="L443" s="52"/>
      <c r="M443" s="53"/>
      <c r="N443" s="53"/>
      <c r="O443" s="52"/>
      <c r="P443" s="54"/>
      <c r="Q443" s="52"/>
      <c r="R443" s="53"/>
      <c r="S443" s="57"/>
      <c r="T443" s="60"/>
      <c r="U443" s="61"/>
      <c r="V443" s="56"/>
      <c r="W443" s="54"/>
      <c r="X443" s="54"/>
      <c r="Y443" s="52"/>
      <c r="Z443" s="54"/>
      <c r="AA443" s="55"/>
      <c r="AB443" s="56"/>
      <c r="AC443" s="54"/>
      <c r="AD443" s="6">
        <f t="shared" si="25"/>
        <v>0</v>
      </c>
      <c r="AE443" s="49">
        <v>0</v>
      </c>
      <c r="AF443" s="5" t="s">
        <v>15</v>
      </c>
    </row>
    <row r="444" spans="1:32" ht="15.75" thickBot="1">
      <c r="A444" s="11">
        <v>44268</v>
      </c>
      <c r="B444" s="2">
        <f t="shared" si="23"/>
        <v>0</v>
      </c>
      <c r="C444" s="3"/>
      <c r="D444" s="4"/>
      <c r="E444" s="124"/>
      <c r="F444" s="10">
        <f t="shared" si="24"/>
        <v>0</v>
      </c>
      <c r="G444" s="3"/>
      <c r="H444" s="4"/>
      <c r="I444" s="52"/>
      <c r="J444" s="53"/>
      <c r="K444" s="54"/>
      <c r="L444" s="52"/>
      <c r="M444" s="53"/>
      <c r="N444" s="53"/>
      <c r="O444" s="52"/>
      <c r="P444" s="54"/>
      <c r="Q444" s="52"/>
      <c r="R444" s="53"/>
      <c r="S444" s="57"/>
      <c r="T444" s="60"/>
      <c r="U444" s="61"/>
      <c r="V444" s="56"/>
      <c r="W444" s="54"/>
      <c r="X444" s="54"/>
      <c r="Y444" s="52"/>
      <c r="Z444" s="54"/>
      <c r="AA444" s="55"/>
      <c r="AB444" s="56"/>
      <c r="AC444" s="54"/>
      <c r="AD444" s="6">
        <f t="shared" si="25"/>
        <v>0</v>
      </c>
      <c r="AE444" s="49">
        <v>0</v>
      </c>
      <c r="AF444" s="5" t="s">
        <v>15</v>
      </c>
    </row>
    <row r="445" spans="1:32" ht="15.75" thickBot="1">
      <c r="A445" s="11">
        <v>44269</v>
      </c>
      <c r="B445" s="2">
        <f t="shared" si="23"/>
        <v>0</v>
      </c>
      <c r="C445" s="3"/>
      <c r="D445" s="4"/>
      <c r="E445" s="124"/>
      <c r="F445" s="10">
        <f t="shared" si="24"/>
        <v>0</v>
      </c>
      <c r="G445" s="3"/>
      <c r="H445" s="4"/>
      <c r="I445" s="52"/>
      <c r="J445" s="53"/>
      <c r="K445" s="54"/>
      <c r="L445" s="52"/>
      <c r="M445" s="53"/>
      <c r="N445" s="53"/>
      <c r="O445" s="52"/>
      <c r="P445" s="54"/>
      <c r="Q445" s="52"/>
      <c r="R445" s="53"/>
      <c r="S445" s="57"/>
      <c r="T445" s="60"/>
      <c r="U445" s="61"/>
      <c r="V445" s="56"/>
      <c r="W445" s="54"/>
      <c r="X445" s="54"/>
      <c r="Y445" s="52"/>
      <c r="Z445" s="54"/>
      <c r="AA445" s="55"/>
      <c r="AB445" s="56"/>
      <c r="AC445" s="54"/>
      <c r="AD445" s="6">
        <f t="shared" si="25"/>
        <v>0</v>
      </c>
      <c r="AE445" s="49">
        <v>0</v>
      </c>
      <c r="AF445" s="5" t="s">
        <v>15</v>
      </c>
    </row>
    <row r="446" spans="1:32" ht="15.75" thickBot="1">
      <c r="A446" s="11">
        <v>44270</v>
      </c>
      <c r="B446" s="2">
        <f t="shared" si="23"/>
        <v>0</v>
      </c>
      <c r="C446" s="3"/>
      <c r="D446" s="4"/>
      <c r="E446" s="124"/>
      <c r="F446" s="10">
        <f t="shared" si="24"/>
        <v>0</v>
      </c>
      <c r="G446" s="3"/>
      <c r="H446" s="4"/>
      <c r="I446" s="52"/>
      <c r="J446" s="53"/>
      <c r="K446" s="54"/>
      <c r="L446" s="52"/>
      <c r="M446" s="53"/>
      <c r="N446" s="53"/>
      <c r="O446" s="52"/>
      <c r="P446" s="54"/>
      <c r="Q446" s="52"/>
      <c r="R446" s="53"/>
      <c r="S446" s="57"/>
      <c r="T446" s="60"/>
      <c r="U446" s="61"/>
      <c r="V446" s="56"/>
      <c r="W446" s="54"/>
      <c r="X446" s="54"/>
      <c r="Y446" s="52"/>
      <c r="Z446" s="54"/>
      <c r="AA446" s="55"/>
      <c r="AB446" s="56"/>
      <c r="AC446" s="54"/>
      <c r="AD446" s="6">
        <f t="shared" si="25"/>
        <v>0</v>
      </c>
      <c r="AE446" s="49">
        <v>0</v>
      </c>
      <c r="AF446" s="5" t="s">
        <v>15</v>
      </c>
    </row>
    <row r="447" spans="1:32" ht="15.75" thickBot="1">
      <c r="A447" s="11">
        <v>44271</v>
      </c>
      <c r="B447" s="2">
        <f t="shared" si="23"/>
        <v>0</v>
      </c>
      <c r="C447" s="3"/>
      <c r="D447" s="4"/>
      <c r="E447" s="124"/>
      <c r="F447" s="10">
        <f t="shared" si="24"/>
        <v>0</v>
      </c>
      <c r="G447" s="3"/>
      <c r="H447" s="4"/>
      <c r="I447" s="52"/>
      <c r="J447" s="53"/>
      <c r="K447" s="54"/>
      <c r="L447" s="52"/>
      <c r="M447" s="53"/>
      <c r="N447" s="53"/>
      <c r="O447" s="52"/>
      <c r="P447" s="54"/>
      <c r="Q447" s="52"/>
      <c r="R447" s="53"/>
      <c r="S447" s="57"/>
      <c r="T447" s="60"/>
      <c r="U447" s="61"/>
      <c r="V447" s="56"/>
      <c r="W447" s="54"/>
      <c r="X447" s="54"/>
      <c r="Y447" s="52"/>
      <c r="Z447" s="54"/>
      <c r="AA447" s="55"/>
      <c r="AB447" s="56"/>
      <c r="AC447" s="54"/>
      <c r="AD447" s="6">
        <f t="shared" si="25"/>
        <v>0</v>
      </c>
      <c r="AE447" s="49">
        <v>0</v>
      </c>
      <c r="AF447" s="5" t="s">
        <v>15</v>
      </c>
    </row>
    <row r="448" spans="1:32" ht="15.75" thickBot="1">
      <c r="A448" s="11">
        <v>44272</v>
      </c>
      <c r="B448" s="2">
        <f t="shared" si="23"/>
        <v>0</v>
      </c>
      <c r="C448" s="3"/>
      <c r="D448" s="4"/>
      <c r="E448" s="124"/>
      <c r="F448" s="10">
        <f t="shared" si="24"/>
        <v>0</v>
      </c>
      <c r="G448" s="3"/>
      <c r="H448" s="4"/>
      <c r="I448" s="52"/>
      <c r="J448" s="53"/>
      <c r="K448" s="54"/>
      <c r="L448" s="52"/>
      <c r="M448" s="53"/>
      <c r="N448" s="53"/>
      <c r="O448" s="52"/>
      <c r="P448" s="54"/>
      <c r="Q448" s="52"/>
      <c r="R448" s="53"/>
      <c r="S448" s="57"/>
      <c r="T448" s="60"/>
      <c r="U448" s="61"/>
      <c r="V448" s="56"/>
      <c r="W448" s="54"/>
      <c r="X448" s="54"/>
      <c r="Y448" s="52"/>
      <c r="Z448" s="54"/>
      <c r="AA448" s="55"/>
      <c r="AB448" s="56"/>
      <c r="AC448" s="54"/>
      <c r="AD448" s="6">
        <f t="shared" si="25"/>
        <v>0</v>
      </c>
      <c r="AE448" s="49">
        <v>0</v>
      </c>
      <c r="AF448" s="5" t="s">
        <v>15</v>
      </c>
    </row>
    <row r="449" spans="1:32" ht="15.75" thickBot="1">
      <c r="A449" s="11">
        <v>44273</v>
      </c>
      <c r="B449" s="2">
        <f t="shared" si="23"/>
        <v>0</v>
      </c>
      <c r="C449" s="3"/>
      <c r="D449" s="4"/>
      <c r="E449" s="124"/>
      <c r="F449" s="10">
        <f t="shared" si="24"/>
        <v>0</v>
      </c>
      <c r="G449" s="3"/>
      <c r="H449" s="4"/>
      <c r="I449" s="52"/>
      <c r="J449" s="53"/>
      <c r="K449" s="54"/>
      <c r="L449" s="52"/>
      <c r="M449" s="53"/>
      <c r="N449" s="53"/>
      <c r="O449" s="52"/>
      <c r="P449" s="54"/>
      <c r="Q449" s="52"/>
      <c r="R449" s="53"/>
      <c r="S449" s="57"/>
      <c r="T449" s="52"/>
      <c r="U449" s="54"/>
      <c r="V449" s="56"/>
      <c r="W449" s="54"/>
      <c r="X449" s="54"/>
      <c r="Y449" s="52"/>
      <c r="Z449" s="54"/>
      <c r="AA449" s="55"/>
      <c r="AB449" s="56"/>
      <c r="AC449" s="54"/>
      <c r="AD449" s="6">
        <f t="shared" si="25"/>
        <v>0</v>
      </c>
      <c r="AE449" s="49">
        <v>0</v>
      </c>
      <c r="AF449" s="5" t="s">
        <v>15</v>
      </c>
    </row>
    <row r="450" spans="1:32" ht="15.75" thickBot="1">
      <c r="A450" s="11">
        <v>44274</v>
      </c>
      <c r="B450" s="2">
        <f t="shared" si="23"/>
        <v>0</v>
      </c>
      <c r="C450" s="3"/>
      <c r="D450" s="4"/>
      <c r="E450" s="124"/>
      <c r="F450" s="10">
        <f t="shared" si="24"/>
        <v>0</v>
      </c>
      <c r="G450" s="3"/>
      <c r="H450" s="4"/>
      <c r="I450" s="52"/>
      <c r="J450" s="53"/>
      <c r="K450" s="54"/>
      <c r="L450" s="52"/>
      <c r="M450" s="53"/>
      <c r="N450" s="53"/>
      <c r="O450" s="52"/>
      <c r="P450" s="54"/>
      <c r="Q450" s="52"/>
      <c r="R450" s="53"/>
      <c r="S450" s="57"/>
      <c r="T450" s="60"/>
      <c r="U450" s="61"/>
      <c r="V450" s="56"/>
      <c r="W450" s="54"/>
      <c r="X450" s="54"/>
      <c r="Y450" s="52"/>
      <c r="Z450" s="54"/>
      <c r="AA450" s="55"/>
      <c r="AB450" s="56"/>
      <c r="AC450" s="54"/>
      <c r="AD450" s="6">
        <f t="shared" si="25"/>
        <v>0</v>
      </c>
      <c r="AE450" s="49">
        <v>0</v>
      </c>
      <c r="AF450" s="5" t="s">
        <v>15</v>
      </c>
    </row>
    <row r="451" spans="1:32" ht="15.75" thickBot="1">
      <c r="A451" s="11">
        <v>44275</v>
      </c>
      <c r="B451" s="2">
        <f t="shared" si="23"/>
        <v>0</v>
      </c>
      <c r="C451" s="3"/>
      <c r="D451" s="4"/>
      <c r="E451" s="124"/>
      <c r="F451" s="10">
        <f t="shared" si="24"/>
        <v>0</v>
      </c>
      <c r="G451" s="3"/>
      <c r="H451" s="4"/>
      <c r="I451" s="52"/>
      <c r="J451" s="53"/>
      <c r="K451" s="54"/>
      <c r="L451" s="52"/>
      <c r="M451" s="53"/>
      <c r="N451" s="53"/>
      <c r="O451" s="52"/>
      <c r="P451" s="54"/>
      <c r="Q451" s="52"/>
      <c r="R451" s="53"/>
      <c r="S451" s="57"/>
      <c r="T451" s="60"/>
      <c r="U451" s="61"/>
      <c r="V451" s="56"/>
      <c r="W451" s="54"/>
      <c r="X451" s="54"/>
      <c r="Y451" s="52"/>
      <c r="Z451" s="54"/>
      <c r="AA451" s="55"/>
      <c r="AB451" s="56"/>
      <c r="AC451" s="54"/>
      <c r="AD451" s="6">
        <f t="shared" si="25"/>
        <v>0</v>
      </c>
      <c r="AE451" s="49">
        <v>0</v>
      </c>
      <c r="AF451" s="5" t="s">
        <v>15</v>
      </c>
    </row>
    <row r="452" spans="1:32" ht="15.75" thickBot="1">
      <c r="A452" s="11">
        <v>44276</v>
      </c>
      <c r="B452" s="2">
        <f t="shared" si="23"/>
        <v>0</v>
      </c>
      <c r="C452" s="3"/>
      <c r="D452" s="4"/>
      <c r="E452" s="124"/>
      <c r="F452" s="10">
        <f t="shared" si="24"/>
        <v>0</v>
      </c>
      <c r="G452" s="3"/>
      <c r="H452" s="4"/>
      <c r="I452" s="52"/>
      <c r="J452" s="53"/>
      <c r="K452" s="54"/>
      <c r="L452" s="52"/>
      <c r="M452" s="53"/>
      <c r="N452" s="53"/>
      <c r="O452" s="52"/>
      <c r="P452" s="54"/>
      <c r="Q452" s="52"/>
      <c r="R452" s="53"/>
      <c r="S452" s="57"/>
      <c r="T452" s="60"/>
      <c r="U452" s="61"/>
      <c r="V452" s="56"/>
      <c r="W452" s="54"/>
      <c r="X452" s="54"/>
      <c r="Y452" s="52"/>
      <c r="Z452" s="54"/>
      <c r="AA452" s="55"/>
      <c r="AB452" s="56"/>
      <c r="AC452" s="54"/>
      <c r="AD452" s="6">
        <f t="shared" si="25"/>
        <v>0</v>
      </c>
      <c r="AE452" s="49">
        <v>0</v>
      </c>
      <c r="AF452" s="5" t="s">
        <v>15</v>
      </c>
    </row>
    <row r="453" spans="1:32" ht="15.75" thickBot="1">
      <c r="A453" s="11">
        <v>44277</v>
      </c>
      <c r="B453" s="2">
        <f t="shared" si="23"/>
        <v>0</v>
      </c>
      <c r="C453" s="3"/>
      <c r="D453" s="4"/>
      <c r="E453" s="124"/>
      <c r="F453" s="10">
        <f t="shared" si="24"/>
        <v>0</v>
      </c>
      <c r="G453" s="3"/>
      <c r="H453" s="4"/>
      <c r="I453" s="52"/>
      <c r="J453" s="53"/>
      <c r="K453" s="54"/>
      <c r="L453" s="52"/>
      <c r="M453" s="53"/>
      <c r="N453" s="53"/>
      <c r="O453" s="52"/>
      <c r="P453" s="54"/>
      <c r="Q453" s="52"/>
      <c r="R453" s="53"/>
      <c r="S453" s="57"/>
      <c r="T453" s="60"/>
      <c r="U453" s="61"/>
      <c r="V453" s="56"/>
      <c r="W453" s="54"/>
      <c r="X453" s="54"/>
      <c r="Y453" s="52"/>
      <c r="Z453" s="54"/>
      <c r="AA453" s="55"/>
      <c r="AB453" s="56"/>
      <c r="AC453" s="54"/>
      <c r="AD453" s="6">
        <f t="shared" si="25"/>
        <v>0</v>
      </c>
      <c r="AE453" s="49">
        <v>0</v>
      </c>
      <c r="AF453" s="5" t="s">
        <v>15</v>
      </c>
    </row>
    <row r="454" spans="1:32" ht="15.75" thickBot="1">
      <c r="A454" s="11">
        <v>44278</v>
      </c>
      <c r="B454" s="2">
        <f t="shared" si="23"/>
        <v>0</v>
      </c>
      <c r="C454" s="3"/>
      <c r="D454" s="4"/>
      <c r="E454" s="124"/>
      <c r="F454" s="10">
        <f t="shared" si="24"/>
        <v>0</v>
      </c>
      <c r="G454" s="3"/>
      <c r="H454" s="4"/>
      <c r="I454" s="52"/>
      <c r="J454" s="53"/>
      <c r="K454" s="54"/>
      <c r="L454" s="52"/>
      <c r="M454" s="53"/>
      <c r="N454" s="53"/>
      <c r="O454" s="52"/>
      <c r="P454" s="54"/>
      <c r="Q454" s="52"/>
      <c r="R454" s="53"/>
      <c r="S454" s="57"/>
      <c r="T454" s="60"/>
      <c r="U454" s="61"/>
      <c r="V454" s="56"/>
      <c r="W454" s="54"/>
      <c r="X454" s="54"/>
      <c r="Y454" s="52"/>
      <c r="Z454" s="54"/>
      <c r="AA454" s="55"/>
      <c r="AB454" s="56"/>
      <c r="AC454" s="54"/>
      <c r="AD454" s="6">
        <f t="shared" si="25"/>
        <v>0</v>
      </c>
      <c r="AE454" s="49">
        <v>0</v>
      </c>
      <c r="AF454" s="5" t="s">
        <v>15</v>
      </c>
    </row>
    <row r="455" spans="1:32" ht="15.75" thickBot="1">
      <c r="A455" s="11">
        <v>44279</v>
      </c>
      <c r="B455" s="2">
        <f t="shared" si="23"/>
        <v>0</v>
      </c>
      <c r="C455" s="3"/>
      <c r="D455" s="4"/>
      <c r="E455" s="124"/>
      <c r="F455" s="10">
        <f t="shared" si="24"/>
        <v>0</v>
      </c>
      <c r="G455" s="3"/>
      <c r="H455" s="4"/>
      <c r="I455" s="52"/>
      <c r="J455" s="53"/>
      <c r="K455" s="54"/>
      <c r="L455" s="52"/>
      <c r="M455" s="53"/>
      <c r="N455" s="53"/>
      <c r="O455" s="52"/>
      <c r="P455" s="54"/>
      <c r="Q455" s="52"/>
      <c r="R455" s="53"/>
      <c r="S455" s="57"/>
      <c r="T455" s="60"/>
      <c r="U455" s="61"/>
      <c r="V455" s="56"/>
      <c r="W455" s="54"/>
      <c r="X455" s="54"/>
      <c r="Y455" s="52"/>
      <c r="Z455" s="54"/>
      <c r="AA455" s="55"/>
      <c r="AB455" s="56"/>
      <c r="AC455" s="54"/>
      <c r="AD455" s="6">
        <f t="shared" si="25"/>
        <v>0</v>
      </c>
      <c r="AE455" s="49">
        <v>0</v>
      </c>
      <c r="AF455" s="5" t="s">
        <v>15</v>
      </c>
    </row>
    <row r="456" spans="1:32" ht="15.75" thickBot="1">
      <c r="A456" s="11">
        <v>44280</v>
      </c>
      <c r="B456" s="2">
        <f t="shared" si="23"/>
        <v>0</v>
      </c>
      <c r="C456" s="3"/>
      <c r="D456" s="4"/>
      <c r="E456" s="124"/>
      <c r="F456" s="10">
        <f t="shared" si="24"/>
        <v>0</v>
      </c>
      <c r="G456" s="3"/>
      <c r="H456" s="4"/>
      <c r="I456" s="52"/>
      <c r="J456" s="53"/>
      <c r="K456" s="54"/>
      <c r="L456" s="52"/>
      <c r="M456" s="53"/>
      <c r="N456" s="53"/>
      <c r="O456" s="52"/>
      <c r="P456" s="54"/>
      <c r="Q456" s="52"/>
      <c r="R456" s="53"/>
      <c r="S456" s="57"/>
      <c r="T456" s="60"/>
      <c r="U456" s="61"/>
      <c r="V456" s="56"/>
      <c r="W456" s="54"/>
      <c r="X456" s="54"/>
      <c r="Y456" s="52"/>
      <c r="Z456" s="54"/>
      <c r="AA456" s="55"/>
      <c r="AB456" s="56"/>
      <c r="AC456" s="54"/>
      <c r="AD456" s="6">
        <f t="shared" si="25"/>
        <v>0</v>
      </c>
      <c r="AE456" s="49">
        <v>0</v>
      </c>
      <c r="AF456" s="5" t="s">
        <v>15</v>
      </c>
    </row>
    <row r="457" spans="1:32" ht="15.75" thickBot="1">
      <c r="A457" s="11">
        <v>44281</v>
      </c>
      <c r="B457" s="2">
        <f t="shared" si="23"/>
        <v>0</v>
      </c>
      <c r="C457" s="3"/>
      <c r="D457" s="4"/>
      <c r="E457" s="124"/>
      <c r="F457" s="10">
        <f t="shared" si="24"/>
        <v>0</v>
      </c>
      <c r="G457" s="3"/>
      <c r="H457" s="4"/>
      <c r="I457" s="52"/>
      <c r="J457" s="53"/>
      <c r="K457" s="54"/>
      <c r="L457" s="52"/>
      <c r="M457" s="53"/>
      <c r="N457" s="53"/>
      <c r="O457" s="52"/>
      <c r="P457" s="54"/>
      <c r="Q457" s="52"/>
      <c r="R457" s="53"/>
      <c r="S457" s="57"/>
      <c r="T457" s="52"/>
      <c r="U457" s="54"/>
      <c r="V457" s="56"/>
      <c r="W457" s="54"/>
      <c r="X457" s="54"/>
      <c r="Y457" s="52"/>
      <c r="Z457" s="54"/>
      <c r="AA457" s="55"/>
      <c r="AB457" s="56"/>
      <c r="AC457" s="54"/>
      <c r="AD457" s="6">
        <f t="shared" si="25"/>
        <v>0</v>
      </c>
      <c r="AE457" s="49">
        <v>0</v>
      </c>
      <c r="AF457" s="5" t="s">
        <v>15</v>
      </c>
    </row>
    <row r="458" spans="1:32" ht="15.75" thickBot="1">
      <c r="A458" s="11">
        <v>44282</v>
      </c>
      <c r="B458" s="2">
        <f t="shared" si="23"/>
        <v>0</v>
      </c>
      <c r="C458" s="3"/>
      <c r="D458" s="4"/>
      <c r="E458" s="124"/>
      <c r="F458" s="10">
        <f t="shared" si="24"/>
        <v>0</v>
      </c>
      <c r="G458" s="3"/>
      <c r="H458" s="4"/>
      <c r="I458" s="52"/>
      <c r="J458" s="53"/>
      <c r="K458" s="54"/>
      <c r="L458" s="52"/>
      <c r="M458" s="53"/>
      <c r="N458" s="53"/>
      <c r="O458" s="52"/>
      <c r="P458" s="54"/>
      <c r="Q458" s="52"/>
      <c r="R458" s="53"/>
      <c r="S458" s="57"/>
      <c r="T458" s="60"/>
      <c r="U458" s="61"/>
      <c r="V458" s="56"/>
      <c r="W458" s="54"/>
      <c r="X458" s="54"/>
      <c r="Y458" s="52"/>
      <c r="Z458" s="54"/>
      <c r="AA458" s="55"/>
      <c r="AB458" s="56"/>
      <c r="AC458" s="54"/>
      <c r="AD458" s="6">
        <f t="shared" si="25"/>
        <v>0</v>
      </c>
      <c r="AE458" s="49">
        <v>0</v>
      </c>
      <c r="AF458" s="5" t="s">
        <v>15</v>
      </c>
    </row>
    <row r="459" spans="1:32" ht="15.75" thickBot="1">
      <c r="A459" s="11">
        <v>44283</v>
      </c>
      <c r="B459" s="2">
        <f t="shared" si="23"/>
        <v>0</v>
      </c>
      <c r="C459" s="3"/>
      <c r="D459" s="4"/>
      <c r="E459" s="124"/>
      <c r="F459" s="10">
        <f t="shared" si="24"/>
        <v>0</v>
      </c>
      <c r="G459" s="3"/>
      <c r="H459" s="4"/>
      <c r="I459" s="52"/>
      <c r="J459" s="53"/>
      <c r="K459" s="54"/>
      <c r="L459" s="52"/>
      <c r="M459" s="53"/>
      <c r="N459" s="53"/>
      <c r="O459" s="52"/>
      <c r="P459" s="54"/>
      <c r="Q459" s="52"/>
      <c r="R459" s="53"/>
      <c r="S459" s="57"/>
      <c r="T459" s="60"/>
      <c r="U459" s="61"/>
      <c r="V459" s="56"/>
      <c r="W459" s="54"/>
      <c r="X459" s="54"/>
      <c r="Y459" s="52"/>
      <c r="Z459" s="54"/>
      <c r="AA459" s="55"/>
      <c r="AB459" s="56"/>
      <c r="AC459" s="54"/>
      <c r="AD459" s="6">
        <f t="shared" si="25"/>
        <v>0</v>
      </c>
      <c r="AE459" s="49">
        <v>0</v>
      </c>
      <c r="AF459" s="5" t="s">
        <v>15</v>
      </c>
    </row>
    <row r="460" spans="1:32" ht="15.75" thickBot="1">
      <c r="A460" s="11">
        <v>44284</v>
      </c>
      <c r="B460" s="2">
        <f t="shared" si="23"/>
        <v>0</v>
      </c>
      <c r="C460" s="3"/>
      <c r="D460" s="4"/>
      <c r="E460" s="124"/>
      <c r="F460" s="10">
        <f t="shared" si="24"/>
        <v>0</v>
      </c>
      <c r="G460" s="3"/>
      <c r="H460" s="4"/>
      <c r="I460" s="52"/>
      <c r="J460" s="53"/>
      <c r="K460" s="54"/>
      <c r="L460" s="52"/>
      <c r="M460" s="53"/>
      <c r="N460" s="53"/>
      <c r="O460" s="52"/>
      <c r="P460" s="54"/>
      <c r="Q460" s="52"/>
      <c r="R460" s="53"/>
      <c r="S460" s="57"/>
      <c r="T460" s="60"/>
      <c r="U460" s="61"/>
      <c r="V460" s="56"/>
      <c r="W460" s="54"/>
      <c r="X460" s="54"/>
      <c r="Y460" s="52"/>
      <c r="Z460" s="54"/>
      <c r="AA460" s="55"/>
      <c r="AB460" s="56"/>
      <c r="AC460" s="54"/>
      <c r="AD460" s="6">
        <f t="shared" si="25"/>
        <v>0</v>
      </c>
      <c r="AE460" s="49">
        <v>0</v>
      </c>
      <c r="AF460" s="5" t="s">
        <v>15</v>
      </c>
    </row>
    <row r="461" spans="1:32" ht="15.75" thickBot="1">
      <c r="A461" s="11">
        <v>44285</v>
      </c>
      <c r="B461" s="2">
        <f t="shared" si="23"/>
        <v>0</v>
      </c>
      <c r="C461" s="3"/>
      <c r="D461" s="4"/>
      <c r="E461" s="124"/>
      <c r="F461" s="10">
        <f t="shared" si="24"/>
        <v>0</v>
      </c>
      <c r="G461" s="3"/>
      <c r="H461" s="4"/>
      <c r="I461" s="52"/>
      <c r="J461" s="53"/>
      <c r="K461" s="54"/>
      <c r="L461" s="52"/>
      <c r="M461" s="53"/>
      <c r="N461" s="53"/>
      <c r="O461" s="52"/>
      <c r="P461" s="54"/>
      <c r="Q461" s="52"/>
      <c r="R461" s="53"/>
      <c r="S461" s="57"/>
      <c r="T461" s="60"/>
      <c r="U461" s="61"/>
      <c r="V461" s="56"/>
      <c r="W461" s="54"/>
      <c r="X461" s="54"/>
      <c r="Y461" s="52"/>
      <c r="Z461" s="54"/>
      <c r="AA461" s="55"/>
      <c r="AB461" s="56"/>
      <c r="AC461" s="54"/>
      <c r="AD461" s="6">
        <f t="shared" si="25"/>
        <v>0</v>
      </c>
      <c r="AE461" s="49">
        <v>0</v>
      </c>
      <c r="AF461" s="5" t="s">
        <v>15</v>
      </c>
    </row>
    <row r="462" spans="1:32" ht="15.75" thickBot="1">
      <c r="A462" s="11">
        <v>44286</v>
      </c>
      <c r="B462" s="2">
        <f t="shared" si="23"/>
        <v>0</v>
      </c>
      <c r="C462" s="3"/>
      <c r="D462" s="4"/>
      <c r="E462" s="124"/>
      <c r="F462" s="10">
        <f t="shared" si="24"/>
        <v>0</v>
      </c>
      <c r="G462" s="3"/>
      <c r="H462" s="4"/>
      <c r="I462" s="52"/>
      <c r="J462" s="53"/>
      <c r="K462" s="54"/>
      <c r="L462" s="52"/>
      <c r="M462" s="53"/>
      <c r="N462" s="53"/>
      <c r="O462" s="52"/>
      <c r="P462" s="54"/>
      <c r="Q462" s="52"/>
      <c r="R462" s="53"/>
      <c r="S462" s="57"/>
      <c r="T462" s="60"/>
      <c r="U462" s="61"/>
      <c r="V462" s="56"/>
      <c r="W462" s="54"/>
      <c r="X462" s="54"/>
      <c r="Y462" s="52"/>
      <c r="Z462" s="54"/>
      <c r="AA462" s="55"/>
      <c r="AB462" s="56"/>
      <c r="AC462" s="54"/>
      <c r="AD462" s="6">
        <f t="shared" si="25"/>
        <v>0</v>
      </c>
      <c r="AE462" s="49">
        <v>0</v>
      </c>
      <c r="AF462" s="5" t="s">
        <v>15</v>
      </c>
    </row>
    <row r="463" spans="1:32" ht="15.75" thickBot="1">
      <c r="A463" s="11">
        <v>44287</v>
      </c>
      <c r="B463" s="2">
        <f t="shared" si="23"/>
        <v>0</v>
      </c>
      <c r="C463" s="3"/>
      <c r="D463" s="4"/>
      <c r="E463" s="124"/>
      <c r="F463" s="10">
        <f t="shared" si="24"/>
        <v>0</v>
      </c>
      <c r="G463" s="3"/>
      <c r="H463" s="4"/>
      <c r="I463" s="52"/>
      <c r="J463" s="53"/>
      <c r="K463" s="54"/>
      <c r="L463" s="52"/>
      <c r="M463" s="53"/>
      <c r="N463" s="53"/>
      <c r="O463" s="52"/>
      <c r="P463" s="54"/>
      <c r="Q463" s="52"/>
      <c r="R463" s="53"/>
      <c r="S463" s="57"/>
      <c r="T463" s="60"/>
      <c r="U463" s="61"/>
      <c r="V463" s="56"/>
      <c r="W463" s="54"/>
      <c r="X463" s="54"/>
      <c r="Y463" s="52"/>
      <c r="Z463" s="54"/>
      <c r="AA463" s="55"/>
      <c r="AB463" s="56"/>
      <c r="AC463" s="54"/>
      <c r="AD463" s="6">
        <f t="shared" si="25"/>
        <v>0</v>
      </c>
      <c r="AE463" s="49">
        <v>0</v>
      </c>
      <c r="AF463" s="5" t="s">
        <v>15</v>
      </c>
    </row>
    <row r="464" spans="1:32" ht="15.75" thickBot="1">
      <c r="A464" s="11">
        <v>44288</v>
      </c>
      <c r="B464" s="2">
        <f t="shared" si="23"/>
        <v>0</v>
      </c>
      <c r="C464" s="3"/>
      <c r="D464" s="4"/>
      <c r="E464" s="124"/>
      <c r="F464" s="10">
        <f t="shared" si="24"/>
        <v>0</v>
      </c>
      <c r="G464" s="3"/>
      <c r="H464" s="4"/>
      <c r="I464" s="52"/>
      <c r="J464" s="53"/>
      <c r="K464" s="54"/>
      <c r="L464" s="52"/>
      <c r="M464" s="53"/>
      <c r="N464" s="53"/>
      <c r="O464" s="52"/>
      <c r="P464" s="54"/>
      <c r="Q464" s="52"/>
      <c r="R464" s="53"/>
      <c r="S464" s="57"/>
      <c r="T464" s="60"/>
      <c r="U464" s="61"/>
      <c r="V464" s="56"/>
      <c r="W464" s="54"/>
      <c r="X464" s="54"/>
      <c r="Y464" s="52"/>
      <c r="Z464" s="54"/>
      <c r="AA464" s="55"/>
      <c r="AB464" s="56"/>
      <c r="AC464" s="54"/>
      <c r="AD464" s="6">
        <f t="shared" si="25"/>
        <v>0</v>
      </c>
      <c r="AE464" s="49">
        <v>0</v>
      </c>
      <c r="AF464" s="5" t="s">
        <v>15</v>
      </c>
    </row>
    <row r="465" spans="1:32" ht="15.75" thickBot="1">
      <c r="A465" s="11">
        <v>44289</v>
      </c>
      <c r="B465" s="2">
        <f t="shared" si="23"/>
        <v>0</v>
      </c>
      <c r="C465" s="3"/>
      <c r="D465" s="4"/>
      <c r="E465" s="124"/>
      <c r="F465" s="10">
        <f t="shared" si="24"/>
        <v>0</v>
      </c>
      <c r="G465" s="3"/>
      <c r="H465" s="4"/>
      <c r="I465" s="52"/>
      <c r="J465" s="53"/>
      <c r="K465" s="54"/>
      <c r="L465" s="52"/>
      <c r="M465" s="53"/>
      <c r="N465" s="53"/>
      <c r="O465" s="52"/>
      <c r="P465" s="54"/>
      <c r="Q465" s="52"/>
      <c r="R465" s="53"/>
      <c r="S465" s="57"/>
      <c r="T465" s="52"/>
      <c r="U465" s="54"/>
      <c r="V465" s="56"/>
      <c r="W465" s="54"/>
      <c r="X465" s="54"/>
      <c r="Y465" s="52"/>
      <c r="Z465" s="54"/>
      <c r="AA465" s="55"/>
      <c r="AB465" s="56"/>
      <c r="AC465" s="54"/>
      <c r="AD465" s="6">
        <f t="shared" si="25"/>
        <v>0</v>
      </c>
      <c r="AE465" s="49">
        <v>0</v>
      </c>
      <c r="AF465" s="5" t="s">
        <v>15</v>
      </c>
    </row>
    <row r="466" spans="1:32" ht="15.75" thickBot="1">
      <c r="A466" s="11">
        <v>44290</v>
      </c>
      <c r="B466" s="2">
        <f t="shared" si="23"/>
        <v>0</v>
      </c>
      <c r="C466" s="3"/>
      <c r="D466" s="4"/>
      <c r="E466" s="124"/>
      <c r="F466" s="10">
        <f t="shared" si="24"/>
        <v>0</v>
      </c>
      <c r="G466" s="3"/>
      <c r="H466" s="4"/>
      <c r="I466" s="52"/>
      <c r="J466" s="53"/>
      <c r="K466" s="54"/>
      <c r="L466" s="52"/>
      <c r="M466" s="53"/>
      <c r="N466" s="53"/>
      <c r="O466" s="52"/>
      <c r="P466" s="54"/>
      <c r="Q466" s="52"/>
      <c r="R466" s="53"/>
      <c r="S466" s="57"/>
      <c r="T466" s="60"/>
      <c r="U466" s="61"/>
      <c r="V466" s="56"/>
      <c r="W466" s="54"/>
      <c r="X466" s="54"/>
      <c r="Y466" s="52"/>
      <c r="Z466" s="54"/>
      <c r="AA466" s="55"/>
      <c r="AB466" s="56"/>
      <c r="AC466" s="54"/>
      <c r="AD466" s="6">
        <f t="shared" si="25"/>
        <v>0</v>
      </c>
      <c r="AE466" s="49">
        <v>0</v>
      </c>
      <c r="AF466" s="5" t="s">
        <v>15</v>
      </c>
    </row>
    <row r="467" spans="1:32" ht="15.75" thickBot="1">
      <c r="A467" s="11">
        <v>44291</v>
      </c>
      <c r="B467" s="2">
        <f t="shared" si="23"/>
        <v>0</v>
      </c>
      <c r="C467" s="3"/>
      <c r="D467" s="4"/>
      <c r="E467" s="124"/>
      <c r="F467" s="10">
        <f t="shared" si="24"/>
        <v>0</v>
      </c>
      <c r="G467" s="3"/>
      <c r="H467" s="4"/>
      <c r="I467" s="52"/>
      <c r="J467" s="53"/>
      <c r="K467" s="54"/>
      <c r="L467" s="52"/>
      <c r="M467" s="53"/>
      <c r="N467" s="53"/>
      <c r="O467" s="52"/>
      <c r="P467" s="54"/>
      <c r="Q467" s="52"/>
      <c r="R467" s="53"/>
      <c r="S467" s="57"/>
      <c r="T467" s="60"/>
      <c r="U467" s="61"/>
      <c r="V467" s="56"/>
      <c r="W467" s="54"/>
      <c r="X467" s="54"/>
      <c r="Y467" s="52"/>
      <c r="Z467" s="54"/>
      <c r="AA467" s="55"/>
      <c r="AB467" s="56"/>
      <c r="AC467" s="54"/>
      <c r="AD467" s="6">
        <f t="shared" si="25"/>
        <v>0</v>
      </c>
      <c r="AE467" s="49">
        <v>0</v>
      </c>
      <c r="AF467" s="5" t="s">
        <v>15</v>
      </c>
    </row>
    <row r="468" spans="1:32" ht="15.75" thickBot="1">
      <c r="A468" s="11">
        <v>44292</v>
      </c>
      <c r="B468" s="2">
        <f t="shared" si="23"/>
        <v>0</v>
      </c>
      <c r="C468" s="3"/>
      <c r="D468" s="4"/>
      <c r="E468" s="124"/>
      <c r="F468" s="10">
        <f t="shared" si="24"/>
        <v>0</v>
      </c>
      <c r="G468" s="3"/>
      <c r="H468" s="4"/>
      <c r="I468" s="52"/>
      <c r="J468" s="53"/>
      <c r="K468" s="54"/>
      <c r="L468" s="52"/>
      <c r="M468" s="53"/>
      <c r="N468" s="53"/>
      <c r="O468" s="52"/>
      <c r="P468" s="54"/>
      <c r="Q468" s="52"/>
      <c r="R468" s="53"/>
      <c r="S468" s="57"/>
      <c r="T468" s="60"/>
      <c r="U468" s="61"/>
      <c r="V468" s="56"/>
      <c r="W468" s="54"/>
      <c r="X468" s="54"/>
      <c r="Y468" s="52"/>
      <c r="Z468" s="54"/>
      <c r="AA468" s="55"/>
      <c r="AB468" s="56"/>
      <c r="AC468" s="54"/>
      <c r="AD468" s="6">
        <f t="shared" si="25"/>
        <v>0</v>
      </c>
      <c r="AE468" s="49">
        <v>0</v>
      </c>
      <c r="AF468" s="5" t="s">
        <v>15</v>
      </c>
    </row>
    <row r="469" spans="1:32" ht="15.75" thickBot="1">
      <c r="A469" s="11">
        <v>44293</v>
      </c>
      <c r="B469" s="2">
        <f t="shared" si="23"/>
        <v>0</v>
      </c>
      <c r="C469" s="3"/>
      <c r="D469" s="4"/>
      <c r="E469" s="124"/>
      <c r="F469" s="10">
        <f t="shared" si="24"/>
        <v>0</v>
      </c>
      <c r="G469" s="3"/>
      <c r="H469" s="4"/>
      <c r="I469" s="52"/>
      <c r="J469" s="53"/>
      <c r="K469" s="54"/>
      <c r="L469" s="52"/>
      <c r="M469" s="53"/>
      <c r="N469" s="53"/>
      <c r="O469" s="52"/>
      <c r="P469" s="54"/>
      <c r="Q469" s="52"/>
      <c r="R469" s="53"/>
      <c r="S469" s="57"/>
      <c r="T469" s="60"/>
      <c r="U469" s="61"/>
      <c r="V469" s="56"/>
      <c r="W469" s="54"/>
      <c r="X469" s="54"/>
      <c r="Y469" s="52"/>
      <c r="Z469" s="54"/>
      <c r="AA469" s="55"/>
      <c r="AB469" s="56"/>
      <c r="AC469" s="54"/>
      <c r="AD469" s="6">
        <f t="shared" si="25"/>
        <v>0</v>
      </c>
      <c r="AE469" s="49">
        <v>0</v>
      </c>
      <c r="AF469" s="5" t="s">
        <v>15</v>
      </c>
    </row>
    <row r="470" spans="1:32" ht="15.75" thickBot="1">
      <c r="A470" s="11">
        <v>44294</v>
      </c>
      <c r="B470" s="2">
        <f t="shared" si="23"/>
        <v>0</v>
      </c>
      <c r="C470" s="3"/>
      <c r="D470" s="4"/>
      <c r="E470" s="124"/>
      <c r="F470" s="10">
        <f t="shared" si="24"/>
        <v>0</v>
      </c>
      <c r="G470" s="3"/>
      <c r="H470" s="4"/>
      <c r="I470" s="52"/>
      <c r="J470" s="53"/>
      <c r="K470" s="54"/>
      <c r="L470" s="52"/>
      <c r="M470" s="53"/>
      <c r="N470" s="53"/>
      <c r="O470" s="52"/>
      <c r="P470" s="54"/>
      <c r="Q470" s="52"/>
      <c r="R470" s="53"/>
      <c r="S470" s="57"/>
      <c r="T470" s="60"/>
      <c r="U470" s="61"/>
      <c r="V470" s="56"/>
      <c r="W470" s="54"/>
      <c r="X470" s="54"/>
      <c r="Y470" s="52"/>
      <c r="Z470" s="54"/>
      <c r="AA470" s="55"/>
      <c r="AB470" s="56"/>
      <c r="AC470" s="54"/>
      <c r="AD470" s="6">
        <f t="shared" si="25"/>
        <v>0</v>
      </c>
      <c r="AE470" s="49">
        <v>0</v>
      </c>
      <c r="AF470" s="5" t="s">
        <v>15</v>
      </c>
    </row>
    <row r="471" spans="1:32" ht="15.75" thickBot="1">
      <c r="A471" s="11">
        <v>44295</v>
      </c>
      <c r="B471" s="2">
        <f t="shared" si="23"/>
        <v>0</v>
      </c>
      <c r="C471" s="3"/>
      <c r="D471" s="4"/>
      <c r="E471" s="124"/>
      <c r="F471" s="10">
        <f t="shared" si="24"/>
        <v>0</v>
      </c>
      <c r="G471" s="3"/>
      <c r="H471" s="4"/>
      <c r="I471" s="52"/>
      <c r="J471" s="53"/>
      <c r="K471" s="54"/>
      <c r="L471" s="52"/>
      <c r="M471" s="53"/>
      <c r="N471" s="53"/>
      <c r="O471" s="52"/>
      <c r="P471" s="54"/>
      <c r="Q471" s="52"/>
      <c r="R471" s="53"/>
      <c r="S471" s="57"/>
      <c r="T471" s="60"/>
      <c r="U471" s="61"/>
      <c r="V471" s="56"/>
      <c r="W471" s="54"/>
      <c r="X471" s="54"/>
      <c r="Y471" s="52"/>
      <c r="Z471" s="54"/>
      <c r="AA471" s="55"/>
      <c r="AB471" s="56"/>
      <c r="AC471" s="54"/>
      <c r="AD471" s="6">
        <f t="shared" si="25"/>
        <v>0</v>
      </c>
      <c r="AE471" s="49">
        <v>0</v>
      </c>
      <c r="AF471" s="5" t="s">
        <v>15</v>
      </c>
    </row>
    <row r="472" spans="1:32" ht="15.75" thickBot="1">
      <c r="A472" s="11">
        <v>44296</v>
      </c>
      <c r="B472" s="2">
        <f t="shared" si="23"/>
        <v>0</v>
      </c>
      <c r="C472" s="3"/>
      <c r="D472" s="4"/>
      <c r="E472" s="124"/>
      <c r="F472" s="10">
        <f t="shared" si="24"/>
        <v>0</v>
      </c>
      <c r="G472" s="3"/>
      <c r="H472" s="4"/>
      <c r="I472" s="52"/>
      <c r="J472" s="53"/>
      <c r="K472" s="54"/>
      <c r="L472" s="52"/>
      <c r="M472" s="53"/>
      <c r="N472" s="53"/>
      <c r="O472" s="52"/>
      <c r="P472" s="54"/>
      <c r="Q472" s="52"/>
      <c r="R472" s="53"/>
      <c r="S472" s="57"/>
      <c r="T472" s="60"/>
      <c r="U472" s="61"/>
      <c r="V472" s="56"/>
      <c r="W472" s="54"/>
      <c r="X472" s="54"/>
      <c r="Y472" s="52"/>
      <c r="Z472" s="54"/>
      <c r="AA472" s="55"/>
      <c r="AB472" s="56"/>
      <c r="AC472" s="54"/>
      <c r="AD472" s="6">
        <f t="shared" si="25"/>
        <v>0</v>
      </c>
      <c r="AE472" s="49">
        <v>0</v>
      </c>
      <c r="AF472" s="5" t="s">
        <v>15</v>
      </c>
    </row>
    <row r="473" spans="1:32" ht="15.75" thickBot="1">
      <c r="A473" s="11">
        <v>44297</v>
      </c>
      <c r="B473" s="2">
        <f t="shared" si="23"/>
        <v>0</v>
      </c>
      <c r="C473" s="3"/>
      <c r="D473" s="4"/>
      <c r="E473" s="124"/>
      <c r="F473" s="10">
        <f t="shared" si="24"/>
        <v>0</v>
      </c>
      <c r="G473" s="3"/>
      <c r="H473" s="4"/>
      <c r="I473" s="52"/>
      <c r="J473" s="53"/>
      <c r="K473" s="54"/>
      <c r="L473" s="52"/>
      <c r="M473" s="53"/>
      <c r="N473" s="53"/>
      <c r="O473" s="52"/>
      <c r="P473" s="54"/>
      <c r="Q473" s="52"/>
      <c r="R473" s="53"/>
      <c r="S473" s="57"/>
      <c r="T473" s="52"/>
      <c r="U473" s="54"/>
      <c r="V473" s="56"/>
      <c r="W473" s="54"/>
      <c r="X473" s="54"/>
      <c r="Y473" s="52"/>
      <c r="Z473" s="54"/>
      <c r="AA473" s="55"/>
      <c r="AB473" s="56"/>
      <c r="AC473" s="54"/>
      <c r="AD473" s="6">
        <f t="shared" si="25"/>
        <v>0</v>
      </c>
      <c r="AE473" s="49">
        <v>0</v>
      </c>
      <c r="AF473" s="5" t="s">
        <v>15</v>
      </c>
    </row>
    <row r="474" spans="1:32" ht="15.75" thickBot="1">
      <c r="A474" s="11">
        <v>44298</v>
      </c>
      <c r="B474" s="2">
        <f t="shared" ref="B474:B537" si="26">AE473</f>
        <v>0</v>
      </c>
      <c r="C474" s="3"/>
      <c r="D474" s="4"/>
      <c r="E474" s="124"/>
      <c r="F474" s="10">
        <f t="shared" ref="F474:F537" si="27">C474-D474-E474</f>
        <v>0</v>
      </c>
      <c r="G474" s="3"/>
      <c r="H474" s="4"/>
      <c r="I474" s="52"/>
      <c r="J474" s="53"/>
      <c r="K474" s="54"/>
      <c r="L474" s="52"/>
      <c r="M474" s="53"/>
      <c r="N474" s="53"/>
      <c r="O474" s="52"/>
      <c r="P474" s="54"/>
      <c r="Q474" s="52"/>
      <c r="R474" s="53"/>
      <c r="S474" s="57"/>
      <c r="T474" s="60"/>
      <c r="U474" s="61"/>
      <c r="V474" s="56"/>
      <c r="W474" s="54"/>
      <c r="X474" s="54"/>
      <c r="Y474" s="52"/>
      <c r="Z474" s="54"/>
      <c r="AA474" s="55"/>
      <c r="AB474" s="56"/>
      <c r="AC474" s="54"/>
      <c r="AD474" s="6">
        <f t="shared" ref="AD474:AD537" si="28">B474+F474-I474-L474-V474-G474-Q474-AC474-AE474</f>
        <v>0</v>
      </c>
      <c r="AE474" s="49">
        <v>0</v>
      </c>
      <c r="AF474" s="5" t="s">
        <v>15</v>
      </c>
    </row>
    <row r="475" spans="1:32" ht="15.75" thickBot="1">
      <c r="A475" s="11">
        <v>44299</v>
      </c>
      <c r="B475" s="2">
        <f t="shared" si="26"/>
        <v>0</v>
      </c>
      <c r="C475" s="3"/>
      <c r="D475" s="4"/>
      <c r="E475" s="124"/>
      <c r="F475" s="10">
        <f t="shared" si="27"/>
        <v>0</v>
      </c>
      <c r="G475" s="3"/>
      <c r="H475" s="4"/>
      <c r="I475" s="52"/>
      <c r="J475" s="53"/>
      <c r="K475" s="54"/>
      <c r="L475" s="52"/>
      <c r="M475" s="53"/>
      <c r="N475" s="53"/>
      <c r="O475" s="52"/>
      <c r="P475" s="54"/>
      <c r="Q475" s="52"/>
      <c r="R475" s="53"/>
      <c r="S475" s="57"/>
      <c r="T475" s="60"/>
      <c r="U475" s="61"/>
      <c r="V475" s="56"/>
      <c r="W475" s="54"/>
      <c r="X475" s="54"/>
      <c r="Y475" s="52"/>
      <c r="Z475" s="54"/>
      <c r="AA475" s="55"/>
      <c r="AB475" s="56"/>
      <c r="AC475" s="54"/>
      <c r="AD475" s="6">
        <f t="shared" si="28"/>
        <v>0</v>
      </c>
      <c r="AE475" s="49">
        <v>0</v>
      </c>
      <c r="AF475" s="5" t="s">
        <v>15</v>
      </c>
    </row>
    <row r="476" spans="1:32" ht="15.75" thickBot="1">
      <c r="A476" s="11">
        <v>44300</v>
      </c>
      <c r="B476" s="2">
        <f t="shared" si="26"/>
        <v>0</v>
      </c>
      <c r="C476" s="3"/>
      <c r="D476" s="4"/>
      <c r="E476" s="124"/>
      <c r="F476" s="10">
        <f t="shared" si="27"/>
        <v>0</v>
      </c>
      <c r="G476" s="3"/>
      <c r="H476" s="4"/>
      <c r="I476" s="52"/>
      <c r="J476" s="53"/>
      <c r="K476" s="54"/>
      <c r="L476" s="52"/>
      <c r="M476" s="53"/>
      <c r="N476" s="53"/>
      <c r="O476" s="52"/>
      <c r="P476" s="54"/>
      <c r="Q476" s="52"/>
      <c r="R476" s="53"/>
      <c r="S476" s="57"/>
      <c r="T476" s="60"/>
      <c r="U476" s="61"/>
      <c r="V476" s="56"/>
      <c r="W476" s="54"/>
      <c r="X476" s="54"/>
      <c r="Y476" s="52"/>
      <c r="Z476" s="54"/>
      <c r="AA476" s="55"/>
      <c r="AB476" s="56"/>
      <c r="AC476" s="54"/>
      <c r="AD476" s="6">
        <f t="shared" si="28"/>
        <v>0</v>
      </c>
      <c r="AE476" s="49">
        <v>0</v>
      </c>
      <c r="AF476" s="5" t="s">
        <v>15</v>
      </c>
    </row>
    <row r="477" spans="1:32" ht="15.75" thickBot="1">
      <c r="A477" s="11">
        <v>44301</v>
      </c>
      <c r="B477" s="2">
        <f t="shared" si="26"/>
        <v>0</v>
      </c>
      <c r="C477" s="3"/>
      <c r="D477" s="4"/>
      <c r="E477" s="124"/>
      <c r="F477" s="10">
        <f t="shared" si="27"/>
        <v>0</v>
      </c>
      <c r="G477" s="3"/>
      <c r="H477" s="4"/>
      <c r="I477" s="52"/>
      <c r="J477" s="53"/>
      <c r="K477" s="54"/>
      <c r="L477" s="52"/>
      <c r="M477" s="53"/>
      <c r="N477" s="53"/>
      <c r="O477" s="52"/>
      <c r="P477" s="54"/>
      <c r="Q477" s="52"/>
      <c r="R477" s="53"/>
      <c r="S477" s="57"/>
      <c r="T477" s="60"/>
      <c r="U477" s="61"/>
      <c r="V477" s="56"/>
      <c r="W477" s="54"/>
      <c r="X477" s="54"/>
      <c r="Y477" s="52"/>
      <c r="Z477" s="54"/>
      <c r="AA477" s="55"/>
      <c r="AB477" s="56"/>
      <c r="AC477" s="54"/>
      <c r="AD477" s="6">
        <f t="shared" si="28"/>
        <v>0</v>
      </c>
      <c r="AE477" s="49">
        <v>0</v>
      </c>
      <c r="AF477" s="5" t="s">
        <v>15</v>
      </c>
    </row>
    <row r="478" spans="1:32" ht="15.75" thickBot="1">
      <c r="A478" s="11">
        <v>44302</v>
      </c>
      <c r="B478" s="2">
        <f t="shared" si="26"/>
        <v>0</v>
      </c>
      <c r="C478" s="3"/>
      <c r="D478" s="4"/>
      <c r="E478" s="124"/>
      <c r="F478" s="10">
        <f t="shared" si="27"/>
        <v>0</v>
      </c>
      <c r="G478" s="3"/>
      <c r="H478" s="4"/>
      <c r="I478" s="52"/>
      <c r="J478" s="53"/>
      <c r="K478" s="54"/>
      <c r="L478" s="52"/>
      <c r="M478" s="53"/>
      <c r="N478" s="53"/>
      <c r="O478" s="52"/>
      <c r="P478" s="54"/>
      <c r="Q478" s="52"/>
      <c r="R478" s="53"/>
      <c r="S478" s="57"/>
      <c r="T478" s="60"/>
      <c r="U478" s="61"/>
      <c r="V478" s="56"/>
      <c r="W478" s="54"/>
      <c r="X478" s="54"/>
      <c r="Y478" s="52"/>
      <c r="Z478" s="54"/>
      <c r="AA478" s="55"/>
      <c r="AB478" s="56"/>
      <c r="AC478" s="54"/>
      <c r="AD478" s="6">
        <f t="shared" si="28"/>
        <v>0</v>
      </c>
      <c r="AE478" s="49">
        <v>0</v>
      </c>
      <c r="AF478" s="5" t="s">
        <v>15</v>
      </c>
    </row>
    <row r="479" spans="1:32" ht="15.75" thickBot="1">
      <c r="A479" s="11">
        <v>44303</v>
      </c>
      <c r="B479" s="2">
        <f t="shared" si="26"/>
        <v>0</v>
      </c>
      <c r="C479" s="3"/>
      <c r="D479" s="4"/>
      <c r="E479" s="124"/>
      <c r="F479" s="10">
        <f t="shared" si="27"/>
        <v>0</v>
      </c>
      <c r="G479" s="3"/>
      <c r="H479" s="4"/>
      <c r="I479" s="52"/>
      <c r="J479" s="53"/>
      <c r="K479" s="54"/>
      <c r="L479" s="52"/>
      <c r="M479" s="53"/>
      <c r="N479" s="53"/>
      <c r="O479" s="52"/>
      <c r="P479" s="54"/>
      <c r="Q479" s="52"/>
      <c r="R479" s="53"/>
      <c r="S479" s="57"/>
      <c r="T479" s="60"/>
      <c r="U479" s="61"/>
      <c r="V479" s="56"/>
      <c r="W479" s="54"/>
      <c r="X479" s="54"/>
      <c r="Y479" s="52"/>
      <c r="Z479" s="54"/>
      <c r="AA479" s="55"/>
      <c r="AB479" s="56"/>
      <c r="AC479" s="54"/>
      <c r="AD479" s="6">
        <f t="shared" si="28"/>
        <v>0</v>
      </c>
      <c r="AE479" s="49">
        <v>0</v>
      </c>
      <c r="AF479" s="5" t="s">
        <v>15</v>
      </c>
    </row>
    <row r="480" spans="1:32" ht="15.75" thickBot="1">
      <c r="A480" s="11">
        <v>44304</v>
      </c>
      <c r="B480" s="2">
        <f t="shared" si="26"/>
        <v>0</v>
      </c>
      <c r="C480" s="3"/>
      <c r="D480" s="4"/>
      <c r="E480" s="124"/>
      <c r="F480" s="10">
        <f t="shared" si="27"/>
        <v>0</v>
      </c>
      <c r="G480" s="3"/>
      <c r="H480" s="4"/>
      <c r="I480" s="52"/>
      <c r="J480" s="53"/>
      <c r="K480" s="54"/>
      <c r="L480" s="52"/>
      <c r="M480" s="53"/>
      <c r="N480" s="53"/>
      <c r="O480" s="52"/>
      <c r="P480" s="54"/>
      <c r="Q480" s="52"/>
      <c r="R480" s="53"/>
      <c r="S480" s="57"/>
      <c r="T480" s="60"/>
      <c r="U480" s="61"/>
      <c r="V480" s="56"/>
      <c r="W480" s="54"/>
      <c r="X480" s="54"/>
      <c r="Y480" s="52"/>
      <c r="Z480" s="54"/>
      <c r="AA480" s="55"/>
      <c r="AB480" s="56"/>
      <c r="AC480" s="54"/>
      <c r="AD480" s="6">
        <f t="shared" si="28"/>
        <v>0</v>
      </c>
      <c r="AE480" s="49">
        <v>0</v>
      </c>
      <c r="AF480" s="5" t="s">
        <v>15</v>
      </c>
    </row>
    <row r="481" spans="1:32" ht="15.75" thickBot="1">
      <c r="A481" s="11">
        <v>44305</v>
      </c>
      <c r="B481" s="2">
        <f t="shared" si="26"/>
        <v>0</v>
      </c>
      <c r="C481" s="3"/>
      <c r="D481" s="4"/>
      <c r="E481" s="124"/>
      <c r="F481" s="10">
        <f t="shared" si="27"/>
        <v>0</v>
      </c>
      <c r="G481" s="3"/>
      <c r="H481" s="4"/>
      <c r="I481" s="52"/>
      <c r="J481" s="53"/>
      <c r="K481" s="54"/>
      <c r="L481" s="52"/>
      <c r="M481" s="53"/>
      <c r="N481" s="53"/>
      <c r="O481" s="52"/>
      <c r="P481" s="54"/>
      <c r="Q481" s="52"/>
      <c r="R481" s="53"/>
      <c r="S481" s="57"/>
      <c r="T481" s="52"/>
      <c r="U481" s="54"/>
      <c r="V481" s="56"/>
      <c r="W481" s="54"/>
      <c r="X481" s="54"/>
      <c r="Y481" s="52"/>
      <c r="Z481" s="54"/>
      <c r="AA481" s="55"/>
      <c r="AB481" s="56"/>
      <c r="AC481" s="54"/>
      <c r="AD481" s="6">
        <f t="shared" si="28"/>
        <v>0</v>
      </c>
      <c r="AE481" s="49">
        <v>0</v>
      </c>
      <c r="AF481" s="5" t="s">
        <v>15</v>
      </c>
    </row>
    <row r="482" spans="1:32" ht="15.75" thickBot="1">
      <c r="A482" s="11">
        <v>44306</v>
      </c>
      <c r="B482" s="2">
        <f t="shared" si="26"/>
        <v>0</v>
      </c>
      <c r="C482" s="3"/>
      <c r="D482" s="4"/>
      <c r="E482" s="124"/>
      <c r="F482" s="10">
        <f t="shared" si="27"/>
        <v>0</v>
      </c>
      <c r="G482" s="3"/>
      <c r="H482" s="4"/>
      <c r="I482" s="52"/>
      <c r="J482" s="53"/>
      <c r="K482" s="54"/>
      <c r="L482" s="52"/>
      <c r="M482" s="53"/>
      <c r="N482" s="53"/>
      <c r="O482" s="52"/>
      <c r="P482" s="54"/>
      <c r="Q482" s="52"/>
      <c r="R482" s="53"/>
      <c r="S482" s="57"/>
      <c r="T482" s="60"/>
      <c r="U482" s="61"/>
      <c r="V482" s="56"/>
      <c r="W482" s="54"/>
      <c r="X482" s="54"/>
      <c r="Y482" s="52"/>
      <c r="Z482" s="54"/>
      <c r="AA482" s="55"/>
      <c r="AB482" s="56"/>
      <c r="AC482" s="54"/>
      <c r="AD482" s="6">
        <f t="shared" si="28"/>
        <v>0</v>
      </c>
      <c r="AE482" s="49">
        <v>0</v>
      </c>
      <c r="AF482" s="5" t="s">
        <v>15</v>
      </c>
    </row>
    <row r="483" spans="1:32" ht="15.75" thickBot="1">
      <c r="A483" s="11">
        <v>44307</v>
      </c>
      <c r="B483" s="2">
        <f t="shared" si="26"/>
        <v>0</v>
      </c>
      <c r="C483" s="3"/>
      <c r="D483" s="4"/>
      <c r="E483" s="124"/>
      <c r="F483" s="10">
        <f t="shared" si="27"/>
        <v>0</v>
      </c>
      <c r="G483" s="3"/>
      <c r="H483" s="4"/>
      <c r="I483" s="52"/>
      <c r="J483" s="53"/>
      <c r="K483" s="54"/>
      <c r="L483" s="52"/>
      <c r="M483" s="53"/>
      <c r="N483" s="53"/>
      <c r="O483" s="52"/>
      <c r="P483" s="54"/>
      <c r="Q483" s="52"/>
      <c r="R483" s="53"/>
      <c r="S483" s="57"/>
      <c r="T483" s="60"/>
      <c r="U483" s="61"/>
      <c r="V483" s="56"/>
      <c r="W483" s="54"/>
      <c r="X483" s="54"/>
      <c r="Y483" s="52"/>
      <c r="Z483" s="54"/>
      <c r="AA483" s="55"/>
      <c r="AB483" s="56"/>
      <c r="AC483" s="54"/>
      <c r="AD483" s="6">
        <f t="shared" si="28"/>
        <v>0</v>
      </c>
      <c r="AE483" s="49">
        <v>0</v>
      </c>
      <c r="AF483" s="5" t="s">
        <v>15</v>
      </c>
    </row>
    <row r="484" spans="1:32" ht="15.75" thickBot="1">
      <c r="A484" s="11">
        <v>44308</v>
      </c>
      <c r="B484" s="2">
        <f t="shared" si="26"/>
        <v>0</v>
      </c>
      <c r="C484" s="3"/>
      <c r="D484" s="4"/>
      <c r="E484" s="124"/>
      <c r="F484" s="10">
        <f t="shared" si="27"/>
        <v>0</v>
      </c>
      <c r="G484" s="3"/>
      <c r="H484" s="4"/>
      <c r="I484" s="52"/>
      <c r="J484" s="53"/>
      <c r="K484" s="54"/>
      <c r="L484" s="52"/>
      <c r="M484" s="53"/>
      <c r="N484" s="53"/>
      <c r="O484" s="52"/>
      <c r="P484" s="54"/>
      <c r="Q484" s="52"/>
      <c r="R484" s="53"/>
      <c r="S484" s="57"/>
      <c r="T484" s="60"/>
      <c r="U484" s="61"/>
      <c r="V484" s="56"/>
      <c r="W484" s="54"/>
      <c r="X484" s="54"/>
      <c r="Y484" s="52"/>
      <c r="Z484" s="54"/>
      <c r="AA484" s="55"/>
      <c r="AB484" s="56"/>
      <c r="AC484" s="54"/>
      <c r="AD484" s="6">
        <f t="shared" si="28"/>
        <v>0</v>
      </c>
      <c r="AE484" s="49">
        <v>0</v>
      </c>
      <c r="AF484" s="5" t="s">
        <v>15</v>
      </c>
    </row>
    <row r="485" spans="1:32" ht="15.75" thickBot="1">
      <c r="A485" s="11">
        <v>44309</v>
      </c>
      <c r="B485" s="2">
        <f t="shared" si="26"/>
        <v>0</v>
      </c>
      <c r="C485" s="3"/>
      <c r="D485" s="4"/>
      <c r="E485" s="124"/>
      <c r="F485" s="10">
        <f t="shared" si="27"/>
        <v>0</v>
      </c>
      <c r="G485" s="3"/>
      <c r="H485" s="4"/>
      <c r="I485" s="52"/>
      <c r="J485" s="53"/>
      <c r="K485" s="54"/>
      <c r="L485" s="52"/>
      <c r="M485" s="53"/>
      <c r="N485" s="53"/>
      <c r="O485" s="52"/>
      <c r="P485" s="54"/>
      <c r="Q485" s="52"/>
      <c r="R485" s="53"/>
      <c r="S485" s="57"/>
      <c r="T485" s="60"/>
      <c r="U485" s="61"/>
      <c r="V485" s="56"/>
      <c r="W485" s="54"/>
      <c r="X485" s="54"/>
      <c r="Y485" s="52"/>
      <c r="Z485" s="54"/>
      <c r="AA485" s="55"/>
      <c r="AB485" s="56"/>
      <c r="AC485" s="54"/>
      <c r="AD485" s="6">
        <f t="shared" si="28"/>
        <v>0</v>
      </c>
      <c r="AE485" s="49">
        <v>0</v>
      </c>
      <c r="AF485" s="5" t="s">
        <v>15</v>
      </c>
    </row>
    <row r="486" spans="1:32" ht="15.75" thickBot="1">
      <c r="A486" s="11">
        <v>44310</v>
      </c>
      <c r="B486" s="2">
        <f t="shared" si="26"/>
        <v>0</v>
      </c>
      <c r="C486" s="3"/>
      <c r="D486" s="4"/>
      <c r="E486" s="124"/>
      <c r="F486" s="10">
        <f t="shared" si="27"/>
        <v>0</v>
      </c>
      <c r="G486" s="3"/>
      <c r="H486" s="4"/>
      <c r="I486" s="52"/>
      <c r="J486" s="53"/>
      <c r="K486" s="54"/>
      <c r="L486" s="52"/>
      <c r="M486" s="53"/>
      <c r="N486" s="53"/>
      <c r="O486" s="52"/>
      <c r="P486" s="54"/>
      <c r="Q486" s="52"/>
      <c r="R486" s="53"/>
      <c r="S486" s="57"/>
      <c r="T486" s="60"/>
      <c r="U486" s="61"/>
      <c r="V486" s="56"/>
      <c r="W486" s="54"/>
      <c r="X486" s="54"/>
      <c r="Y486" s="52"/>
      <c r="Z486" s="54"/>
      <c r="AA486" s="55"/>
      <c r="AB486" s="56"/>
      <c r="AC486" s="54"/>
      <c r="AD486" s="6">
        <f t="shared" si="28"/>
        <v>0</v>
      </c>
      <c r="AE486" s="49">
        <v>0</v>
      </c>
      <c r="AF486" s="5" t="s">
        <v>15</v>
      </c>
    </row>
    <row r="487" spans="1:32" ht="15.75" thickBot="1">
      <c r="A487" s="11">
        <v>44311</v>
      </c>
      <c r="B487" s="2">
        <f t="shared" si="26"/>
        <v>0</v>
      </c>
      <c r="C487" s="3"/>
      <c r="D487" s="4"/>
      <c r="E487" s="124"/>
      <c r="F487" s="10">
        <f t="shared" si="27"/>
        <v>0</v>
      </c>
      <c r="G487" s="3"/>
      <c r="H487" s="4"/>
      <c r="I487" s="52"/>
      <c r="J487" s="53"/>
      <c r="K487" s="54"/>
      <c r="L487" s="52"/>
      <c r="M487" s="53"/>
      <c r="N487" s="53"/>
      <c r="O487" s="52"/>
      <c r="P487" s="54"/>
      <c r="Q487" s="52"/>
      <c r="R487" s="53"/>
      <c r="S487" s="57"/>
      <c r="T487" s="60"/>
      <c r="U487" s="61"/>
      <c r="V487" s="56"/>
      <c r="W487" s="54"/>
      <c r="X487" s="54"/>
      <c r="Y487" s="52"/>
      <c r="Z487" s="54"/>
      <c r="AA487" s="55"/>
      <c r="AB487" s="56"/>
      <c r="AC487" s="54"/>
      <c r="AD487" s="6">
        <f t="shared" si="28"/>
        <v>0</v>
      </c>
      <c r="AE487" s="49">
        <v>0</v>
      </c>
      <c r="AF487" s="5" t="s">
        <v>15</v>
      </c>
    </row>
    <row r="488" spans="1:32" ht="15.75" thickBot="1">
      <c r="A488" s="11">
        <v>44312</v>
      </c>
      <c r="B488" s="2">
        <f t="shared" si="26"/>
        <v>0</v>
      </c>
      <c r="C488" s="3"/>
      <c r="D488" s="4"/>
      <c r="E488" s="124"/>
      <c r="F488" s="10">
        <f t="shared" si="27"/>
        <v>0</v>
      </c>
      <c r="G488" s="3"/>
      <c r="H488" s="4"/>
      <c r="I488" s="52"/>
      <c r="J488" s="53"/>
      <c r="K488" s="54"/>
      <c r="L488" s="52"/>
      <c r="M488" s="53"/>
      <c r="N488" s="53"/>
      <c r="O488" s="52"/>
      <c r="P488" s="54"/>
      <c r="Q488" s="52"/>
      <c r="R488" s="53"/>
      <c r="S488" s="57"/>
      <c r="T488" s="60"/>
      <c r="U488" s="61"/>
      <c r="V488" s="56"/>
      <c r="W488" s="54"/>
      <c r="X488" s="54"/>
      <c r="Y488" s="52"/>
      <c r="Z488" s="54"/>
      <c r="AA488" s="55"/>
      <c r="AB488" s="56"/>
      <c r="AC488" s="54"/>
      <c r="AD488" s="6">
        <f t="shared" si="28"/>
        <v>0</v>
      </c>
      <c r="AE488" s="49">
        <v>0</v>
      </c>
      <c r="AF488" s="5" t="s">
        <v>15</v>
      </c>
    </row>
    <row r="489" spans="1:32" ht="15.75" thickBot="1">
      <c r="A489" s="11">
        <v>44313</v>
      </c>
      <c r="B489" s="2">
        <f t="shared" si="26"/>
        <v>0</v>
      </c>
      <c r="C489" s="3"/>
      <c r="D489" s="4"/>
      <c r="E489" s="124"/>
      <c r="F489" s="10">
        <f t="shared" si="27"/>
        <v>0</v>
      </c>
      <c r="G489" s="3"/>
      <c r="H489" s="4"/>
      <c r="I489" s="52"/>
      <c r="J489" s="53"/>
      <c r="K489" s="54"/>
      <c r="L489" s="52"/>
      <c r="M489" s="53"/>
      <c r="N489" s="53"/>
      <c r="O489" s="52"/>
      <c r="P489" s="54"/>
      <c r="Q489" s="52"/>
      <c r="R489" s="53"/>
      <c r="S489" s="57"/>
      <c r="T489" s="52"/>
      <c r="U489" s="54"/>
      <c r="V489" s="56"/>
      <c r="W489" s="54"/>
      <c r="X489" s="54"/>
      <c r="Y489" s="52"/>
      <c r="Z489" s="54"/>
      <c r="AA489" s="55"/>
      <c r="AB489" s="56"/>
      <c r="AC489" s="54"/>
      <c r="AD489" s="6">
        <f t="shared" si="28"/>
        <v>0</v>
      </c>
      <c r="AE489" s="49">
        <v>0</v>
      </c>
      <c r="AF489" s="5" t="s">
        <v>15</v>
      </c>
    </row>
    <row r="490" spans="1:32" ht="15.75" thickBot="1">
      <c r="A490" s="11">
        <v>44314</v>
      </c>
      <c r="B490" s="2">
        <f t="shared" si="26"/>
        <v>0</v>
      </c>
      <c r="C490" s="3"/>
      <c r="D490" s="4"/>
      <c r="E490" s="124"/>
      <c r="F490" s="10">
        <f t="shared" si="27"/>
        <v>0</v>
      </c>
      <c r="G490" s="3"/>
      <c r="H490" s="4"/>
      <c r="I490" s="52"/>
      <c r="J490" s="53"/>
      <c r="K490" s="54"/>
      <c r="L490" s="52"/>
      <c r="M490" s="53"/>
      <c r="N490" s="53"/>
      <c r="O490" s="52"/>
      <c r="P490" s="54"/>
      <c r="Q490" s="52"/>
      <c r="R490" s="53"/>
      <c r="S490" s="57"/>
      <c r="T490" s="60"/>
      <c r="U490" s="61"/>
      <c r="V490" s="56"/>
      <c r="W490" s="54"/>
      <c r="X490" s="54"/>
      <c r="Y490" s="52"/>
      <c r="Z490" s="54"/>
      <c r="AA490" s="55"/>
      <c r="AB490" s="56"/>
      <c r="AC490" s="54"/>
      <c r="AD490" s="6">
        <f t="shared" si="28"/>
        <v>0</v>
      </c>
      <c r="AE490" s="49">
        <v>0</v>
      </c>
      <c r="AF490" s="5" t="s">
        <v>15</v>
      </c>
    </row>
    <row r="491" spans="1:32" ht="15.75" thickBot="1">
      <c r="A491" s="11">
        <v>44315</v>
      </c>
      <c r="B491" s="2">
        <f t="shared" si="26"/>
        <v>0</v>
      </c>
      <c r="C491" s="3"/>
      <c r="D491" s="4"/>
      <c r="E491" s="124"/>
      <c r="F491" s="10">
        <f t="shared" si="27"/>
        <v>0</v>
      </c>
      <c r="G491" s="3"/>
      <c r="H491" s="4"/>
      <c r="I491" s="52"/>
      <c r="J491" s="53"/>
      <c r="K491" s="54"/>
      <c r="L491" s="52"/>
      <c r="M491" s="53"/>
      <c r="N491" s="53"/>
      <c r="O491" s="52"/>
      <c r="P491" s="54"/>
      <c r="Q491" s="52"/>
      <c r="R491" s="53"/>
      <c r="S491" s="57"/>
      <c r="T491" s="60"/>
      <c r="U491" s="61"/>
      <c r="V491" s="56"/>
      <c r="W491" s="54"/>
      <c r="X491" s="54"/>
      <c r="Y491" s="52"/>
      <c r="Z491" s="54"/>
      <c r="AA491" s="55"/>
      <c r="AB491" s="56"/>
      <c r="AC491" s="54"/>
      <c r="AD491" s="6">
        <f t="shared" si="28"/>
        <v>0</v>
      </c>
      <c r="AE491" s="49">
        <v>0</v>
      </c>
      <c r="AF491" s="5" t="s">
        <v>15</v>
      </c>
    </row>
    <row r="492" spans="1:32" ht="15.75" thickBot="1">
      <c r="A492" s="11">
        <v>44316</v>
      </c>
      <c r="B492" s="2">
        <f t="shared" si="26"/>
        <v>0</v>
      </c>
      <c r="C492" s="3"/>
      <c r="D492" s="4"/>
      <c r="E492" s="124"/>
      <c r="F492" s="10">
        <f t="shared" si="27"/>
        <v>0</v>
      </c>
      <c r="G492" s="3"/>
      <c r="H492" s="4"/>
      <c r="I492" s="52"/>
      <c r="J492" s="53"/>
      <c r="K492" s="54"/>
      <c r="L492" s="52"/>
      <c r="M492" s="53"/>
      <c r="N492" s="53"/>
      <c r="O492" s="52"/>
      <c r="P492" s="54"/>
      <c r="Q492" s="52"/>
      <c r="R492" s="53"/>
      <c r="S492" s="57"/>
      <c r="T492" s="60"/>
      <c r="U492" s="61"/>
      <c r="V492" s="56"/>
      <c r="W492" s="54"/>
      <c r="X492" s="54"/>
      <c r="Y492" s="52"/>
      <c r="Z492" s="54"/>
      <c r="AA492" s="55"/>
      <c r="AB492" s="56"/>
      <c r="AC492" s="54"/>
      <c r="AD492" s="6">
        <f t="shared" si="28"/>
        <v>0</v>
      </c>
      <c r="AE492" s="49">
        <v>0</v>
      </c>
      <c r="AF492" s="5" t="s">
        <v>15</v>
      </c>
    </row>
    <row r="493" spans="1:32" ht="15.75" thickBot="1">
      <c r="A493" s="11">
        <v>44317</v>
      </c>
      <c r="B493" s="2">
        <f t="shared" si="26"/>
        <v>0</v>
      </c>
      <c r="C493" s="3"/>
      <c r="D493" s="4"/>
      <c r="E493" s="124"/>
      <c r="F493" s="10">
        <f t="shared" si="27"/>
        <v>0</v>
      </c>
      <c r="G493" s="3"/>
      <c r="H493" s="4"/>
      <c r="I493" s="52"/>
      <c r="J493" s="53"/>
      <c r="K493" s="54"/>
      <c r="L493" s="52"/>
      <c r="M493" s="53"/>
      <c r="N493" s="53"/>
      <c r="O493" s="52"/>
      <c r="P493" s="54"/>
      <c r="Q493" s="52"/>
      <c r="R493" s="53"/>
      <c r="S493" s="57"/>
      <c r="T493" s="60"/>
      <c r="U493" s="61"/>
      <c r="V493" s="56"/>
      <c r="W493" s="54"/>
      <c r="X493" s="54"/>
      <c r="Y493" s="52"/>
      <c r="Z493" s="54"/>
      <c r="AA493" s="55"/>
      <c r="AB493" s="56"/>
      <c r="AC493" s="54"/>
      <c r="AD493" s="6">
        <f t="shared" si="28"/>
        <v>0</v>
      </c>
      <c r="AE493" s="49">
        <v>0</v>
      </c>
      <c r="AF493" s="5" t="s">
        <v>15</v>
      </c>
    </row>
    <row r="494" spans="1:32" ht="15.75" thickBot="1">
      <c r="A494" s="11">
        <v>44318</v>
      </c>
      <c r="B494" s="2">
        <f t="shared" si="26"/>
        <v>0</v>
      </c>
      <c r="C494" s="3"/>
      <c r="D494" s="4"/>
      <c r="E494" s="124"/>
      <c r="F494" s="10">
        <f t="shared" si="27"/>
        <v>0</v>
      </c>
      <c r="G494" s="3"/>
      <c r="H494" s="4"/>
      <c r="I494" s="52"/>
      <c r="J494" s="53"/>
      <c r="K494" s="54"/>
      <c r="L494" s="52"/>
      <c r="M494" s="53"/>
      <c r="N494" s="53"/>
      <c r="O494" s="52"/>
      <c r="P494" s="54"/>
      <c r="Q494" s="52"/>
      <c r="R494" s="53"/>
      <c r="S494" s="57"/>
      <c r="T494" s="60"/>
      <c r="U494" s="61"/>
      <c r="V494" s="56"/>
      <c r="W494" s="54"/>
      <c r="X494" s="54"/>
      <c r="Y494" s="52"/>
      <c r="Z494" s="54"/>
      <c r="AA494" s="55"/>
      <c r="AB494" s="56"/>
      <c r="AC494" s="54"/>
      <c r="AD494" s="6">
        <f t="shared" si="28"/>
        <v>0</v>
      </c>
      <c r="AE494" s="49">
        <v>0</v>
      </c>
      <c r="AF494" s="5" t="s">
        <v>15</v>
      </c>
    </row>
    <row r="495" spans="1:32" ht="15.75" thickBot="1">
      <c r="A495" s="11">
        <v>44319</v>
      </c>
      <c r="B495" s="2">
        <f t="shared" si="26"/>
        <v>0</v>
      </c>
      <c r="C495" s="3"/>
      <c r="D495" s="4"/>
      <c r="E495" s="124"/>
      <c r="F495" s="10">
        <f t="shared" si="27"/>
        <v>0</v>
      </c>
      <c r="G495" s="3"/>
      <c r="H495" s="4"/>
      <c r="I495" s="52"/>
      <c r="J495" s="53"/>
      <c r="K495" s="54"/>
      <c r="L495" s="52"/>
      <c r="M495" s="53"/>
      <c r="N495" s="53"/>
      <c r="O495" s="52"/>
      <c r="P495" s="54"/>
      <c r="Q495" s="52"/>
      <c r="R495" s="53"/>
      <c r="S495" s="57"/>
      <c r="T495" s="60"/>
      <c r="U495" s="61"/>
      <c r="V495" s="56"/>
      <c r="W495" s="54"/>
      <c r="X495" s="54"/>
      <c r="Y495" s="52"/>
      <c r="Z495" s="54"/>
      <c r="AA495" s="55"/>
      <c r="AB495" s="56"/>
      <c r="AC495" s="54"/>
      <c r="AD495" s="6">
        <f t="shared" si="28"/>
        <v>0</v>
      </c>
      <c r="AE495" s="49">
        <v>0</v>
      </c>
      <c r="AF495" s="5" t="s">
        <v>15</v>
      </c>
    </row>
    <row r="496" spans="1:32" ht="15.75" thickBot="1">
      <c r="A496" s="11">
        <v>44320</v>
      </c>
      <c r="B496" s="2">
        <f t="shared" si="26"/>
        <v>0</v>
      </c>
      <c r="C496" s="3"/>
      <c r="D496" s="4"/>
      <c r="E496" s="124"/>
      <c r="F496" s="10">
        <f t="shared" si="27"/>
        <v>0</v>
      </c>
      <c r="G496" s="3"/>
      <c r="H496" s="4"/>
      <c r="I496" s="52"/>
      <c r="J496" s="53"/>
      <c r="K496" s="54"/>
      <c r="L496" s="52"/>
      <c r="M496" s="53"/>
      <c r="N496" s="53"/>
      <c r="O496" s="52"/>
      <c r="P496" s="54"/>
      <c r="Q496" s="52"/>
      <c r="R496" s="53"/>
      <c r="S496" s="57"/>
      <c r="T496" s="60"/>
      <c r="U496" s="61"/>
      <c r="V496" s="56"/>
      <c r="W496" s="54"/>
      <c r="X496" s="54"/>
      <c r="Y496" s="52"/>
      <c r="Z496" s="54"/>
      <c r="AA496" s="55"/>
      <c r="AB496" s="56"/>
      <c r="AC496" s="54"/>
      <c r="AD496" s="6">
        <f t="shared" si="28"/>
        <v>0</v>
      </c>
      <c r="AE496" s="49">
        <v>0</v>
      </c>
      <c r="AF496" s="5" t="s">
        <v>15</v>
      </c>
    </row>
    <row r="497" spans="1:32" ht="15.75" thickBot="1">
      <c r="A497" s="11">
        <v>44321</v>
      </c>
      <c r="B497" s="2">
        <f t="shared" si="26"/>
        <v>0</v>
      </c>
      <c r="C497" s="3"/>
      <c r="D497" s="4"/>
      <c r="E497" s="124"/>
      <c r="F497" s="10">
        <f t="shared" si="27"/>
        <v>0</v>
      </c>
      <c r="G497" s="3"/>
      <c r="H497" s="4"/>
      <c r="I497" s="52"/>
      <c r="J497" s="53"/>
      <c r="K497" s="54"/>
      <c r="L497" s="52"/>
      <c r="M497" s="53"/>
      <c r="N497" s="53"/>
      <c r="O497" s="52"/>
      <c r="P497" s="54"/>
      <c r="Q497" s="52"/>
      <c r="R497" s="53"/>
      <c r="S497" s="57"/>
      <c r="T497" s="52"/>
      <c r="U497" s="54"/>
      <c r="V497" s="56"/>
      <c r="W497" s="54"/>
      <c r="X497" s="54"/>
      <c r="Y497" s="52"/>
      <c r="Z497" s="54"/>
      <c r="AA497" s="55"/>
      <c r="AB497" s="56"/>
      <c r="AC497" s="54"/>
      <c r="AD497" s="6">
        <f t="shared" si="28"/>
        <v>0</v>
      </c>
      <c r="AE497" s="49">
        <v>0</v>
      </c>
      <c r="AF497" s="5" t="s">
        <v>15</v>
      </c>
    </row>
    <row r="498" spans="1:32" ht="15.75" thickBot="1">
      <c r="A498" s="11">
        <v>44322</v>
      </c>
      <c r="B498" s="2">
        <f t="shared" si="26"/>
        <v>0</v>
      </c>
      <c r="C498" s="3"/>
      <c r="D498" s="4"/>
      <c r="E498" s="124"/>
      <c r="F498" s="10">
        <f t="shared" si="27"/>
        <v>0</v>
      </c>
      <c r="G498" s="3"/>
      <c r="H498" s="4"/>
      <c r="I498" s="52"/>
      <c r="J498" s="53"/>
      <c r="K498" s="54"/>
      <c r="L498" s="52"/>
      <c r="M498" s="53"/>
      <c r="N498" s="53"/>
      <c r="O498" s="52"/>
      <c r="P498" s="54"/>
      <c r="Q498" s="52"/>
      <c r="R498" s="53"/>
      <c r="S498" s="57"/>
      <c r="T498" s="60"/>
      <c r="U498" s="61"/>
      <c r="V498" s="56"/>
      <c r="W498" s="54"/>
      <c r="X498" s="54"/>
      <c r="Y498" s="52"/>
      <c r="Z498" s="54"/>
      <c r="AA498" s="55"/>
      <c r="AB498" s="56"/>
      <c r="AC498" s="54"/>
      <c r="AD498" s="6">
        <f t="shared" si="28"/>
        <v>0</v>
      </c>
      <c r="AE498" s="49">
        <v>0</v>
      </c>
      <c r="AF498" s="5" t="s">
        <v>15</v>
      </c>
    </row>
    <row r="499" spans="1:32" ht="15.75" thickBot="1">
      <c r="A499" s="11">
        <v>44323</v>
      </c>
      <c r="B499" s="2">
        <f t="shared" si="26"/>
        <v>0</v>
      </c>
      <c r="C499" s="3"/>
      <c r="D499" s="4"/>
      <c r="E499" s="124"/>
      <c r="F499" s="10">
        <f t="shared" si="27"/>
        <v>0</v>
      </c>
      <c r="G499" s="3"/>
      <c r="H499" s="4"/>
      <c r="I499" s="52"/>
      <c r="J499" s="53"/>
      <c r="K499" s="54"/>
      <c r="L499" s="52"/>
      <c r="M499" s="53"/>
      <c r="N499" s="53"/>
      <c r="O499" s="52"/>
      <c r="P499" s="54"/>
      <c r="Q499" s="52"/>
      <c r="R499" s="53"/>
      <c r="S499" s="57"/>
      <c r="T499" s="60"/>
      <c r="U499" s="61"/>
      <c r="V499" s="56"/>
      <c r="W499" s="54"/>
      <c r="X499" s="54"/>
      <c r="Y499" s="52"/>
      <c r="Z499" s="54"/>
      <c r="AA499" s="55"/>
      <c r="AB499" s="56"/>
      <c r="AC499" s="54"/>
      <c r="AD499" s="6">
        <f t="shared" si="28"/>
        <v>0</v>
      </c>
      <c r="AE499" s="49">
        <v>0</v>
      </c>
      <c r="AF499" s="5" t="s">
        <v>15</v>
      </c>
    </row>
    <row r="500" spans="1:32" ht="15.75" thickBot="1">
      <c r="A500" s="11">
        <v>44324</v>
      </c>
      <c r="B500" s="2">
        <f t="shared" si="26"/>
        <v>0</v>
      </c>
      <c r="C500" s="3"/>
      <c r="D500" s="4"/>
      <c r="E500" s="124"/>
      <c r="F500" s="10">
        <f t="shared" si="27"/>
        <v>0</v>
      </c>
      <c r="G500" s="3"/>
      <c r="H500" s="4"/>
      <c r="I500" s="52"/>
      <c r="J500" s="53"/>
      <c r="K500" s="54"/>
      <c r="L500" s="52"/>
      <c r="M500" s="53"/>
      <c r="N500" s="53"/>
      <c r="O500" s="52"/>
      <c r="P500" s="54"/>
      <c r="Q500" s="52"/>
      <c r="R500" s="53"/>
      <c r="S500" s="57"/>
      <c r="T500" s="60"/>
      <c r="U500" s="61"/>
      <c r="V500" s="56"/>
      <c r="W500" s="54"/>
      <c r="X500" s="54"/>
      <c r="Y500" s="52"/>
      <c r="Z500" s="54"/>
      <c r="AA500" s="55"/>
      <c r="AB500" s="56"/>
      <c r="AC500" s="54"/>
      <c r="AD500" s="6">
        <f t="shared" si="28"/>
        <v>0</v>
      </c>
      <c r="AE500" s="49">
        <v>0</v>
      </c>
      <c r="AF500" s="5" t="s">
        <v>15</v>
      </c>
    </row>
    <row r="501" spans="1:32" ht="15.75" thickBot="1">
      <c r="A501" s="11">
        <v>44325</v>
      </c>
      <c r="B501" s="2">
        <f t="shared" si="26"/>
        <v>0</v>
      </c>
      <c r="C501" s="3"/>
      <c r="D501" s="4"/>
      <c r="E501" s="124"/>
      <c r="F501" s="10">
        <f t="shared" si="27"/>
        <v>0</v>
      </c>
      <c r="G501" s="3"/>
      <c r="H501" s="4"/>
      <c r="I501" s="52"/>
      <c r="J501" s="53"/>
      <c r="K501" s="54"/>
      <c r="L501" s="52"/>
      <c r="M501" s="53"/>
      <c r="N501" s="53"/>
      <c r="O501" s="52"/>
      <c r="P501" s="54"/>
      <c r="Q501" s="52"/>
      <c r="R501" s="53"/>
      <c r="S501" s="57"/>
      <c r="T501" s="60"/>
      <c r="U501" s="61"/>
      <c r="V501" s="56"/>
      <c r="W501" s="54"/>
      <c r="X501" s="54"/>
      <c r="Y501" s="52"/>
      <c r="Z501" s="54"/>
      <c r="AA501" s="55"/>
      <c r="AB501" s="56"/>
      <c r="AC501" s="54"/>
      <c r="AD501" s="6">
        <f t="shared" si="28"/>
        <v>0</v>
      </c>
      <c r="AE501" s="49">
        <v>0</v>
      </c>
      <c r="AF501" s="5" t="s">
        <v>15</v>
      </c>
    </row>
    <row r="502" spans="1:32" ht="15.75" thickBot="1">
      <c r="A502" s="11">
        <v>44326</v>
      </c>
      <c r="B502" s="2">
        <f t="shared" si="26"/>
        <v>0</v>
      </c>
      <c r="C502" s="3"/>
      <c r="D502" s="4"/>
      <c r="E502" s="124"/>
      <c r="F502" s="10">
        <f t="shared" si="27"/>
        <v>0</v>
      </c>
      <c r="G502" s="3"/>
      <c r="H502" s="4"/>
      <c r="I502" s="52"/>
      <c r="J502" s="53"/>
      <c r="K502" s="54"/>
      <c r="L502" s="52"/>
      <c r="M502" s="53"/>
      <c r="N502" s="53"/>
      <c r="O502" s="52"/>
      <c r="P502" s="54"/>
      <c r="Q502" s="52"/>
      <c r="R502" s="53"/>
      <c r="S502" s="57"/>
      <c r="T502" s="60"/>
      <c r="U502" s="61"/>
      <c r="V502" s="56"/>
      <c r="W502" s="54"/>
      <c r="X502" s="54"/>
      <c r="Y502" s="52"/>
      <c r="Z502" s="54"/>
      <c r="AA502" s="55"/>
      <c r="AB502" s="56"/>
      <c r="AC502" s="54"/>
      <c r="AD502" s="6">
        <f t="shared" si="28"/>
        <v>0</v>
      </c>
      <c r="AE502" s="49">
        <v>0</v>
      </c>
      <c r="AF502" s="5" t="s">
        <v>15</v>
      </c>
    </row>
    <row r="503" spans="1:32" ht="15.75" thickBot="1">
      <c r="A503" s="11">
        <v>44327</v>
      </c>
      <c r="B503" s="2">
        <f t="shared" si="26"/>
        <v>0</v>
      </c>
      <c r="C503" s="3"/>
      <c r="D503" s="4"/>
      <c r="E503" s="124"/>
      <c r="F503" s="10">
        <f t="shared" si="27"/>
        <v>0</v>
      </c>
      <c r="G503" s="3"/>
      <c r="H503" s="4"/>
      <c r="I503" s="52"/>
      <c r="J503" s="53"/>
      <c r="K503" s="54"/>
      <c r="L503" s="52"/>
      <c r="M503" s="53"/>
      <c r="N503" s="53"/>
      <c r="O503" s="52"/>
      <c r="P503" s="54"/>
      <c r="Q503" s="52"/>
      <c r="R503" s="53"/>
      <c r="S503" s="57"/>
      <c r="T503" s="60"/>
      <c r="U503" s="61"/>
      <c r="V503" s="56"/>
      <c r="W503" s="54"/>
      <c r="X503" s="54"/>
      <c r="Y503" s="52"/>
      <c r="Z503" s="54"/>
      <c r="AA503" s="55"/>
      <c r="AB503" s="56"/>
      <c r="AC503" s="54"/>
      <c r="AD503" s="6">
        <f t="shared" si="28"/>
        <v>0</v>
      </c>
      <c r="AE503" s="49">
        <v>0</v>
      </c>
      <c r="AF503" s="5" t="s">
        <v>15</v>
      </c>
    </row>
    <row r="504" spans="1:32" ht="15.75" thickBot="1">
      <c r="A504" s="11">
        <v>44328</v>
      </c>
      <c r="B504" s="2">
        <f t="shared" si="26"/>
        <v>0</v>
      </c>
      <c r="C504" s="3"/>
      <c r="D504" s="4"/>
      <c r="E504" s="124"/>
      <c r="F504" s="10">
        <f t="shared" si="27"/>
        <v>0</v>
      </c>
      <c r="G504" s="3"/>
      <c r="H504" s="4"/>
      <c r="I504" s="52"/>
      <c r="J504" s="53"/>
      <c r="K504" s="54"/>
      <c r="L504" s="52"/>
      <c r="M504" s="53"/>
      <c r="N504" s="53"/>
      <c r="O504" s="52"/>
      <c r="P504" s="54"/>
      <c r="Q504" s="52"/>
      <c r="R504" s="53"/>
      <c r="S504" s="57"/>
      <c r="T504" s="60"/>
      <c r="U504" s="61"/>
      <c r="V504" s="56"/>
      <c r="W504" s="54"/>
      <c r="X504" s="54"/>
      <c r="Y504" s="52"/>
      <c r="Z504" s="54"/>
      <c r="AA504" s="55"/>
      <c r="AB504" s="56"/>
      <c r="AC504" s="54"/>
      <c r="AD504" s="6">
        <f t="shared" si="28"/>
        <v>0</v>
      </c>
      <c r="AE504" s="49">
        <v>0</v>
      </c>
      <c r="AF504" s="5" t="s">
        <v>15</v>
      </c>
    </row>
    <row r="505" spans="1:32" ht="15.75" thickBot="1">
      <c r="A505" s="11">
        <v>44329</v>
      </c>
      <c r="B505" s="2">
        <f t="shared" si="26"/>
        <v>0</v>
      </c>
      <c r="C505" s="3"/>
      <c r="D505" s="4"/>
      <c r="E505" s="124"/>
      <c r="F505" s="10">
        <f t="shared" si="27"/>
        <v>0</v>
      </c>
      <c r="G505" s="3"/>
      <c r="H505" s="4"/>
      <c r="I505" s="52"/>
      <c r="J505" s="53"/>
      <c r="K505" s="54"/>
      <c r="L505" s="52"/>
      <c r="M505" s="53"/>
      <c r="N505" s="53"/>
      <c r="O505" s="52"/>
      <c r="P505" s="54"/>
      <c r="Q505" s="52"/>
      <c r="R505" s="53"/>
      <c r="S505" s="57"/>
      <c r="T505" s="52"/>
      <c r="U505" s="54"/>
      <c r="V505" s="56"/>
      <c r="W505" s="54"/>
      <c r="X505" s="54"/>
      <c r="Y505" s="52"/>
      <c r="Z505" s="54"/>
      <c r="AA505" s="55"/>
      <c r="AB505" s="56"/>
      <c r="AC505" s="54"/>
      <c r="AD505" s="6">
        <f t="shared" si="28"/>
        <v>0</v>
      </c>
      <c r="AE505" s="49">
        <v>0</v>
      </c>
      <c r="AF505" s="5" t="s">
        <v>15</v>
      </c>
    </row>
    <row r="506" spans="1:32" ht="15.75" thickBot="1">
      <c r="A506" s="11">
        <v>44330</v>
      </c>
      <c r="B506" s="2">
        <f t="shared" si="26"/>
        <v>0</v>
      </c>
      <c r="C506" s="3"/>
      <c r="D506" s="4"/>
      <c r="E506" s="124"/>
      <c r="F506" s="10">
        <f t="shared" si="27"/>
        <v>0</v>
      </c>
      <c r="G506" s="3"/>
      <c r="H506" s="4"/>
      <c r="I506" s="52"/>
      <c r="J506" s="53"/>
      <c r="K506" s="54"/>
      <c r="L506" s="52"/>
      <c r="M506" s="53"/>
      <c r="N506" s="53"/>
      <c r="O506" s="52"/>
      <c r="P506" s="54"/>
      <c r="Q506" s="52"/>
      <c r="R506" s="53"/>
      <c r="S506" s="57"/>
      <c r="T506" s="60"/>
      <c r="U506" s="61"/>
      <c r="V506" s="56"/>
      <c r="W506" s="54"/>
      <c r="X506" s="54"/>
      <c r="Y506" s="52"/>
      <c r="Z506" s="54"/>
      <c r="AA506" s="55"/>
      <c r="AB506" s="56"/>
      <c r="AC506" s="54"/>
      <c r="AD506" s="6">
        <f t="shared" si="28"/>
        <v>0</v>
      </c>
      <c r="AE506" s="49">
        <v>0</v>
      </c>
      <c r="AF506" s="5" t="s">
        <v>15</v>
      </c>
    </row>
    <row r="507" spans="1:32" ht="15.75" thickBot="1">
      <c r="A507" s="11">
        <v>44331</v>
      </c>
      <c r="B507" s="2">
        <f t="shared" si="26"/>
        <v>0</v>
      </c>
      <c r="C507" s="3"/>
      <c r="D507" s="4"/>
      <c r="E507" s="124"/>
      <c r="F507" s="10">
        <f t="shared" si="27"/>
        <v>0</v>
      </c>
      <c r="G507" s="3"/>
      <c r="H507" s="4"/>
      <c r="I507" s="52"/>
      <c r="J507" s="53"/>
      <c r="K507" s="54"/>
      <c r="L507" s="52"/>
      <c r="M507" s="53"/>
      <c r="N507" s="53"/>
      <c r="O507" s="52"/>
      <c r="P507" s="54"/>
      <c r="Q507" s="52"/>
      <c r="R507" s="53"/>
      <c r="S507" s="57"/>
      <c r="T507" s="60"/>
      <c r="U507" s="61"/>
      <c r="V507" s="56"/>
      <c r="W507" s="54"/>
      <c r="X507" s="54"/>
      <c r="Y507" s="52"/>
      <c r="Z507" s="54"/>
      <c r="AA507" s="55"/>
      <c r="AB507" s="56"/>
      <c r="AC507" s="54"/>
      <c r="AD507" s="6">
        <f t="shared" si="28"/>
        <v>0</v>
      </c>
      <c r="AE507" s="49">
        <v>0</v>
      </c>
      <c r="AF507" s="5" t="s">
        <v>15</v>
      </c>
    </row>
    <row r="508" spans="1:32" ht="15.75" thickBot="1">
      <c r="A508" s="11">
        <v>44332</v>
      </c>
      <c r="B508" s="2">
        <f t="shared" si="26"/>
        <v>0</v>
      </c>
      <c r="C508" s="3"/>
      <c r="D508" s="4"/>
      <c r="E508" s="124"/>
      <c r="F508" s="10">
        <f t="shared" si="27"/>
        <v>0</v>
      </c>
      <c r="G508" s="3"/>
      <c r="H508" s="4"/>
      <c r="I508" s="52"/>
      <c r="J508" s="53"/>
      <c r="K508" s="54"/>
      <c r="L508" s="52"/>
      <c r="M508" s="53"/>
      <c r="N508" s="53"/>
      <c r="O508" s="52"/>
      <c r="P508" s="54"/>
      <c r="Q508" s="52"/>
      <c r="R508" s="53"/>
      <c r="S508" s="57"/>
      <c r="T508" s="60"/>
      <c r="U508" s="61"/>
      <c r="V508" s="56"/>
      <c r="W508" s="54"/>
      <c r="X508" s="54"/>
      <c r="Y508" s="52"/>
      <c r="Z508" s="54"/>
      <c r="AA508" s="55"/>
      <c r="AB508" s="56"/>
      <c r="AC508" s="54"/>
      <c r="AD508" s="6">
        <f t="shared" si="28"/>
        <v>0</v>
      </c>
      <c r="AE508" s="49">
        <v>0</v>
      </c>
      <c r="AF508" s="5" t="s">
        <v>15</v>
      </c>
    </row>
    <row r="509" spans="1:32" ht="15.75" thickBot="1">
      <c r="A509" s="11">
        <v>44333</v>
      </c>
      <c r="B509" s="2">
        <f t="shared" si="26"/>
        <v>0</v>
      </c>
      <c r="C509" s="3"/>
      <c r="D509" s="4"/>
      <c r="E509" s="124"/>
      <c r="F509" s="10">
        <f t="shared" si="27"/>
        <v>0</v>
      </c>
      <c r="G509" s="3"/>
      <c r="H509" s="4"/>
      <c r="I509" s="52"/>
      <c r="J509" s="53"/>
      <c r="K509" s="54"/>
      <c r="L509" s="52"/>
      <c r="M509" s="53"/>
      <c r="N509" s="53"/>
      <c r="O509" s="52"/>
      <c r="P509" s="54"/>
      <c r="Q509" s="52"/>
      <c r="R509" s="53"/>
      <c r="S509" s="57"/>
      <c r="T509" s="60"/>
      <c r="U509" s="61"/>
      <c r="V509" s="56"/>
      <c r="W509" s="54"/>
      <c r="X509" s="54"/>
      <c r="Y509" s="52"/>
      <c r="Z509" s="54"/>
      <c r="AA509" s="55"/>
      <c r="AB509" s="56"/>
      <c r="AC509" s="54"/>
      <c r="AD509" s="6">
        <f t="shared" si="28"/>
        <v>0</v>
      </c>
      <c r="AE509" s="49">
        <v>0</v>
      </c>
      <c r="AF509" s="5" t="s">
        <v>15</v>
      </c>
    </row>
    <row r="510" spans="1:32" ht="15.75" thickBot="1">
      <c r="A510" s="11">
        <v>44334</v>
      </c>
      <c r="B510" s="2">
        <f t="shared" si="26"/>
        <v>0</v>
      </c>
      <c r="C510" s="3"/>
      <c r="D510" s="4"/>
      <c r="E510" s="124"/>
      <c r="F510" s="10">
        <f t="shared" si="27"/>
        <v>0</v>
      </c>
      <c r="G510" s="3"/>
      <c r="H510" s="4"/>
      <c r="I510" s="52"/>
      <c r="J510" s="53"/>
      <c r="K510" s="54"/>
      <c r="L510" s="52"/>
      <c r="M510" s="53"/>
      <c r="N510" s="53"/>
      <c r="O510" s="52"/>
      <c r="P510" s="54"/>
      <c r="Q510" s="52"/>
      <c r="R510" s="53"/>
      <c r="S510" s="57"/>
      <c r="T510" s="60"/>
      <c r="U510" s="61"/>
      <c r="V510" s="56"/>
      <c r="W510" s="54"/>
      <c r="X510" s="54"/>
      <c r="Y510" s="52"/>
      <c r="Z510" s="54"/>
      <c r="AA510" s="55"/>
      <c r="AB510" s="56"/>
      <c r="AC510" s="54"/>
      <c r="AD510" s="6">
        <f t="shared" si="28"/>
        <v>0</v>
      </c>
      <c r="AE510" s="49">
        <v>0</v>
      </c>
      <c r="AF510" s="5" t="s">
        <v>15</v>
      </c>
    </row>
    <row r="511" spans="1:32" ht="15.75" thickBot="1">
      <c r="A511" s="11">
        <v>44335</v>
      </c>
      <c r="B511" s="2">
        <f t="shared" si="26"/>
        <v>0</v>
      </c>
      <c r="C511" s="3"/>
      <c r="D511" s="4"/>
      <c r="E511" s="124"/>
      <c r="F511" s="10">
        <f t="shared" si="27"/>
        <v>0</v>
      </c>
      <c r="G511" s="3"/>
      <c r="H511" s="4"/>
      <c r="I511" s="52"/>
      <c r="J511" s="53"/>
      <c r="K511" s="54"/>
      <c r="L511" s="52"/>
      <c r="M511" s="53"/>
      <c r="N511" s="53"/>
      <c r="O511" s="52"/>
      <c r="P511" s="54"/>
      <c r="Q511" s="52"/>
      <c r="R511" s="53"/>
      <c r="S511" s="57"/>
      <c r="T511" s="60"/>
      <c r="U511" s="61"/>
      <c r="V511" s="56"/>
      <c r="W511" s="54"/>
      <c r="X511" s="54"/>
      <c r="Y511" s="52"/>
      <c r="Z511" s="54"/>
      <c r="AA511" s="55"/>
      <c r="AB511" s="56"/>
      <c r="AC511" s="54"/>
      <c r="AD511" s="6">
        <f t="shared" si="28"/>
        <v>0</v>
      </c>
      <c r="AE511" s="49">
        <v>0</v>
      </c>
      <c r="AF511" s="5" t="s">
        <v>15</v>
      </c>
    </row>
    <row r="512" spans="1:32" ht="15.75" thickBot="1">
      <c r="A512" s="11">
        <v>44336</v>
      </c>
      <c r="B512" s="2">
        <f t="shared" si="26"/>
        <v>0</v>
      </c>
      <c r="C512" s="3"/>
      <c r="D512" s="4"/>
      <c r="E512" s="124"/>
      <c r="F512" s="10">
        <f t="shared" si="27"/>
        <v>0</v>
      </c>
      <c r="G512" s="3"/>
      <c r="H512" s="4"/>
      <c r="I512" s="52"/>
      <c r="J512" s="53"/>
      <c r="K512" s="54"/>
      <c r="L512" s="52"/>
      <c r="M512" s="53"/>
      <c r="N512" s="53"/>
      <c r="O512" s="52"/>
      <c r="P512" s="54"/>
      <c r="Q512" s="52"/>
      <c r="R512" s="53"/>
      <c r="S512" s="57"/>
      <c r="T512" s="60"/>
      <c r="U512" s="61"/>
      <c r="V512" s="56"/>
      <c r="W512" s="54"/>
      <c r="X512" s="54"/>
      <c r="Y512" s="52"/>
      <c r="Z512" s="54"/>
      <c r="AA512" s="55"/>
      <c r="AB512" s="56"/>
      <c r="AC512" s="54"/>
      <c r="AD512" s="6">
        <f t="shared" si="28"/>
        <v>0</v>
      </c>
      <c r="AE512" s="49">
        <v>0</v>
      </c>
      <c r="AF512" s="5" t="s">
        <v>15</v>
      </c>
    </row>
    <row r="513" spans="1:32" ht="15.75" thickBot="1">
      <c r="A513" s="11">
        <v>44337</v>
      </c>
      <c r="B513" s="2">
        <f t="shared" si="26"/>
        <v>0</v>
      </c>
      <c r="C513" s="3"/>
      <c r="D513" s="4"/>
      <c r="E513" s="124"/>
      <c r="F513" s="10">
        <f t="shared" si="27"/>
        <v>0</v>
      </c>
      <c r="G513" s="3"/>
      <c r="H513" s="4"/>
      <c r="I513" s="52"/>
      <c r="J513" s="53"/>
      <c r="K513" s="54"/>
      <c r="L513" s="52"/>
      <c r="M513" s="53"/>
      <c r="N513" s="53"/>
      <c r="O513" s="52"/>
      <c r="P513" s="54"/>
      <c r="Q513" s="52"/>
      <c r="R513" s="53"/>
      <c r="S513" s="57"/>
      <c r="T513" s="52"/>
      <c r="U513" s="54"/>
      <c r="V513" s="56"/>
      <c r="W513" s="54"/>
      <c r="X513" s="54"/>
      <c r="Y513" s="52"/>
      <c r="Z513" s="54"/>
      <c r="AA513" s="55"/>
      <c r="AB513" s="56"/>
      <c r="AC513" s="54"/>
      <c r="AD513" s="6">
        <f t="shared" si="28"/>
        <v>0</v>
      </c>
      <c r="AE513" s="49">
        <v>0</v>
      </c>
      <c r="AF513" s="5" t="s">
        <v>15</v>
      </c>
    </row>
    <row r="514" spans="1:32" ht="15.75" thickBot="1">
      <c r="A514" s="11">
        <v>44338</v>
      </c>
      <c r="B514" s="2">
        <f t="shared" si="26"/>
        <v>0</v>
      </c>
      <c r="C514" s="3"/>
      <c r="D514" s="4"/>
      <c r="E514" s="124"/>
      <c r="F514" s="10">
        <f t="shared" si="27"/>
        <v>0</v>
      </c>
      <c r="G514" s="3"/>
      <c r="H514" s="4"/>
      <c r="I514" s="52"/>
      <c r="J514" s="53"/>
      <c r="K514" s="54"/>
      <c r="L514" s="52"/>
      <c r="M514" s="53"/>
      <c r="N514" s="53"/>
      <c r="O514" s="52"/>
      <c r="P514" s="54"/>
      <c r="Q514" s="52"/>
      <c r="R514" s="53"/>
      <c r="S514" s="57"/>
      <c r="T514" s="60"/>
      <c r="U514" s="61"/>
      <c r="V514" s="56"/>
      <c r="W514" s="54"/>
      <c r="X514" s="54"/>
      <c r="Y514" s="52"/>
      <c r="Z514" s="54"/>
      <c r="AA514" s="55"/>
      <c r="AB514" s="56"/>
      <c r="AC514" s="54"/>
      <c r="AD514" s="6">
        <f t="shared" si="28"/>
        <v>0</v>
      </c>
      <c r="AE514" s="49">
        <v>0</v>
      </c>
      <c r="AF514" s="5" t="s">
        <v>15</v>
      </c>
    </row>
    <row r="515" spans="1:32" ht="15.75" thickBot="1">
      <c r="A515" s="11">
        <v>44339</v>
      </c>
      <c r="B515" s="2">
        <f t="shared" si="26"/>
        <v>0</v>
      </c>
      <c r="C515" s="3"/>
      <c r="D515" s="4"/>
      <c r="E515" s="124"/>
      <c r="F515" s="10">
        <f t="shared" si="27"/>
        <v>0</v>
      </c>
      <c r="G515" s="3"/>
      <c r="H515" s="4"/>
      <c r="I515" s="52"/>
      <c r="J515" s="53"/>
      <c r="K515" s="54"/>
      <c r="L515" s="52"/>
      <c r="M515" s="53"/>
      <c r="N515" s="53"/>
      <c r="O515" s="52"/>
      <c r="P515" s="54"/>
      <c r="Q515" s="52"/>
      <c r="R515" s="53"/>
      <c r="S515" s="57"/>
      <c r="T515" s="60"/>
      <c r="U515" s="61"/>
      <c r="V515" s="56"/>
      <c r="W515" s="54"/>
      <c r="X515" s="54"/>
      <c r="Y515" s="52"/>
      <c r="Z515" s="54"/>
      <c r="AA515" s="55"/>
      <c r="AB515" s="56"/>
      <c r="AC515" s="54"/>
      <c r="AD515" s="6">
        <f t="shared" si="28"/>
        <v>0</v>
      </c>
      <c r="AE515" s="49">
        <v>0</v>
      </c>
      <c r="AF515" s="5" t="s">
        <v>15</v>
      </c>
    </row>
    <row r="516" spans="1:32" ht="15.75" thickBot="1">
      <c r="A516" s="11">
        <v>44340</v>
      </c>
      <c r="B516" s="2">
        <f t="shared" si="26"/>
        <v>0</v>
      </c>
      <c r="C516" s="3"/>
      <c r="D516" s="4"/>
      <c r="E516" s="124"/>
      <c r="F516" s="10">
        <f t="shared" si="27"/>
        <v>0</v>
      </c>
      <c r="G516" s="3"/>
      <c r="H516" s="4"/>
      <c r="I516" s="52"/>
      <c r="J516" s="53"/>
      <c r="K516" s="54"/>
      <c r="L516" s="52"/>
      <c r="M516" s="53"/>
      <c r="N516" s="53"/>
      <c r="O516" s="52"/>
      <c r="P516" s="54"/>
      <c r="Q516" s="52"/>
      <c r="R516" s="53"/>
      <c r="S516" s="57"/>
      <c r="T516" s="60"/>
      <c r="U516" s="61"/>
      <c r="V516" s="56"/>
      <c r="W516" s="54"/>
      <c r="X516" s="54"/>
      <c r="Y516" s="52"/>
      <c r="Z516" s="54"/>
      <c r="AA516" s="55"/>
      <c r="AB516" s="56"/>
      <c r="AC516" s="54"/>
      <c r="AD516" s="6">
        <f t="shared" si="28"/>
        <v>0</v>
      </c>
      <c r="AE516" s="49">
        <v>0</v>
      </c>
      <c r="AF516" s="5" t="s">
        <v>15</v>
      </c>
    </row>
    <row r="517" spans="1:32" ht="15.75" thickBot="1">
      <c r="A517" s="11">
        <v>44341</v>
      </c>
      <c r="B517" s="2">
        <f t="shared" si="26"/>
        <v>0</v>
      </c>
      <c r="C517" s="3"/>
      <c r="D517" s="4"/>
      <c r="E517" s="124"/>
      <c r="F517" s="10">
        <f t="shared" si="27"/>
        <v>0</v>
      </c>
      <c r="G517" s="3"/>
      <c r="H517" s="4"/>
      <c r="I517" s="52"/>
      <c r="J517" s="53"/>
      <c r="K517" s="54"/>
      <c r="L517" s="52"/>
      <c r="M517" s="53"/>
      <c r="N517" s="53"/>
      <c r="O517" s="52"/>
      <c r="P517" s="54"/>
      <c r="Q517" s="52"/>
      <c r="R517" s="53"/>
      <c r="S517" s="57"/>
      <c r="T517" s="60"/>
      <c r="U517" s="61"/>
      <c r="V517" s="56"/>
      <c r="W517" s="54"/>
      <c r="X517" s="54"/>
      <c r="Y517" s="52"/>
      <c r="Z517" s="54"/>
      <c r="AA517" s="55"/>
      <c r="AB517" s="56"/>
      <c r="AC517" s="54"/>
      <c r="AD517" s="6">
        <f t="shared" si="28"/>
        <v>0</v>
      </c>
      <c r="AE517" s="49">
        <v>0</v>
      </c>
      <c r="AF517" s="5" t="s">
        <v>15</v>
      </c>
    </row>
    <row r="518" spans="1:32" ht="15.75" thickBot="1">
      <c r="A518" s="11">
        <v>44342</v>
      </c>
      <c r="B518" s="2">
        <f t="shared" si="26"/>
        <v>0</v>
      </c>
      <c r="C518" s="3"/>
      <c r="D518" s="4"/>
      <c r="E518" s="124"/>
      <c r="F518" s="10">
        <f t="shared" si="27"/>
        <v>0</v>
      </c>
      <c r="G518" s="3"/>
      <c r="H518" s="4"/>
      <c r="I518" s="52"/>
      <c r="J518" s="53"/>
      <c r="K518" s="54"/>
      <c r="L518" s="52"/>
      <c r="M518" s="53"/>
      <c r="N518" s="53"/>
      <c r="O518" s="52"/>
      <c r="P518" s="54"/>
      <c r="Q518" s="52"/>
      <c r="R518" s="53"/>
      <c r="S518" s="57"/>
      <c r="T518" s="60"/>
      <c r="U518" s="61"/>
      <c r="V518" s="56"/>
      <c r="W518" s="54"/>
      <c r="X518" s="54"/>
      <c r="Y518" s="52"/>
      <c r="Z518" s="54"/>
      <c r="AA518" s="55"/>
      <c r="AB518" s="56"/>
      <c r="AC518" s="54"/>
      <c r="AD518" s="6">
        <f t="shared" si="28"/>
        <v>0</v>
      </c>
      <c r="AE518" s="49">
        <v>0</v>
      </c>
      <c r="AF518" s="5" t="s">
        <v>15</v>
      </c>
    </row>
    <row r="519" spans="1:32" ht="15.75" thickBot="1">
      <c r="A519" s="11">
        <v>44343</v>
      </c>
      <c r="B519" s="2">
        <f t="shared" si="26"/>
        <v>0</v>
      </c>
      <c r="C519" s="3"/>
      <c r="D519" s="4"/>
      <c r="E519" s="124"/>
      <c r="F519" s="10">
        <f t="shared" si="27"/>
        <v>0</v>
      </c>
      <c r="G519" s="3"/>
      <c r="H519" s="4"/>
      <c r="I519" s="52"/>
      <c r="J519" s="53"/>
      <c r="K519" s="54"/>
      <c r="L519" s="52"/>
      <c r="M519" s="53"/>
      <c r="N519" s="53"/>
      <c r="O519" s="52"/>
      <c r="P519" s="54"/>
      <c r="Q519" s="52"/>
      <c r="R519" s="53"/>
      <c r="S519" s="57"/>
      <c r="T519" s="60"/>
      <c r="U519" s="61"/>
      <c r="V519" s="56"/>
      <c r="W519" s="54"/>
      <c r="X519" s="54"/>
      <c r="Y519" s="52"/>
      <c r="Z519" s="54"/>
      <c r="AA519" s="55"/>
      <c r="AB519" s="56"/>
      <c r="AC519" s="54"/>
      <c r="AD519" s="6">
        <f t="shared" si="28"/>
        <v>0</v>
      </c>
      <c r="AE519" s="49">
        <v>0</v>
      </c>
      <c r="AF519" s="5" t="s">
        <v>15</v>
      </c>
    </row>
    <row r="520" spans="1:32" ht="15.75" thickBot="1">
      <c r="A520" s="11">
        <v>44344</v>
      </c>
      <c r="B520" s="2">
        <f t="shared" si="26"/>
        <v>0</v>
      </c>
      <c r="C520" s="3"/>
      <c r="D520" s="4"/>
      <c r="E520" s="124"/>
      <c r="F520" s="10">
        <f t="shared" si="27"/>
        <v>0</v>
      </c>
      <c r="G520" s="3"/>
      <c r="H520" s="4"/>
      <c r="I520" s="52"/>
      <c r="J520" s="53"/>
      <c r="K520" s="54"/>
      <c r="L520" s="52"/>
      <c r="M520" s="53"/>
      <c r="N520" s="53"/>
      <c r="O520" s="52"/>
      <c r="P520" s="54"/>
      <c r="Q520" s="52"/>
      <c r="R520" s="53"/>
      <c r="S520" s="57"/>
      <c r="T520" s="60"/>
      <c r="U520" s="61"/>
      <c r="V520" s="56"/>
      <c r="W520" s="54"/>
      <c r="X520" s="54"/>
      <c r="Y520" s="52"/>
      <c r="Z520" s="54"/>
      <c r="AA520" s="55"/>
      <c r="AB520" s="56"/>
      <c r="AC520" s="54"/>
      <c r="AD520" s="6">
        <f t="shared" si="28"/>
        <v>0</v>
      </c>
      <c r="AE520" s="49">
        <v>0</v>
      </c>
      <c r="AF520" s="5" t="s">
        <v>15</v>
      </c>
    </row>
    <row r="521" spans="1:32" ht="15.75" thickBot="1">
      <c r="A521" s="11">
        <v>44345</v>
      </c>
      <c r="B521" s="2">
        <f t="shared" si="26"/>
        <v>0</v>
      </c>
      <c r="C521" s="3"/>
      <c r="D521" s="4"/>
      <c r="E521" s="124"/>
      <c r="F521" s="10">
        <f t="shared" si="27"/>
        <v>0</v>
      </c>
      <c r="G521" s="3"/>
      <c r="H521" s="4"/>
      <c r="I521" s="52"/>
      <c r="J521" s="53"/>
      <c r="K521" s="54"/>
      <c r="L521" s="52"/>
      <c r="M521" s="53"/>
      <c r="N521" s="53"/>
      <c r="O521" s="52"/>
      <c r="P521" s="54"/>
      <c r="Q521" s="52"/>
      <c r="R521" s="53"/>
      <c r="S521" s="57"/>
      <c r="T521" s="52"/>
      <c r="U521" s="54"/>
      <c r="V521" s="56"/>
      <c r="W521" s="54"/>
      <c r="X521" s="54"/>
      <c r="Y521" s="52"/>
      <c r="Z521" s="54"/>
      <c r="AA521" s="55"/>
      <c r="AB521" s="56"/>
      <c r="AC521" s="54"/>
      <c r="AD521" s="6">
        <f t="shared" si="28"/>
        <v>0</v>
      </c>
      <c r="AE521" s="49">
        <v>0</v>
      </c>
      <c r="AF521" s="5" t="s">
        <v>15</v>
      </c>
    </row>
    <row r="522" spans="1:32" ht="15.75" thickBot="1">
      <c r="A522" s="11">
        <v>44346</v>
      </c>
      <c r="B522" s="2">
        <f t="shared" si="26"/>
        <v>0</v>
      </c>
      <c r="C522" s="3"/>
      <c r="D522" s="4"/>
      <c r="E522" s="124"/>
      <c r="F522" s="10">
        <f t="shared" si="27"/>
        <v>0</v>
      </c>
      <c r="G522" s="3"/>
      <c r="H522" s="4"/>
      <c r="I522" s="52"/>
      <c r="J522" s="53"/>
      <c r="K522" s="54"/>
      <c r="L522" s="52"/>
      <c r="M522" s="53"/>
      <c r="N522" s="53"/>
      <c r="O522" s="52"/>
      <c r="P522" s="54"/>
      <c r="Q522" s="52"/>
      <c r="R522" s="53"/>
      <c r="S522" s="57"/>
      <c r="T522" s="60"/>
      <c r="U522" s="61"/>
      <c r="V522" s="56"/>
      <c r="W522" s="54"/>
      <c r="X522" s="54"/>
      <c r="Y522" s="52"/>
      <c r="Z522" s="54"/>
      <c r="AA522" s="55"/>
      <c r="AB522" s="56"/>
      <c r="AC522" s="54"/>
      <c r="AD522" s="6">
        <f t="shared" si="28"/>
        <v>0</v>
      </c>
      <c r="AE522" s="49">
        <v>0</v>
      </c>
      <c r="AF522" s="5" t="s">
        <v>15</v>
      </c>
    </row>
    <row r="523" spans="1:32" ht="15.75" thickBot="1">
      <c r="A523" s="11">
        <v>44347</v>
      </c>
      <c r="B523" s="2">
        <f t="shared" si="26"/>
        <v>0</v>
      </c>
      <c r="C523" s="3"/>
      <c r="D523" s="4"/>
      <c r="E523" s="124"/>
      <c r="F523" s="10">
        <f t="shared" si="27"/>
        <v>0</v>
      </c>
      <c r="G523" s="3"/>
      <c r="H523" s="4"/>
      <c r="I523" s="52"/>
      <c r="J523" s="53"/>
      <c r="K523" s="54"/>
      <c r="L523" s="52"/>
      <c r="M523" s="53"/>
      <c r="N523" s="53"/>
      <c r="O523" s="52"/>
      <c r="P523" s="54"/>
      <c r="Q523" s="52"/>
      <c r="R523" s="53"/>
      <c r="S523" s="57"/>
      <c r="T523" s="60"/>
      <c r="U523" s="61"/>
      <c r="V523" s="56"/>
      <c r="W523" s="54"/>
      <c r="X523" s="54"/>
      <c r="Y523" s="52"/>
      <c r="Z523" s="54"/>
      <c r="AA523" s="55"/>
      <c r="AB523" s="56"/>
      <c r="AC523" s="54"/>
      <c r="AD523" s="6">
        <f t="shared" si="28"/>
        <v>0</v>
      </c>
      <c r="AE523" s="49">
        <v>0</v>
      </c>
      <c r="AF523" s="5" t="s">
        <v>15</v>
      </c>
    </row>
    <row r="524" spans="1:32" ht="15.75" thickBot="1">
      <c r="A524" s="11">
        <v>44348</v>
      </c>
      <c r="B524" s="2">
        <f t="shared" si="26"/>
        <v>0</v>
      </c>
      <c r="C524" s="3"/>
      <c r="D524" s="4"/>
      <c r="E524" s="124"/>
      <c r="F524" s="10">
        <f t="shared" si="27"/>
        <v>0</v>
      </c>
      <c r="G524" s="3"/>
      <c r="H524" s="4"/>
      <c r="I524" s="52"/>
      <c r="J524" s="53"/>
      <c r="K524" s="54"/>
      <c r="L524" s="52"/>
      <c r="M524" s="53"/>
      <c r="N524" s="53"/>
      <c r="O524" s="52"/>
      <c r="P524" s="54"/>
      <c r="Q524" s="52"/>
      <c r="R524" s="53"/>
      <c r="S524" s="57"/>
      <c r="T524" s="60"/>
      <c r="U524" s="61"/>
      <c r="V524" s="56"/>
      <c r="W524" s="54"/>
      <c r="X524" s="54"/>
      <c r="Y524" s="52"/>
      <c r="Z524" s="54"/>
      <c r="AA524" s="55"/>
      <c r="AB524" s="56"/>
      <c r="AC524" s="54"/>
      <c r="AD524" s="6">
        <f t="shared" si="28"/>
        <v>0</v>
      </c>
      <c r="AE524" s="49">
        <v>0</v>
      </c>
      <c r="AF524" s="5" t="s">
        <v>15</v>
      </c>
    </row>
    <row r="525" spans="1:32" ht="15.75" thickBot="1">
      <c r="A525" s="11">
        <v>44349</v>
      </c>
      <c r="B525" s="2">
        <f t="shared" si="26"/>
        <v>0</v>
      </c>
      <c r="C525" s="3"/>
      <c r="D525" s="4"/>
      <c r="E525" s="124"/>
      <c r="F525" s="10">
        <f t="shared" si="27"/>
        <v>0</v>
      </c>
      <c r="G525" s="3"/>
      <c r="H525" s="4"/>
      <c r="I525" s="52"/>
      <c r="J525" s="53"/>
      <c r="K525" s="54"/>
      <c r="L525" s="52"/>
      <c r="M525" s="53"/>
      <c r="N525" s="53"/>
      <c r="O525" s="52"/>
      <c r="P525" s="54"/>
      <c r="Q525" s="52"/>
      <c r="R525" s="53"/>
      <c r="S525" s="57"/>
      <c r="T525" s="60"/>
      <c r="U525" s="61"/>
      <c r="V525" s="56"/>
      <c r="W525" s="54"/>
      <c r="X525" s="54"/>
      <c r="Y525" s="52"/>
      <c r="Z525" s="54"/>
      <c r="AA525" s="55"/>
      <c r="AB525" s="56"/>
      <c r="AC525" s="54"/>
      <c r="AD525" s="6">
        <f t="shared" si="28"/>
        <v>0</v>
      </c>
      <c r="AE525" s="49">
        <v>0</v>
      </c>
      <c r="AF525" s="5" t="s">
        <v>15</v>
      </c>
    </row>
    <row r="526" spans="1:32" ht="15.75" thickBot="1">
      <c r="A526" s="11">
        <v>44350</v>
      </c>
      <c r="B526" s="2">
        <f t="shared" si="26"/>
        <v>0</v>
      </c>
      <c r="C526" s="3"/>
      <c r="D526" s="4"/>
      <c r="E526" s="124"/>
      <c r="F526" s="10">
        <f t="shared" si="27"/>
        <v>0</v>
      </c>
      <c r="G526" s="3"/>
      <c r="H526" s="4"/>
      <c r="I526" s="52"/>
      <c r="J526" s="53"/>
      <c r="K526" s="54"/>
      <c r="L526" s="52"/>
      <c r="M526" s="53"/>
      <c r="N526" s="53"/>
      <c r="O526" s="52"/>
      <c r="P526" s="54"/>
      <c r="Q526" s="52"/>
      <c r="R526" s="53"/>
      <c r="S526" s="57"/>
      <c r="T526" s="60"/>
      <c r="U526" s="61"/>
      <c r="V526" s="56"/>
      <c r="W526" s="54"/>
      <c r="X526" s="54"/>
      <c r="Y526" s="52"/>
      <c r="Z526" s="54"/>
      <c r="AA526" s="55"/>
      <c r="AB526" s="56"/>
      <c r="AC526" s="54"/>
      <c r="AD526" s="6">
        <f t="shared" si="28"/>
        <v>0</v>
      </c>
      <c r="AE526" s="49">
        <v>0</v>
      </c>
      <c r="AF526" s="5" t="s">
        <v>15</v>
      </c>
    </row>
    <row r="527" spans="1:32" ht="15.75" thickBot="1">
      <c r="A527" s="11">
        <v>44351</v>
      </c>
      <c r="B527" s="2">
        <f t="shared" si="26"/>
        <v>0</v>
      </c>
      <c r="C527" s="3"/>
      <c r="D527" s="4"/>
      <c r="E527" s="124"/>
      <c r="F527" s="10">
        <f t="shared" si="27"/>
        <v>0</v>
      </c>
      <c r="G527" s="3"/>
      <c r="H527" s="4"/>
      <c r="I527" s="52"/>
      <c r="J527" s="53"/>
      <c r="K527" s="54"/>
      <c r="L527" s="52"/>
      <c r="M527" s="53"/>
      <c r="N527" s="53"/>
      <c r="O527" s="52"/>
      <c r="P527" s="54"/>
      <c r="Q527" s="52"/>
      <c r="R527" s="53"/>
      <c r="S527" s="57"/>
      <c r="T527" s="60"/>
      <c r="U527" s="61"/>
      <c r="V527" s="56"/>
      <c r="W527" s="54"/>
      <c r="X527" s="54"/>
      <c r="Y527" s="52"/>
      <c r="Z527" s="54"/>
      <c r="AA527" s="55"/>
      <c r="AB527" s="56"/>
      <c r="AC527" s="54"/>
      <c r="AD527" s="6">
        <f t="shared" si="28"/>
        <v>0</v>
      </c>
      <c r="AE527" s="49">
        <v>0</v>
      </c>
      <c r="AF527" s="5" t="s">
        <v>15</v>
      </c>
    </row>
    <row r="528" spans="1:32" ht="15.75" thickBot="1">
      <c r="A528" s="11">
        <v>44352</v>
      </c>
      <c r="B528" s="2">
        <f t="shared" si="26"/>
        <v>0</v>
      </c>
      <c r="C528" s="3"/>
      <c r="D528" s="4"/>
      <c r="E528" s="124"/>
      <c r="F528" s="10">
        <f t="shared" si="27"/>
        <v>0</v>
      </c>
      <c r="G528" s="3"/>
      <c r="H528" s="4"/>
      <c r="I528" s="52"/>
      <c r="J528" s="53"/>
      <c r="K528" s="54"/>
      <c r="L528" s="52"/>
      <c r="M528" s="53"/>
      <c r="N528" s="53"/>
      <c r="O528" s="52"/>
      <c r="P528" s="54"/>
      <c r="Q528" s="52"/>
      <c r="R528" s="53"/>
      <c r="S528" s="57"/>
      <c r="T528" s="60"/>
      <c r="U528" s="61"/>
      <c r="V528" s="56"/>
      <c r="W528" s="54"/>
      <c r="X528" s="54"/>
      <c r="Y528" s="52"/>
      <c r="Z528" s="54"/>
      <c r="AA528" s="55"/>
      <c r="AB528" s="56"/>
      <c r="AC528" s="54"/>
      <c r="AD528" s="6">
        <f t="shared" si="28"/>
        <v>0</v>
      </c>
      <c r="AE528" s="49">
        <v>0</v>
      </c>
      <c r="AF528" s="5" t="s">
        <v>15</v>
      </c>
    </row>
    <row r="529" spans="1:32" ht="15.75" thickBot="1">
      <c r="A529" s="11">
        <v>44353</v>
      </c>
      <c r="B529" s="2">
        <f t="shared" si="26"/>
        <v>0</v>
      </c>
      <c r="C529" s="3"/>
      <c r="D529" s="4"/>
      <c r="E529" s="124"/>
      <c r="F529" s="10">
        <f t="shared" si="27"/>
        <v>0</v>
      </c>
      <c r="G529" s="3"/>
      <c r="H529" s="4"/>
      <c r="I529" s="52"/>
      <c r="J529" s="53"/>
      <c r="K529" s="54"/>
      <c r="L529" s="52"/>
      <c r="M529" s="53"/>
      <c r="N529" s="53"/>
      <c r="O529" s="52"/>
      <c r="P529" s="54"/>
      <c r="Q529" s="52"/>
      <c r="R529" s="53"/>
      <c r="S529" s="57"/>
      <c r="T529" s="52"/>
      <c r="U529" s="54"/>
      <c r="V529" s="56"/>
      <c r="W529" s="54"/>
      <c r="X529" s="54"/>
      <c r="Y529" s="52"/>
      <c r="Z529" s="54"/>
      <c r="AA529" s="55"/>
      <c r="AB529" s="56"/>
      <c r="AC529" s="54"/>
      <c r="AD529" s="6">
        <f t="shared" si="28"/>
        <v>0</v>
      </c>
      <c r="AE529" s="49">
        <v>0</v>
      </c>
      <c r="AF529" s="5" t="s">
        <v>15</v>
      </c>
    </row>
    <row r="530" spans="1:32" ht="15.75" thickBot="1">
      <c r="A530" s="11">
        <v>44354</v>
      </c>
      <c r="B530" s="2">
        <f t="shared" si="26"/>
        <v>0</v>
      </c>
      <c r="C530" s="3"/>
      <c r="D530" s="4"/>
      <c r="E530" s="124"/>
      <c r="F530" s="10">
        <f t="shared" si="27"/>
        <v>0</v>
      </c>
      <c r="G530" s="3"/>
      <c r="H530" s="4"/>
      <c r="I530" s="52"/>
      <c r="J530" s="53"/>
      <c r="K530" s="54"/>
      <c r="L530" s="52"/>
      <c r="M530" s="53"/>
      <c r="N530" s="53"/>
      <c r="O530" s="52"/>
      <c r="P530" s="54"/>
      <c r="Q530" s="52"/>
      <c r="R530" s="53"/>
      <c r="S530" s="57"/>
      <c r="T530" s="60"/>
      <c r="U530" s="61"/>
      <c r="V530" s="56"/>
      <c r="W530" s="54"/>
      <c r="X530" s="54"/>
      <c r="Y530" s="52"/>
      <c r="Z530" s="54"/>
      <c r="AA530" s="55"/>
      <c r="AB530" s="56"/>
      <c r="AC530" s="54"/>
      <c r="AD530" s="6">
        <f t="shared" si="28"/>
        <v>0</v>
      </c>
      <c r="AE530" s="49">
        <v>0</v>
      </c>
      <c r="AF530" s="5" t="s">
        <v>15</v>
      </c>
    </row>
    <row r="531" spans="1:32" ht="15.75" thickBot="1">
      <c r="A531" s="11">
        <v>44355</v>
      </c>
      <c r="B531" s="2">
        <f t="shared" si="26"/>
        <v>0</v>
      </c>
      <c r="C531" s="3"/>
      <c r="D531" s="4"/>
      <c r="E531" s="124"/>
      <c r="F531" s="10">
        <f t="shared" si="27"/>
        <v>0</v>
      </c>
      <c r="G531" s="3"/>
      <c r="H531" s="4"/>
      <c r="I531" s="52"/>
      <c r="J531" s="53"/>
      <c r="K531" s="54"/>
      <c r="L531" s="52"/>
      <c r="M531" s="53"/>
      <c r="N531" s="53"/>
      <c r="O531" s="52"/>
      <c r="P531" s="54"/>
      <c r="Q531" s="52"/>
      <c r="R531" s="53"/>
      <c r="S531" s="57"/>
      <c r="T531" s="60"/>
      <c r="U531" s="61"/>
      <c r="V531" s="56"/>
      <c r="W531" s="54"/>
      <c r="X531" s="54"/>
      <c r="Y531" s="52"/>
      <c r="Z531" s="54"/>
      <c r="AA531" s="55"/>
      <c r="AB531" s="56"/>
      <c r="AC531" s="54"/>
      <c r="AD531" s="6">
        <f t="shared" si="28"/>
        <v>0</v>
      </c>
      <c r="AE531" s="49">
        <v>0</v>
      </c>
      <c r="AF531" s="5" t="s">
        <v>15</v>
      </c>
    </row>
    <row r="532" spans="1:32" ht="15.75" thickBot="1">
      <c r="A532" s="11">
        <v>44356</v>
      </c>
      <c r="B532" s="2">
        <f t="shared" si="26"/>
        <v>0</v>
      </c>
      <c r="C532" s="3"/>
      <c r="D532" s="4"/>
      <c r="E532" s="124"/>
      <c r="F532" s="10">
        <f t="shared" si="27"/>
        <v>0</v>
      </c>
      <c r="G532" s="3"/>
      <c r="H532" s="4"/>
      <c r="I532" s="52"/>
      <c r="J532" s="53"/>
      <c r="K532" s="54"/>
      <c r="L532" s="52"/>
      <c r="M532" s="53"/>
      <c r="N532" s="53"/>
      <c r="O532" s="52"/>
      <c r="P532" s="54"/>
      <c r="Q532" s="52"/>
      <c r="R532" s="53"/>
      <c r="S532" s="57"/>
      <c r="T532" s="60"/>
      <c r="U532" s="61"/>
      <c r="V532" s="56"/>
      <c r="W532" s="54"/>
      <c r="X532" s="54"/>
      <c r="Y532" s="52"/>
      <c r="Z532" s="54"/>
      <c r="AA532" s="55"/>
      <c r="AB532" s="56"/>
      <c r="AC532" s="54"/>
      <c r="AD532" s="6">
        <f t="shared" si="28"/>
        <v>0</v>
      </c>
      <c r="AE532" s="49">
        <v>0</v>
      </c>
      <c r="AF532" s="5" t="s">
        <v>15</v>
      </c>
    </row>
    <row r="533" spans="1:32" ht="15.75" thickBot="1">
      <c r="A533" s="11">
        <v>44357</v>
      </c>
      <c r="B533" s="2">
        <f t="shared" si="26"/>
        <v>0</v>
      </c>
      <c r="C533" s="3"/>
      <c r="D533" s="4"/>
      <c r="E533" s="124"/>
      <c r="F533" s="10">
        <f t="shared" si="27"/>
        <v>0</v>
      </c>
      <c r="G533" s="3"/>
      <c r="H533" s="4"/>
      <c r="I533" s="52"/>
      <c r="J533" s="53"/>
      <c r="K533" s="54"/>
      <c r="L533" s="52"/>
      <c r="M533" s="53"/>
      <c r="N533" s="53"/>
      <c r="O533" s="52"/>
      <c r="P533" s="54"/>
      <c r="Q533" s="52"/>
      <c r="R533" s="53"/>
      <c r="S533" s="57"/>
      <c r="T533" s="60"/>
      <c r="U533" s="61"/>
      <c r="V533" s="56"/>
      <c r="W533" s="54"/>
      <c r="X533" s="54"/>
      <c r="Y533" s="52"/>
      <c r="Z533" s="54"/>
      <c r="AA533" s="55"/>
      <c r="AB533" s="56"/>
      <c r="AC533" s="54"/>
      <c r="AD533" s="6">
        <f t="shared" si="28"/>
        <v>0</v>
      </c>
      <c r="AE533" s="49">
        <v>0</v>
      </c>
      <c r="AF533" s="5" t="s">
        <v>15</v>
      </c>
    </row>
    <row r="534" spans="1:32" ht="15.75" thickBot="1">
      <c r="A534" s="11">
        <v>44358</v>
      </c>
      <c r="B534" s="2">
        <f t="shared" si="26"/>
        <v>0</v>
      </c>
      <c r="C534" s="3"/>
      <c r="D534" s="4"/>
      <c r="E534" s="124"/>
      <c r="F534" s="10">
        <f t="shared" si="27"/>
        <v>0</v>
      </c>
      <c r="G534" s="3"/>
      <c r="H534" s="4"/>
      <c r="I534" s="52"/>
      <c r="J534" s="53"/>
      <c r="K534" s="54"/>
      <c r="L534" s="52"/>
      <c r="M534" s="53"/>
      <c r="N534" s="53"/>
      <c r="O534" s="52"/>
      <c r="P534" s="54"/>
      <c r="Q534" s="52"/>
      <c r="R534" s="53"/>
      <c r="S534" s="57"/>
      <c r="T534" s="60"/>
      <c r="U534" s="61"/>
      <c r="V534" s="56"/>
      <c r="W534" s="54"/>
      <c r="X534" s="54"/>
      <c r="Y534" s="52"/>
      <c r="Z534" s="54"/>
      <c r="AA534" s="55"/>
      <c r="AB534" s="56"/>
      <c r="AC534" s="54"/>
      <c r="AD534" s="6">
        <f t="shared" si="28"/>
        <v>0</v>
      </c>
      <c r="AE534" s="49">
        <v>0</v>
      </c>
      <c r="AF534" s="5" t="s">
        <v>15</v>
      </c>
    </row>
    <row r="535" spans="1:32" ht="15.75" thickBot="1">
      <c r="A535" s="11">
        <v>44359</v>
      </c>
      <c r="B535" s="2">
        <f t="shared" si="26"/>
        <v>0</v>
      </c>
      <c r="C535" s="3"/>
      <c r="D535" s="4"/>
      <c r="E535" s="124"/>
      <c r="F535" s="10">
        <f t="shared" si="27"/>
        <v>0</v>
      </c>
      <c r="G535" s="3"/>
      <c r="H535" s="4"/>
      <c r="I535" s="52"/>
      <c r="J535" s="53"/>
      <c r="K535" s="54"/>
      <c r="L535" s="52"/>
      <c r="M535" s="53"/>
      <c r="N535" s="53"/>
      <c r="O535" s="52"/>
      <c r="P535" s="54"/>
      <c r="Q535" s="52"/>
      <c r="R535" s="53"/>
      <c r="S535" s="57"/>
      <c r="T535" s="60"/>
      <c r="U535" s="61"/>
      <c r="V535" s="56"/>
      <c r="W535" s="54"/>
      <c r="X535" s="54"/>
      <c r="Y535" s="52"/>
      <c r="Z535" s="54"/>
      <c r="AA535" s="55"/>
      <c r="AB535" s="56"/>
      <c r="AC535" s="54"/>
      <c r="AD535" s="6">
        <f t="shared" si="28"/>
        <v>0</v>
      </c>
      <c r="AE535" s="49">
        <v>0</v>
      </c>
      <c r="AF535" s="5" t="s">
        <v>15</v>
      </c>
    </row>
    <row r="536" spans="1:32" ht="15.75" thickBot="1">
      <c r="A536" s="11">
        <v>44360</v>
      </c>
      <c r="B536" s="2">
        <f t="shared" si="26"/>
        <v>0</v>
      </c>
      <c r="C536" s="3"/>
      <c r="D536" s="4"/>
      <c r="E536" s="124"/>
      <c r="F536" s="10">
        <f t="shared" si="27"/>
        <v>0</v>
      </c>
      <c r="G536" s="3"/>
      <c r="H536" s="4"/>
      <c r="I536" s="52"/>
      <c r="J536" s="53"/>
      <c r="K536" s="54"/>
      <c r="L536" s="52"/>
      <c r="M536" s="53"/>
      <c r="N536" s="53"/>
      <c r="O536" s="52"/>
      <c r="P536" s="54"/>
      <c r="Q536" s="52"/>
      <c r="R536" s="53"/>
      <c r="S536" s="57"/>
      <c r="T536" s="60"/>
      <c r="U536" s="61"/>
      <c r="V536" s="56"/>
      <c r="W536" s="54"/>
      <c r="X536" s="54"/>
      <c r="Y536" s="52"/>
      <c r="Z536" s="54"/>
      <c r="AA536" s="55"/>
      <c r="AB536" s="56"/>
      <c r="AC536" s="54"/>
      <c r="AD536" s="6">
        <f t="shared" si="28"/>
        <v>0</v>
      </c>
      <c r="AE536" s="49">
        <v>0</v>
      </c>
      <c r="AF536" s="5" t="s">
        <v>15</v>
      </c>
    </row>
    <row r="537" spans="1:32" ht="15.75" thickBot="1">
      <c r="A537" s="11">
        <v>44361</v>
      </c>
      <c r="B537" s="2">
        <f t="shared" si="26"/>
        <v>0</v>
      </c>
      <c r="C537" s="3"/>
      <c r="D537" s="4"/>
      <c r="E537" s="124"/>
      <c r="F537" s="10">
        <f t="shared" si="27"/>
        <v>0</v>
      </c>
      <c r="G537" s="3"/>
      <c r="H537" s="4"/>
      <c r="I537" s="52"/>
      <c r="J537" s="53"/>
      <c r="K537" s="54"/>
      <c r="L537" s="52"/>
      <c r="M537" s="53"/>
      <c r="N537" s="53"/>
      <c r="O537" s="52"/>
      <c r="P537" s="54"/>
      <c r="Q537" s="52"/>
      <c r="R537" s="53"/>
      <c r="S537" s="57"/>
      <c r="T537" s="52"/>
      <c r="U537" s="54"/>
      <c r="V537" s="56"/>
      <c r="W537" s="54"/>
      <c r="X537" s="54"/>
      <c r="Y537" s="52"/>
      <c r="Z537" s="54"/>
      <c r="AA537" s="55"/>
      <c r="AB537" s="56"/>
      <c r="AC537" s="54"/>
      <c r="AD537" s="6">
        <f t="shared" si="28"/>
        <v>0</v>
      </c>
      <c r="AE537" s="49">
        <v>0</v>
      </c>
      <c r="AF537" s="5" t="s">
        <v>15</v>
      </c>
    </row>
    <row r="538" spans="1:32" ht="15.75" thickBot="1">
      <c r="A538" s="11">
        <v>44362</v>
      </c>
      <c r="B538" s="2">
        <f t="shared" ref="B538:B601" si="29">AE537</f>
        <v>0</v>
      </c>
      <c r="C538" s="3"/>
      <c r="D538" s="4"/>
      <c r="E538" s="124"/>
      <c r="F538" s="10">
        <f t="shared" ref="F538:F601" si="30">C538-D538-E538</f>
        <v>0</v>
      </c>
      <c r="G538" s="3"/>
      <c r="H538" s="4"/>
      <c r="I538" s="52"/>
      <c r="J538" s="53"/>
      <c r="K538" s="54"/>
      <c r="L538" s="52"/>
      <c r="M538" s="53"/>
      <c r="N538" s="53"/>
      <c r="O538" s="52"/>
      <c r="P538" s="54"/>
      <c r="Q538" s="52"/>
      <c r="R538" s="53"/>
      <c r="S538" s="57"/>
      <c r="T538" s="60"/>
      <c r="U538" s="61"/>
      <c r="V538" s="56"/>
      <c r="W538" s="54"/>
      <c r="X538" s="54"/>
      <c r="Y538" s="52"/>
      <c r="Z538" s="54"/>
      <c r="AA538" s="55"/>
      <c r="AB538" s="56"/>
      <c r="AC538" s="54"/>
      <c r="AD538" s="6">
        <f t="shared" ref="AD538:AD601" si="31">B538+F538-I538-L538-V538-G538-Q538-AC538-AE538</f>
        <v>0</v>
      </c>
      <c r="AE538" s="49">
        <v>0</v>
      </c>
      <c r="AF538" s="5" t="s">
        <v>15</v>
      </c>
    </row>
    <row r="539" spans="1:32" ht="15.75" thickBot="1">
      <c r="A539" s="11">
        <v>44363</v>
      </c>
      <c r="B539" s="2">
        <f t="shared" si="29"/>
        <v>0</v>
      </c>
      <c r="C539" s="3"/>
      <c r="D539" s="4"/>
      <c r="E539" s="124"/>
      <c r="F539" s="10">
        <f t="shared" si="30"/>
        <v>0</v>
      </c>
      <c r="G539" s="3"/>
      <c r="H539" s="4"/>
      <c r="I539" s="52"/>
      <c r="J539" s="53"/>
      <c r="K539" s="54"/>
      <c r="L539" s="52"/>
      <c r="M539" s="53"/>
      <c r="N539" s="53"/>
      <c r="O539" s="52"/>
      <c r="P539" s="54"/>
      <c r="Q539" s="52"/>
      <c r="R539" s="53"/>
      <c r="S539" s="57"/>
      <c r="T539" s="60"/>
      <c r="U539" s="61"/>
      <c r="V539" s="56"/>
      <c r="W539" s="54"/>
      <c r="X539" s="54"/>
      <c r="Y539" s="52"/>
      <c r="Z539" s="54"/>
      <c r="AA539" s="55"/>
      <c r="AB539" s="56"/>
      <c r="AC539" s="54"/>
      <c r="AD539" s="6">
        <f t="shared" si="31"/>
        <v>0</v>
      </c>
      <c r="AE539" s="49">
        <v>0</v>
      </c>
      <c r="AF539" s="5" t="s">
        <v>15</v>
      </c>
    </row>
    <row r="540" spans="1:32" ht="15.75" thickBot="1">
      <c r="A540" s="11">
        <v>44364</v>
      </c>
      <c r="B540" s="2">
        <f t="shared" si="29"/>
        <v>0</v>
      </c>
      <c r="C540" s="3"/>
      <c r="D540" s="4"/>
      <c r="E540" s="124"/>
      <c r="F540" s="10">
        <f t="shared" si="30"/>
        <v>0</v>
      </c>
      <c r="G540" s="3"/>
      <c r="H540" s="4"/>
      <c r="I540" s="52"/>
      <c r="J540" s="53"/>
      <c r="K540" s="54"/>
      <c r="L540" s="52"/>
      <c r="M540" s="53"/>
      <c r="N540" s="53"/>
      <c r="O540" s="52"/>
      <c r="P540" s="54"/>
      <c r="Q540" s="52"/>
      <c r="R540" s="53"/>
      <c r="S540" s="57"/>
      <c r="T540" s="60"/>
      <c r="U540" s="61"/>
      <c r="V540" s="56"/>
      <c r="W540" s="54"/>
      <c r="X540" s="54"/>
      <c r="Y540" s="52"/>
      <c r="Z540" s="54"/>
      <c r="AA540" s="55"/>
      <c r="AB540" s="56"/>
      <c r="AC540" s="54"/>
      <c r="AD540" s="6">
        <f t="shared" si="31"/>
        <v>0</v>
      </c>
      <c r="AE540" s="49">
        <v>0</v>
      </c>
      <c r="AF540" s="5" t="s">
        <v>15</v>
      </c>
    </row>
    <row r="541" spans="1:32" ht="15.75" thickBot="1">
      <c r="A541" s="11">
        <v>44365</v>
      </c>
      <c r="B541" s="2">
        <f t="shared" si="29"/>
        <v>0</v>
      </c>
      <c r="C541" s="3"/>
      <c r="D541" s="4"/>
      <c r="E541" s="124"/>
      <c r="F541" s="10">
        <f t="shared" si="30"/>
        <v>0</v>
      </c>
      <c r="G541" s="3"/>
      <c r="H541" s="4"/>
      <c r="I541" s="52"/>
      <c r="J541" s="53"/>
      <c r="K541" s="54"/>
      <c r="L541" s="52"/>
      <c r="M541" s="53"/>
      <c r="N541" s="53"/>
      <c r="O541" s="52"/>
      <c r="P541" s="54"/>
      <c r="Q541" s="52"/>
      <c r="R541" s="53"/>
      <c r="S541" s="57"/>
      <c r="T541" s="60"/>
      <c r="U541" s="61"/>
      <c r="V541" s="56"/>
      <c r="W541" s="54"/>
      <c r="X541" s="54"/>
      <c r="Y541" s="52"/>
      <c r="Z541" s="54"/>
      <c r="AA541" s="55"/>
      <c r="AB541" s="56"/>
      <c r="AC541" s="54"/>
      <c r="AD541" s="6">
        <f t="shared" si="31"/>
        <v>0</v>
      </c>
      <c r="AE541" s="49">
        <v>0</v>
      </c>
      <c r="AF541" s="5" t="s">
        <v>15</v>
      </c>
    </row>
    <row r="542" spans="1:32" ht="15.75" thickBot="1">
      <c r="A542" s="11">
        <v>44366</v>
      </c>
      <c r="B542" s="2">
        <f t="shared" si="29"/>
        <v>0</v>
      </c>
      <c r="C542" s="3"/>
      <c r="D542" s="4"/>
      <c r="E542" s="124"/>
      <c r="F542" s="10">
        <f t="shared" si="30"/>
        <v>0</v>
      </c>
      <c r="G542" s="3"/>
      <c r="H542" s="4"/>
      <c r="I542" s="52"/>
      <c r="J542" s="53"/>
      <c r="K542" s="54"/>
      <c r="L542" s="52"/>
      <c r="M542" s="53"/>
      <c r="N542" s="53"/>
      <c r="O542" s="52"/>
      <c r="P542" s="54"/>
      <c r="Q542" s="52"/>
      <c r="R542" s="53"/>
      <c r="S542" s="57"/>
      <c r="T542" s="60"/>
      <c r="U542" s="61"/>
      <c r="V542" s="56"/>
      <c r="W542" s="54"/>
      <c r="X542" s="54"/>
      <c r="Y542" s="52"/>
      <c r="Z542" s="54"/>
      <c r="AA542" s="55"/>
      <c r="AB542" s="56"/>
      <c r="AC542" s="54"/>
      <c r="AD542" s="6">
        <f t="shared" si="31"/>
        <v>0</v>
      </c>
      <c r="AE542" s="49">
        <v>0</v>
      </c>
      <c r="AF542" s="5" t="s">
        <v>15</v>
      </c>
    </row>
    <row r="543" spans="1:32" ht="15.75" thickBot="1">
      <c r="A543" s="11">
        <v>44367</v>
      </c>
      <c r="B543" s="2">
        <f t="shared" si="29"/>
        <v>0</v>
      </c>
      <c r="C543" s="3"/>
      <c r="D543" s="4"/>
      <c r="E543" s="124"/>
      <c r="F543" s="10">
        <f t="shared" si="30"/>
        <v>0</v>
      </c>
      <c r="G543" s="3"/>
      <c r="H543" s="4"/>
      <c r="I543" s="52"/>
      <c r="J543" s="53"/>
      <c r="K543" s="54"/>
      <c r="L543" s="52"/>
      <c r="M543" s="53"/>
      <c r="N543" s="53"/>
      <c r="O543" s="52"/>
      <c r="P543" s="54"/>
      <c r="Q543" s="52"/>
      <c r="R543" s="53"/>
      <c r="S543" s="57"/>
      <c r="T543" s="60"/>
      <c r="U543" s="61"/>
      <c r="V543" s="56"/>
      <c r="W543" s="54"/>
      <c r="X543" s="54"/>
      <c r="Y543" s="52"/>
      <c r="Z543" s="54"/>
      <c r="AA543" s="55"/>
      <c r="AB543" s="56"/>
      <c r="AC543" s="54"/>
      <c r="AD543" s="6">
        <f t="shared" si="31"/>
        <v>0</v>
      </c>
      <c r="AE543" s="49">
        <v>0</v>
      </c>
      <c r="AF543" s="5" t="s">
        <v>15</v>
      </c>
    </row>
    <row r="544" spans="1:32" ht="15.75" thickBot="1">
      <c r="A544" s="11">
        <v>44368</v>
      </c>
      <c r="B544" s="2">
        <f t="shared" si="29"/>
        <v>0</v>
      </c>
      <c r="C544" s="3"/>
      <c r="D544" s="4"/>
      <c r="E544" s="124"/>
      <c r="F544" s="10">
        <f t="shared" si="30"/>
        <v>0</v>
      </c>
      <c r="G544" s="3"/>
      <c r="H544" s="4"/>
      <c r="I544" s="52"/>
      <c r="J544" s="53"/>
      <c r="K544" s="54"/>
      <c r="L544" s="52"/>
      <c r="M544" s="53"/>
      <c r="N544" s="53"/>
      <c r="O544" s="52"/>
      <c r="P544" s="54"/>
      <c r="Q544" s="52"/>
      <c r="R544" s="53"/>
      <c r="S544" s="57"/>
      <c r="T544" s="60"/>
      <c r="U544" s="61"/>
      <c r="V544" s="56"/>
      <c r="W544" s="54"/>
      <c r="X544" s="54"/>
      <c r="Y544" s="52"/>
      <c r="Z544" s="54"/>
      <c r="AA544" s="55"/>
      <c r="AB544" s="56"/>
      <c r="AC544" s="54"/>
      <c r="AD544" s="6">
        <f t="shared" si="31"/>
        <v>0</v>
      </c>
      <c r="AE544" s="49">
        <v>0</v>
      </c>
      <c r="AF544" s="5" t="s">
        <v>15</v>
      </c>
    </row>
    <row r="545" spans="1:32" ht="15.75" thickBot="1">
      <c r="A545" s="11">
        <v>44369</v>
      </c>
      <c r="B545" s="2">
        <f t="shared" si="29"/>
        <v>0</v>
      </c>
      <c r="C545" s="3"/>
      <c r="D545" s="4"/>
      <c r="E545" s="124"/>
      <c r="F545" s="10">
        <f t="shared" si="30"/>
        <v>0</v>
      </c>
      <c r="G545" s="3"/>
      <c r="H545" s="4"/>
      <c r="I545" s="52"/>
      <c r="J545" s="53"/>
      <c r="K545" s="54"/>
      <c r="L545" s="52"/>
      <c r="M545" s="53"/>
      <c r="N545" s="53"/>
      <c r="O545" s="52"/>
      <c r="P545" s="54"/>
      <c r="Q545" s="52"/>
      <c r="R545" s="53"/>
      <c r="S545" s="57"/>
      <c r="T545" s="52"/>
      <c r="U545" s="54"/>
      <c r="V545" s="56"/>
      <c r="W545" s="54"/>
      <c r="X545" s="54"/>
      <c r="Y545" s="52"/>
      <c r="Z545" s="54"/>
      <c r="AA545" s="55"/>
      <c r="AB545" s="56"/>
      <c r="AC545" s="54"/>
      <c r="AD545" s="6">
        <f t="shared" si="31"/>
        <v>0</v>
      </c>
      <c r="AE545" s="49">
        <v>0</v>
      </c>
      <c r="AF545" s="5" t="s">
        <v>15</v>
      </c>
    </row>
    <row r="546" spans="1:32" ht="15.75" thickBot="1">
      <c r="A546" s="11">
        <v>44370</v>
      </c>
      <c r="B546" s="2">
        <f t="shared" si="29"/>
        <v>0</v>
      </c>
      <c r="C546" s="3"/>
      <c r="D546" s="4"/>
      <c r="E546" s="124"/>
      <c r="F546" s="10">
        <f t="shared" si="30"/>
        <v>0</v>
      </c>
      <c r="G546" s="3"/>
      <c r="H546" s="4"/>
      <c r="I546" s="52"/>
      <c r="J546" s="53"/>
      <c r="K546" s="54"/>
      <c r="L546" s="52"/>
      <c r="M546" s="53"/>
      <c r="N546" s="53"/>
      <c r="O546" s="52"/>
      <c r="P546" s="54"/>
      <c r="Q546" s="52"/>
      <c r="R546" s="53"/>
      <c r="S546" s="57"/>
      <c r="T546" s="60"/>
      <c r="U546" s="61"/>
      <c r="V546" s="56"/>
      <c r="W546" s="54"/>
      <c r="X546" s="54"/>
      <c r="Y546" s="52"/>
      <c r="Z546" s="54"/>
      <c r="AA546" s="55"/>
      <c r="AB546" s="56"/>
      <c r="AC546" s="54"/>
      <c r="AD546" s="6">
        <f t="shared" si="31"/>
        <v>0</v>
      </c>
      <c r="AE546" s="49">
        <v>0</v>
      </c>
      <c r="AF546" s="5" t="s">
        <v>15</v>
      </c>
    </row>
    <row r="547" spans="1:32" ht="15.75" thickBot="1">
      <c r="A547" s="11">
        <v>44371</v>
      </c>
      <c r="B547" s="2">
        <f t="shared" si="29"/>
        <v>0</v>
      </c>
      <c r="C547" s="3"/>
      <c r="D547" s="4"/>
      <c r="E547" s="124"/>
      <c r="F547" s="10">
        <f t="shared" si="30"/>
        <v>0</v>
      </c>
      <c r="G547" s="3"/>
      <c r="H547" s="4"/>
      <c r="I547" s="52"/>
      <c r="J547" s="53"/>
      <c r="K547" s="54"/>
      <c r="L547" s="52"/>
      <c r="M547" s="53"/>
      <c r="N547" s="53"/>
      <c r="O547" s="52"/>
      <c r="P547" s="54"/>
      <c r="Q547" s="52"/>
      <c r="R547" s="53"/>
      <c r="S547" s="57"/>
      <c r="T547" s="60"/>
      <c r="U547" s="61"/>
      <c r="V547" s="56"/>
      <c r="W547" s="54"/>
      <c r="X547" s="54"/>
      <c r="Y547" s="52"/>
      <c r="Z547" s="54"/>
      <c r="AA547" s="55"/>
      <c r="AB547" s="56"/>
      <c r="AC547" s="54"/>
      <c r="AD547" s="6">
        <f t="shared" si="31"/>
        <v>0</v>
      </c>
      <c r="AE547" s="49">
        <v>0</v>
      </c>
      <c r="AF547" s="5" t="s">
        <v>15</v>
      </c>
    </row>
    <row r="548" spans="1:32" ht="15.75" thickBot="1">
      <c r="A548" s="11">
        <v>44372</v>
      </c>
      <c r="B548" s="2">
        <f t="shared" si="29"/>
        <v>0</v>
      </c>
      <c r="C548" s="3"/>
      <c r="D548" s="4"/>
      <c r="E548" s="124"/>
      <c r="F548" s="10">
        <f t="shared" si="30"/>
        <v>0</v>
      </c>
      <c r="G548" s="3"/>
      <c r="H548" s="4"/>
      <c r="I548" s="52"/>
      <c r="J548" s="53"/>
      <c r="K548" s="54"/>
      <c r="L548" s="52"/>
      <c r="M548" s="53"/>
      <c r="N548" s="53"/>
      <c r="O548" s="52"/>
      <c r="P548" s="54"/>
      <c r="Q548" s="52"/>
      <c r="R548" s="53"/>
      <c r="S548" s="57"/>
      <c r="T548" s="60"/>
      <c r="U548" s="61"/>
      <c r="V548" s="56"/>
      <c r="W548" s="54"/>
      <c r="X548" s="54"/>
      <c r="Y548" s="52"/>
      <c r="Z548" s="54"/>
      <c r="AA548" s="55"/>
      <c r="AB548" s="56"/>
      <c r="AC548" s="54"/>
      <c r="AD548" s="6">
        <f t="shared" si="31"/>
        <v>0</v>
      </c>
      <c r="AE548" s="49">
        <v>0</v>
      </c>
      <c r="AF548" s="5" t="s">
        <v>15</v>
      </c>
    </row>
    <row r="549" spans="1:32" ht="15.75" thickBot="1">
      <c r="A549" s="11">
        <v>44373</v>
      </c>
      <c r="B549" s="2">
        <f t="shared" si="29"/>
        <v>0</v>
      </c>
      <c r="C549" s="3"/>
      <c r="D549" s="4"/>
      <c r="E549" s="124"/>
      <c r="F549" s="10">
        <f t="shared" si="30"/>
        <v>0</v>
      </c>
      <c r="G549" s="3"/>
      <c r="H549" s="4"/>
      <c r="I549" s="52"/>
      <c r="J549" s="53"/>
      <c r="K549" s="54"/>
      <c r="L549" s="52"/>
      <c r="M549" s="53"/>
      <c r="N549" s="53"/>
      <c r="O549" s="52"/>
      <c r="P549" s="54"/>
      <c r="Q549" s="52"/>
      <c r="R549" s="53"/>
      <c r="S549" s="57"/>
      <c r="T549" s="60"/>
      <c r="U549" s="61"/>
      <c r="V549" s="56"/>
      <c r="W549" s="54"/>
      <c r="X549" s="54"/>
      <c r="Y549" s="52"/>
      <c r="Z549" s="54"/>
      <c r="AA549" s="55"/>
      <c r="AB549" s="56"/>
      <c r="AC549" s="54"/>
      <c r="AD549" s="6">
        <f t="shared" si="31"/>
        <v>0</v>
      </c>
      <c r="AE549" s="49">
        <v>0</v>
      </c>
      <c r="AF549" s="5" t="s">
        <v>15</v>
      </c>
    </row>
    <row r="550" spans="1:32" ht="15.75" thickBot="1">
      <c r="A550" s="11">
        <v>44374</v>
      </c>
      <c r="B550" s="2">
        <f t="shared" si="29"/>
        <v>0</v>
      </c>
      <c r="C550" s="3"/>
      <c r="D550" s="4"/>
      <c r="E550" s="124"/>
      <c r="F550" s="10">
        <f t="shared" si="30"/>
        <v>0</v>
      </c>
      <c r="G550" s="3"/>
      <c r="H550" s="4"/>
      <c r="I550" s="52"/>
      <c r="J550" s="53"/>
      <c r="K550" s="54"/>
      <c r="L550" s="52"/>
      <c r="M550" s="53"/>
      <c r="N550" s="53"/>
      <c r="O550" s="52"/>
      <c r="P550" s="54"/>
      <c r="Q550" s="52"/>
      <c r="R550" s="53"/>
      <c r="S550" s="57"/>
      <c r="T550" s="60"/>
      <c r="U550" s="61"/>
      <c r="V550" s="56"/>
      <c r="W550" s="54"/>
      <c r="X550" s="54"/>
      <c r="Y550" s="52"/>
      <c r="Z550" s="54"/>
      <c r="AA550" s="55"/>
      <c r="AB550" s="56"/>
      <c r="AC550" s="54"/>
      <c r="AD550" s="6">
        <f t="shared" si="31"/>
        <v>0</v>
      </c>
      <c r="AE550" s="49">
        <v>0</v>
      </c>
      <c r="AF550" s="5" t="s">
        <v>15</v>
      </c>
    </row>
    <row r="551" spans="1:32" ht="15.75" thickBot="1">
      <c r="A551" s="11">
        <v>44375</v>
      </c>
      <c r="B551" s="2">
        <f t="shared" si="29"/>
        <v>0</v>
      </c>
      <c r="C551" s="3"/>
      <c r="D551" s="4"/>
      <c r="E551" s="124"/>
      <c r="F551" s="10">
        <f t="shared" si="30"/>
        <v>0</v>
      </c>
      <c r="G551" s="3"/>
      <c r="H551" s="4"/>
      <c r="I551" s="52"/>
      <c r="J551" s="53"/>
      <c r="K551" s="54"/>
      <c r="L551" s="52"/>
      <c r="M551" s="53"/>
      <c r="N551" s="53"/>
      <c r="O551" s="52"/>
      <c r="P551" s="54"/>
      <c r="Q551" s="52"/>
      <c r="R551" s="53"/>
      <c r="S551" s="57"/>
      <c r="T551" s="60"/>
      <c r="U551" s="61"/>
      <c r="V551" s="56"/>
      <c r="W551" s="54"/>
      <c r="X551" s="54"/>
      <c r="Y551" s="52"/>
      <c r="Z551" s="54"/>
      <c r="AA551" s="55"/>
      <c r="AB551" s="56"/>
      <c r="AC551" s="54"/>
      <c r="AD551" s="6">
        <f t="shared" si="31"/>
        <v>0</v>
      </c>
      <c r="AE551" s="49">
        <v>0</v>
      </c>
      <c r="AF551" s="5" t="s">
        <v>15</v>
      </c>
    </row>
    <row r="552" spans="1:32" ht="15.75" thickBot="1">
      <c r="A552" s="11">
        <v>44376</v>
      </c>
      <c r="B552" s="2">
        <f t="shared" si="29"/>
        <v>0</v>
      </c>
      <c r="C552" s="3"/>
      <c r="D552" s="4"/>
      <c r="E552" s="124"/>
      <c r="F552" s="10">
        <f t="shared" si="30"/>
        <v>0</v>
      </c>
      <c r="G552" s="3"/>
      <c r="H552" s="4"/>
      <c r="I552" s="52"/>
      <c r="J552" s="53"/>
      <c r="K552" s="54"/>
      <c r="L552" s="52"/>
      <c r="M552" s="53"/>
      <c r="N552" s="53"/>
      <c r="O552" s="52"/>
      <c r="P552" s="54"/>
      <c r="Q552" s="52"/>
      <c r="R552" s="53"/>
      <c r="S552" s="57"/>
      <c r="T552" s="60"/>
      <c r="U552" s="61"/>
      <c r="V552" s="56"/>
      <c r="W552" s="54"/>
      <c r="X552" s="54"/>
      <c r="Y552" s="52"/>
      <c r="Z552" s="54"/>
      <c r="AA552" s="55"/>
      <c r="AB552" s="56"/>
      <c r="AC552" s="54"/>
      <c r="AD552" s="6">
        <f t="shared" si="31"/>
        <v>0</v>
      </c>
      <c r="AE552" s="49">
        <v>0</v>
      </c>
      <c r="AF552" s="5" t="s">
        <v>15</v>
      </c>
    </row>
    <row r="553" spans="1:32" ht="15.75" thickBot="1">
      <c r="A553" s="11">
        <v>44377</v>
      </c>
      <c r="B553" s="2">
        <f t="shared" si="29"/>
        <v>0</v>
      </c>
      <c r="C553" s="3"/>
      <c r="D553" s="4"/>
      <c r="E553" s="124"/>
      <c r="F553" s="10">
        <f t="shared" si="30"/>
        <v>0</v>
      </c>
      <c r="G553" s="3"/>
      <c r="H553" s="4"/>
      <c r="I553" s="52"/>
      <c r="J553" s="53"/>
      <c r="K553" s="54"/>
      <c r="L553" s="52"/>
      <c r="M553" s="53"/>
      <c r="N553" s="53"/>
      <c r="O553" s="52"/>
      <c r="P553" s="54"/>
      <c r="Q553" s="52"/>
      <c r="R553" s="53"/>
      <c r="S553" s="57"/>
      <c r="T553" s="52"/>
      <c r="U553" s="54"/>
      <c r="V553" s="56"/>
      <c r="W553" s="54"/>
      <c r="X553" s="54"/>
      <c r="Y553" s="52"/>
      <c r="Z553" s="54"/>
      <c r="AA553" s="55"/>
      <c r="AB553" s="56"/>
      <c r="AC553" s="54"/>
      <c r="AD553" s="6">
        <f t="shared" si="31"/>
        <v>0</v>
      </c>
      <c r="AE553" s="49">
        <v>0</v>
      </c>
      <c r="AF553" s="5" t="s">
        <v>15</v>
      </c>
    </row>
    <row r="554" spans="1:32" ht="15.75" thickBot="1">
      <c r="A554" s="11">
        <v>44378</v>
      </c>
      <c r="B554" s="2">
        <f t="shared" si="29"/>
        <v>0</v>
      </c>
      <c r="C554" s="3"/>
      <c r="D554" s="4"/>
      <c r="E554" s="124"/>
      <c r="F554" s="10">
        <f t="shared" si="30"/>
        <v>0</v>
      </c>
      <c r="G554" s="3"/>
      <c r="H554" s="4"/>
      <c r="I554" s="52"/>
      <c r="J554" s="53"/>
      <c r="K554" s="54"/>
      <c r="L554" s="52"/>
      <c r="M554" s="53"/>
      <c r="N554" s="53"/>
      <c r="O554" s="52"/>
      <c r="P554" s="54"/>
      <c r="Q554" s="52"/>
      <c r="R554" s="53"/>
      <c r="S554" s="57"/>
      <c r="T554" s="60"/>
      <c r="U554" s="61"/>
      <c r="V554" s="56"/>
      <c r="W554" s="54"/>
      <c r="X554" s="54"/>
      <c r="Y554" s="52"/>
      <c r="Z554" s="54"/>
      <c r="AA554" s="55"/>
      <c r="AB554" s="56"/>
      <c r="AC554" s="54"/>
      <c r="AD554" s="6">
        <f t="shared" si="31"/>
        <v>0</v>
      </c>
      <c r="AE554" s="49">
        <v>0</v>
      </c>
      <c r="AF554" s="5" t="s">
        <v>15</v>
      </c>
    </row>
    <row r="555" spans="1:32" ht="15.75" thickBot="1">
      <c r="A555" s="11">
        <v>44379</v>
      </c>
      <c r="B555" s="2">
        <f t="shared" si="29"/>
        <v>0</v>
      </c>
      <c r="C555" s="3"/>
      <c r="D555" s="4"/>
      <c r="E555" s="124"/>
      <c r="F555" s="10">
        <f t="shared" si="30"/>
        <v>0</v>
      </c>
      <c r="G555" s="3"/>
      <c r="H555" s="4"/>
      <c r="I555" s="52"/>
      <c r="J555" s="53"/>
      <c r="K555" s="54"/>
      <c r="L555" s="52"/>
      <c r="M555" s="53"/>
      <c r="N555" s="53"/>
      <c r="O555" s="52"/>
      <c r="P555" s="54"/>
      <c r="Q555" s="52"/>
      <c r="R555" s="53"/>
      <c r="S555" s="57"/>
      <c r="T555" s="60"/>
      <c r="U555" s="61"/>
      <c r="V555" s="56"/>
      <c r="W555" s="54"/>
      <c r="X555" s="54"/>
      <c r="Y555" s="52"/>
      <c r="Z555" s="54"/>
      <c r="AA555" s="55"/>
      <c r="AB555" s="56"/>
      <c r="AC555" s="54"/>
      <c r="AD555" s="6">
        <f t="shared" si="31"/>
        <v>0</v>
      </c>
      <c r="AE555" s="49">
        <v>0</v>
      </c>
      <c r="AF555" s="5" t="s">
        <v>15</v>
      </c>
    </row>
    <row r="556" spans="1:32" ht="15.75" thickBot="1">
      <c r="A556" s="11">
        <v>44380</v>
      </c>
      <c r="B556" s="2">
        <f t="shared" si="29"/>
        <v>0</v>
      </c>
      <c r="C556" s="3"/>
      <c r="D556" s="4"/>
      <c r="E556" s="124"/>
      <c r="F556" s="10">
        <f t="shared" si="30"/>
        <v>0</v>
      </c>
      <c r="G556" s="3"/>
      <c r="H556" s="4"/>
      <c r="I556" s="52"/>
      <c r="J556" s="53"/>
      <c r="K556" s="54"/>
      <c r="L556" s="52"/>
      <c r="M556" s="53"/>
      <c r="N556" s="53"/>
      <c r="O556" s="52"/>
      <c r="P556" s="54"/>
      <c r="Q556" s="52"/>
      <c r="R556" s="53"/>
      <c r="S556" s="57"/>
      <c r="T556" s="60"/>
      <c r="U556" s="61"/>
      <c r="V556" s="56"/>
      <c r="W556" s="54"/>
      <c r="X556" s="54"/>
      <c r="Y556" s="52"/>
      <c r="Z556" s="54"/>
      <c r="AA556" s="55"/>
      <c r="AB556" s="56"/>
      <c r="AC556" s="54"/>
      <c r="AD556" s="6">
        <f t="shared" si="31"/>
        <v>0</v>
      </c>
      <c r="AE556" s="49">
        <v>0</v>
      </c>
      <c r="AF556" s="5" t="s">
        <v>15</v>
      </c>
    </row>
    <row r="557" spans="1:32" ht="15.75" thickBot="1">
      <c r="A557" s="11">
        <v>44381</v>
      </c>
      <c r="B557" s="2">
        <f t="shared" si="29"/>
        <v>0</v>
      </c>
      <c r="C557" s="3"/>
      <c r="D557" s="4"/>
      <c r="E557" s="124"/>
      <c r="F557" s="10">
        <f t="shared" si="30"/>
        <v>0</v>
      </c>
      <c r="G557" s="3"/>
      <c r="H557" s="4"/>
      <c r="I557" s="52"/>
      <c r="J557" s="53"/>
      <c r="K557" s="54"/>
      <c r="L557" s="52"/>
      <c r="M557" s="53"/>
      <c r="N557" s="53"/>
      <c r="O557" s="52"/>
      <c r="P557" s="54"/>
      <c r="Q557" s="52"/>
      <c r="R557" s="53"/>
      <c r="S557" s="57"/>
      <c r="T557" s="60"/>
      <c r="U557" s="61"/>
      <c r="V557" s="56"/>
      <c r="W557" s="54"/>
      <c r="X557" s="54"/>
      <c r="Y557" s="52"/>
      <c r="Z557" s="54"/>
      <c r="AA557" s="55"/>
      <c r="AB557" s="56"/>
      <c r="AC557" s="54"/>
      <c r="AD557" s="6">
        <f t="shared" si="31"/>
        <v>0</v>
      </c>
      <c r="AE557" s="49">
        <v>0</v>
      </c>
      <c r="AF557" s="5" t="s">
        <v>15</v>
      </c>
    </row>
    <row r="558" spans="1:32" ht="15.75" thickBot="1">
      <c r="A558" s="11">
        <v>44382</v>
      </c>
      <c r="B558" s="2">
        <f t="shared" si="29"/>
        <v>0</v>
      </c>
      <c r="C558" s="3"/>
      <c r="D558" s="4"/>
      <c r="E558" s="124"/>
      <c r="F558" s="10">
        <f t="shared" si="30"/>
        <v>0</v>
      </c>
      <c r="G558" s="3"/>
      <c r="H558" s="4"/>
      <c r="I558" s="52"/>
      <c r="J558" s="53"/>
      <c r="K558" s="54"/>
      <c r="L558" s="52"/>
      <c r="M558" s="53"/>
      <c r="N558" s="53"/>
      <c r="O558" s="52"/>
      <c r="P558" s="54"/>
      <c r="Q558" s="52"/>
      <c r="R558" s="53"/>
      <c r="S558" s="57"/>
      <c r="T558" s="60"/>
      <c r="U558" s="61"/>
      <c r="V558" s="56"/>
      <c r="W558" s="54"/>
      <c r="X558" s="54"/>
      <c r="Y558" s="52"/>
      <c r="Z558" s="54"/>
      <c r="AA558" s="55"/>
      <c r="AB558" s="56"/>
      <c r="AC558" s="54"/>
      <c r="AD558" s="6">
        <f t="shared" si="31"/>
        <v>0</v>
      </c>
      <c r="AE558" s="49">
        <v>0</v>
      </c>
      <c r="AF558" s="5" t="s">
        <v>15</v>
      </c>
    </row>
    <row r="559" spans="1:32" ht="15.75" thickBot="1">
      <c r="A559" s="11">
        <v>44383</v>
      </c>
      <c r="B559" s="2">
        <f t="shared" si="29"/>
        <v>0</v>
      </c>
      <c r="C559" s="3"/>
      <c r="D559" s="4"/>
      <c r="E559" s="124"/>
      <c r="F559" s="10">
        <f t="shared" si="30"/>
        <v>0</v>
      </c>
      <c r="G559" s="3"/>
      <c r="H559" s="4"/>
      <c r="I559" s="52"/>
      <c r="J559" s="53"/>
      <c r="K559" s="54"/>
      <c r="L559" s="52"/>
      <c r="M559" s="53"/>
      <c r="N559" s="53"/>
      <c r="O559" s="52"/>
      <c r="P559" s="54"/>
      <c r="Q559" s="52"/>
      <c r="R559" s="53"/>
      <c r="S559" s="57"/>
      <c r="T559" s="60"/>
      <c r="U559" s="61"/>
      <c r="V559" s="56"/>
      <c r="W559" s="54"/>
      <c r="X559" s="54"/>
      <c r="Y559" s="52"/>
      <c r="Z559" s="54"/>
      <c r="AA559" s="55"/>
      <c r="AB559" s="56"/>
      <c r="AC559" s="54"/>
      <c r="AD559" s="6">
        <f t="shared" si="31"/>
        <v>0</v>
      </c>
      <c r="AE559" s="49">
        <v>0</v>
      </c>
      <c r="AF559" s="5" t="s">
        <v>15</v>
      </c>
    </row>
    <row r="560" spans="1:32" ht="15.75" thickBot="1">
      <c r="A560" s="11">
        <v>44384</v>
      </c>
      <c r="B560" s="2">
        <f t="shared" si="29"/>
        <v>0</v>
      </c>
      <c r="C560" s="3"/>
      <c r="D560" s="4"/>
      <c r="E560" s="124"/>
      <c r="F560" s="10">
        <f t="shared" si="30"/>
        <v>0</v>
      </c>
      <c r="G560" s="3"/>
      <c r="H560" s="4"/>
      <c r="I560" s="52"/>
      <c r="J560" s="53"/>
      <c r="K560" s="54"/>
      <c r="L560" s="52"/>
      <c r="M560" s="53"/>
      <c r="N560" s="53"/>
      <c r="O560" s="52"/>
      <c r="P560" s="54"/>
      <c r="Q560" s="52"/>
      <c r="R560" s="53"/>
      <c r="S560" s="57"/>
      <c r="T560" s="60"/>
      <c r="U560" s="61"/>
      <c r="V560" s="56"/>
      <c r="W560" s="54"/>
      <c r="X560" s="54"/>
      <c r="Y560" s="52"/>
      <c r="Z560" s="54"/>
      <c r="AA560" s="55"/>
      <c r="AB560" s="56"/>
      <c r="AC560" s="54"/>
      <c r="AD560" s="6">
        <f t="shared" si="31"/>
        <v>0</v>
      </c>
      <c r="AE560" s="49">
        <v>0</v>
      </c>
      <c r="AF560" s="5" t="s">
        <v>15</v>
      </c>
    </row>
    <row r="561" spans="1:32" ht="15.75" thickBot="1">
      <c r="A561" s="11">
        <v>44385</v>
      </c>
      <c r="B561" s="2">
        <f t="shared" si="29"/>
        <v>0</v>
      </c>
      <c r="C561" s="3"/>
      <c r="D561" s="4"/>
      <c r="E561" s="124"/>
      <c r="F561" s="10">
        <f t="shared" si="30"/>
        <v>0</v>
      </c>
      <c r="G561" s="3"/>
      <c r="H561" s="4"/>
      <c r="I561" s="52"/>
      <c r="J561" s="53"/>
      <c r="K561" s="54"/>
      <c r="L561" s="52"/>
      <c r="M561" s="53"/>
      <c r="N561" s="53"/>
      <c r="O561" s="52"/>
      <c r="P561" s="54"/>
      <c r="Q561" s="52"/>
      <c r="R561" s="53"/>
      <c r="S561" s="57"/>
      <c r="T561" s="52"/>
      <c r="U561" s="54"/>
      <c r="V561" s="56"/>
      <c r="W561" s="54"/>
      <c r="X561" s="54"/>
      <c r="Y561" s="52"/>
      <c r="Z561" s="54"/>
      <c r="AA561" s="55"/>
      <c r="AB561" s="56"/>
      <c r="AC561" s="54"/>
      <c r="AD561" s="6">
        <f t="shared" si="31"/>
        <v>0</v>
      </c>
      <c r="AE561" s="49">
        <v>0</v>
      </c>
      <c r="AF561" s="5" t="s">
        <v>15</v>
      </c>
    </row>
    <row r="562" spans="1:32" ht="15.75" thickBot="1">
      <c r="A562" s="11">
        <v>44386</v>
      </c>
      <c r="B562" s="2">
        <f t="shared" si="29"/>
        <v>0</v>
      </c>
      <c r="C562" s="3"/>
      <c r="D562" s="4"/>
      <c r="E562" s="124"/>
      <c r="F562" s="10">
        <f t="shared" si="30"/>
        <v>0</v>
      </c>
      <c r="G562" s="3"/>
      <c r="H562" s="4"/>
      <c r="I562" s="52"/>
      <c r="J562" s="53"/>
      <c r="K562" s="54"/>
      <c r="L562" s="52"/>
      <c r="M562" s="53"/>
      <c r="N562" s="53"/>
      <c r="O562" s="52"/>
      <c r="P562" s="54"/>
      <c r="Q562" s="52"/>
      <c r="R562" s="53"/>
      <c r="S562" s="57"/>
      <c r="T562" s="60"/>
      <c r="U562" s="61"/>
      <c r="V562" s="56"/>
      <c r="W562" s="54"/>
      <c r="X562" s="54"/>
      <c r="Y562" s="52"/>
      <c r="Z562" s="54"/>
      <c r="AA562" s="55"/>
      <c r="AB562" s="56"/>
      <c r="AC562" s="54"/>
      <c r="AD562" s="6">
        <f t="shared" si="31"/>
        <v>0</v>
      </c>
      <c r="AE562" s="49">
        <v>0</v>
      </c>
      <c r="AF562" s="5" t="s">
        <v>15</v>
      </c>
    </row>
    <row r="563" spans="1:32" ht="15.75" thickBot="1">
      <c r="A563" s="11">
        <v>44387</v>
      </c>
      <c r="B563" s="2">
        <f t="shared" si="29"/>
        <v>0</v>
      </c>
      <c r="C563" s="3"/>
      <c r="D563" s="4"/>
      <c r="E563" s="124"/>
      <c r="F563" s="10">
        <f t="shared" si="30"/>
        <v>0</v>
      </c>
      <c r="G563" s="3"/>
      <c r="H563" s="4"/>
      <c r="I563" s="52"/>
      <c r="J563" s="53"/>
      <c r="K563" s="54"/>
      <c r="L563" s="52"/>
      <c r="M563" s="53"/>
      <c r="N563" s="53"/>
      <c r="O563" s="52"/>
      <c r="P563" s="54"/>
      <c r="Q563" s="52"/>
      <c r="R563" s="53"/>
      <c r="S563" s="57"/>
      <c r="T563" s="60"/>
      <c r="U563" s="61"/>
      <c r="V563" s="56"/>
      <c r="W563" s="54"/>
      <c r="X563" s="54"/>
      <c r="Y563" s="52"/>
      <c r="Z563" s="54"/>
      <c r="AA563" s="55"/>
      <c r="AB563" s="56"/>
      <c r="AC563" s="54"/>
      <c r="AD563" s="6">
        <f t="shared" si="31"/>
        <v>0</v>
      </c>
      <c r="AE563" s="49">
        <v>0</v>
      </c>
      <c r="AF563" s="5" t="s">
        <v>15</v>
      </c>
    </row>
    <row r="564" spans="1:32" ht="15.75" thickBot="1">
      <c r="A564" s="11">
        <v>44388</v>
      </c>
      <c r="B564" s="2">
        <f t="shared" si="29"/>
        <v>0</v>
      </c>
      <c r="C564" s="3"/>
      <c r="D564" s="4"/>
      <c r="E564" s="124"/>
      <c r="F564" s="10">
        <f t="shared" si="30"/>
        <v>0</v>
      </c>
      <c r="G564" s="3"/>
      <c r="H564" s="4"/>
      <c r="I564" s="52"/>
      <c r="J564" s="53"/>
      <c r="K564" s="54"/>
      <c r="L564" s="52"/>
      <c r="M564" s="53"/>
      <c r="N564" s="53"/>
      <c r="O564" s="52"/>
      <c r="P564" s="54"/>
      <c r="Q564" s="52"/>
      <c r="R564" s="53"/>
      <c r="S564" s="57"/>
      <c r="T564" s="60"/>
      <c r="U564" s="61"/>
      <c r="V564" s="56"/>
      <c r="W564" s="54"/>
      <c r="X564" s="54"/>
      <c r="Y564" s="52"/>
      <c r="Z564" s="54"/>
      <c r="AA564" s="55"/>
      <c r="AB564" s="56"/>
      <c r="AC564" s="54"/>
      <c r="AD564" s="6">
        <f t="shared" si="31"/>
        <v>0</v>
      </c>
      <c r="AE564" s="49">
        <v>0</v>
      </c>
      <c r="AF564" s="5" t="s">
        <v>15</v>
      </c>
    </row>
    <row r="565" spans="1:32" ht="15.75" thickBot="1">
      <c r="A565" s="11">
        <v>44389</v>
      </c>
      <c r="B565" s="2">
        <f t="shared" si="29"/>
        <v>0</v>
      </c>
      <c r="C565" s="3"/>
      <c r="D565" s="4"/>
      <c r="E565" s="124"/>
      <c r="F565" s="10">
        <f t="shared" si="30"/>
        <v>0</v>
      </c>
      <c r="G565" s="3"/>
      <c r="H565" s="4"/>
      <c r="I565" s="52"/>
      <c r="J565" s="53"/>
      <c r="K565" s="54"/>
      <c r="L565" s="52"/>
      <c r="M565" s="53"/>
      <c r="N565" s="53"/>
      <c r="O565" s="52"/>
      <c r="P565" s="54"/>
      <c r="Q565" s="52"/>
      <c r="R565" s="53"/>
      <c r="S565" s="57"/>
      <c r="T565" s="60"/>
      <c r="U565" s="61"/>
      <c r="V565" s="56"/>
      <c r="W565" s="54"/>
      <c r="X565" s="54"/>
      <c r="Y565" s="52"/>
      <c r="Z565" s="54"/>
      <c r="AA565" s="55"/>
      <c r="AB565" s="56"/>
      <c r="AC565" s="54"/>
      <c r="AD565" s="6">
        <f t="shared" si="31"/>
        <v>0</v>
      </c>
      <c r="AE565" s="49">
        <v>0</v>
      </c>
      <c r="AF565" s="5" t="s">
        <v>15</v>
      </c>
    </row>
    <row r="566" spans="1:32" ht="15.75" thickBot="1">
      <c r="A566" s="11">
        <v>44390</v>
      </c>
      <c r="B566" s="2">
        <f t="shared" si="29"/>
        <v>0</v>
      </c>
      <c r="C566" s="3"/>
      <c r="D566" s="4"/>
      <c r="E566" s="124"/>
      <c r="F566" s="10">
        <f t="shared" si="30"/>
        <v>0</v>
      </c>
      <c r="G566" s="3"/>
      <c r="H566" s="4"/>
      <c r="I566" s="52"/>
      <c r="J566" s="53"/>
      <c r="K566" s="54"/>
      <c r="L566" s="52"/>
      <c r="M566" s="53"/>
      <c r="N566" s="53"/>
      <c r="O566" s="52"/>
      <c r="P566" s="54"/>
      <c r="Q566" s="52"/>
      <c r="R566" s="53"/>
      <c r="S566" s="57"/>
      <c r="T566" s="60"/>
      <c r="U566" s="61"/>
      <c r="V566" s="56"/>
      <c r="W566" s="54"/>
      <c r="X566" s="54"/>
      <c r="Y566" s="52"/>
      <c r="Z566" s="54"/>
      <c r="AA566" s="55"/>
      <c r="AB566" s="56"/>
      <c r="AC566" s="54"/>
      <c r="AD566" s="6">
        <f t="shared" si="31"/>
        <v>0</v>
      </c>
      <c r="AE566" s="49">
        <v>0</v>
      </c>
      <c r="AF566" s="5" t="s">
        <v>15</v>
      </c>
    </row>
    <row r="567" spans="1:32" ht="15.75" thickBot="1">
      <c r="A567" s="11">
        <v>44391</v>
      </c>
      <c r="B567" s="2">
        <f t="shared" si="29"/>
        <v>0</v>
      </c>
      <c r="C567" s="3"/>
      <c r="D567" s="4"/>
      <c r="E567" s="124"/>
      <c r="F567" s="10">
        <f t="shared" si="30"/>
        <v>0</v>
      </c>
      <c r="G567" s="3"/>
      <c r="H567" s="4"/>
      <c r="I567" s="52"/>
      <c r="J567" s="53"/>
      <c r="K567" s="54"/>
      <c r="L567" s="52"/>
      <c r="M567" s="53"/>
      <c r="N567" s="53"/>
      <c r="O567" s="52"/>
      <c r="P567" s="54"/>
      <c r="Q567" s="52"/>
      <c r="R567" s="53"/>
      <c r="S567" s="57"/>
      <c r="T567" s="60"/>
      <c r="U567" s="61"/>
      <c r="V567" s="56"/>
      <c r="W567" s="54"/>
      <c r="X567" s="54"/>
      <c r="Y567" s="52"/>
      <c r="Z567" s="54"/>
      <c r="AA567" s="55"/>
      <c r="AB567" s="56"/>
      <c r="AC567" s="54"/>
      <c r="AD567" s="6">
        <f t="shared" si="31"/>
        <v>0</v>
      </c>
      <c r="AE567" s="49">
        <v>0</v>
      </c>
      <c r="AF567" s="5" t="s">
        <v>15</v>
      </c>
    </row>
    <row r="568" spans="1:32" ht="15.75" thickBot="1">
      <c r="A568" s="11">
        <v>44392</v>
      </c>
      <c r="B568" s="2">
        <f t="shared" si="29"/>
        <v>0</v>
      </c>
      <c r="C568" s="3"/>
      <c r="D568" s="4"/>
      <c r="E568" s="124"/>
      <c r="F568" s="10">
        <f t="shared" si="30"/>
        <v>0</v>
      </c>
      <c r="G568" s="3"/>
      <c r="H568" s="4"/>
      <c r="I568" s="52"/>
      <c r="J568" s="53"/>
      <c r="K568" s="54"/>
      <c r="L568" s="52"/>
      <c r="M568" s="53"/>
      <c r="N568" s="53"/>
      <c r="O568" s="52"/>
      <c r="P568" s="54"/>
      <c r="Q568" s="52"/>
      <c r="R568" s="53"/>
      <c r="S568" s="57"/>
      <c r="T568" s="60"/>
      <c r="U568" s="61"/>
      <c r="V568" s="56"/>
      <c r="W568" s="54"/>
      <c r="X568" s="54"/>
      <c r="Y568" s="52"/>
      <c r="Z568" s="54"/>
      <c r="AA568" s="55"/>
      <c r="AB568" s="56"/>
      <c r="AC568" s="54"/>
      <c r="AD568" s="6">
        <f t="shared" si="31"/>
        <v>0</v>
      </c>
      <c r="AE568" s="49">
        <v>0</v>
      </c>
      <c r="AF568" s="5" t="s">
        <v>15</v>
      </c>
    </row>
    <row r="569" spans="1:32" ht="15.75" thickBot="1">
      <c r="A569" s="11">
        <v>44393</v>
      </c>
      <c r="B569" s="2">
        <f t="shared" si="29"/>
        <v>0</v>
      </c>
      <c r="C569" s="3"/>
      <c r="D569" s="4"/>
      <c r="E569" s="124"/>
      <c r="F569" s="10">
        <f t="shared" si="30"/>
        <v>0</v>
      </c>
      <c r="G569" s="3"/>
      <c r="H569" s="4"/>
      <c r="I569" s="52"/>
      <c r="J569" s="53"/>
      <c r="K569" s="54"/>
      <c r="L569" s="52"/>
      <c r="M569" s="53"/>
      <c r="N569" s="53"/>
      <c r="O569" s="52"/>
      <c r="P569" s="54"/>
      <c r="Q569" s="52"/>
      <c r="R569" s="53"/>
      <c r="S569" s="57"/>
      <c r="T569" s="52"/>
      <c r="U569" s="54"/>
      <c r="V569" s="56"/>
      <c r="W569" s="54"/>
      <c r="X569" s="54"/>
      <c r="Y569" s="52"/>
      <c r="Z569" s="54"/>
      <c r="AA569" s="55"/>
      <c r="AB569" s="56"/>
      <c r="AC569" s="54"/>
      <c r="AD569" s="6">
        <f t="shared" si="31"/>
        <v>0</v>
      </c>
      <c r="AE569" s="49">
        <v>0</v>
      </c>
      <c r="AF569" s="5" t="s">
        <v>15</v>
      </c>
    </row>
    <row r="570" spans="1:32" ht="15.75" thickBot="1">
      <c r="A570" s="11">
        <v>44394</v>
      </c>
      <c r="B570" s="2">
        <f t="shared" si="29"/>
        <v>0</v>
      </c>
      <c r="C570" s="3"/>
      <c r="D570" s="4"/>
      <c r="E570" s="124"/>
      <c r="F570" s="10">
        <f t="shared" si="30"/>
        <v>0</v>
      </c>
      <c r="G570" s="3"/>
      <c r="H570" s="4"/>
      <c r="I570" s="52"/>
      <c r="J570" s="53"/>
      <c r="K570" s="54"/>
      <c r="L570" s="52"/>
      <c r="M570" s="53"/>
      <c r="N570" s="53"/>
      <c r="O570" s="52"/>
      <c r="P570" s="54"/>
      <c r="Q570" s="52"/>
      <c r="R570" s="53"/>
      <c r="S570" s="57"/>
      <c r="T570" s="60"/>
      <c r="U570" s="61"/>
      <c r="V570" s="56"/>
      <c r="W570" s="54"/>
      <c r="X570" s="54"/>
      <c r="Y570" s="52"/>
      <c r="Z570" s="54"/>
      <c r="AA570" s="55"/>
      <c r="AB570" s="56"/>
      <c r="AC570" s="54"/>
      <c r="AD570" s="6">
        <f t="shared" si="31"/>
        <v>0</v>
      </c>
      <c r="AE570" s="49">
        <v>0</v>
      </c>
      <c r="AF570" s="5" t="s">
        <v>15</v>
      </c>
    </row>
    <row r="571" spans="1:32" ht="15.75" thickBot="1">
      <c r="A571" s="11">
        <v>44395</v>
      </c>
      <c r="B571" s="2">
        <f t="shared" si="29"/>
        <v>0</v>
      </c>
      <c r="C571" s="3"/>
      <c r="D571" s="4"/>
      <c r="E571" s="124"/>
      <c r="F571" s="10">
        <f t="shared" si="30"/>
        <v>0</v>
      </c>
      <c r="G571" s="3"/>
      <c r="H571" s="4"/>
      <c r="I571" s="52"/>
      <c r="J571" s="53"/>
      <c r="K571" s="54"/>
      <c r="L571" s="52"/>
      <c r="M571" s="53"/>
      <c r="N571" s="53"/>
      <c r="O571" s="52"/>
      <c r="P571" s="54"/>
      <c r="Q571" s="52"/>
      <c r="R571" s="53"/>
      <c r="S571" s="57"/>
      <c r="T571" s="60"/>
      <c r="U571" s="61"/>
      <c r="V571" s="56"/>
      <c r="W571" s="54"/>
      <c r="X571" s="54"/>
      <c r="Y571" s="52"/>
      <c r="Z571" s="54"/>
      <c r="AA571" s="55"/>
      <c r="AB571" s="56"/>
      <c r="AC571" s="54"/>
      <c r="AD571" s="6">
        <f t="shared" si="31"/>
        <v>0</v>
      </c>
      <c r="AE571" s="49">
        <v>0</v>
      </c>
      <c r="AF571" s="5" t="s">
        <v>15</v>
      </c>
    </row>
    <row r="572" spans="1:32" ht="15.75" thickBot="1">
      <c r="A572" s="11">
        <v>44396</v>
      </c>
      <c r="B572" s="2">
        <f t="shared" si="29"/>
        <v>0</v>
      </c>
      <c r="C572" s="3"/>
      <c r="D572" s="4"/>
      <c r="E572" s="124"/>
      <c r="F572" s="10">
        <f t="shared" si="30"/>
        <v>0</v>
      </c>
      <c r="G572" s="3"/>
      <c r="H572" s="4"/>
      <c r="I572" s="52"/>
      <c r="J572" s="53"/>
      <c r="K572" s="54"/>
      <c r="L572" s="52"/>
      <c r="M572" s="53"/>
      <c r="N572" s="53"/>
      <c r="O572" s="52"/>
      <c r="P572" s="54"/>
      <c r="Q572" s="52"/>
      <c r="R572" s="53"/>
      <c r="S572" s="57"/>
      <c r="T572" s="60"/>
      <c r="U572" s="61"/>
      <c r="V572" s="56"/>
      <c r="W572" s="54"/>
      <c r="X572" s="54"/>
      <c r="Y572" s="52"/>
      <c r="Z572" s="54"/>
      <c r="AA572" s="55"/>
      <c r="AB572" s="56"/>
      <c r="AC572" s="54"/>
      <c r="AD572" s="6">
        <f t="shared" si="31"/>
        <v>0</v>
      </c>
      <c r="AE572" s="49">
        <v>0</v>
      </c>
      <c r="AF572" s="5" t="s">
        <v>15</v>
      </c>
    </row>
    <row r="573" spans="1:32" ht="15.75" thickBot="1">
      <c r="A573" s="11">
        <v>44397</v>
      </c>
      <c r="B573" s="2">
        <f t="shared" si="29"/>
        <v>0</v>
      </c>
      <c r="C573" s="3"/>
      <c r="D573" s="4"/>
      <c r="E573" s="124"/>
      <c r="F573" s="10">
        <f t="shared" si="30"/>
        <v>0</v>
      </c>
      <c r="G573" s="3"/>
      <c r="H573" s="4"/>
      <c r="I573" s="52"/>
      <c r="J573" s="53"/>
      <c r="K573" s="54"/>
      <c r="L573" s="52"/>
      <c r="M573" s="53"/>
      <c r="N573" s="53"/>
      <c r="O573" s="52"/>
      <c r="P573" s="54"/>
      <c r="Q573" s="52"/>
      <c r="R573" s="53"/>
      <c r="S573" s="57"/>
      <c r="T573" s="60"/>
      <c r="U573" s="61"/>
      <c r="V573" s="56"/>
      <c r="W573" s="54"/>
      <c r="X573" s="54"/>
      <c r="Y573" s="52"/>
      <c r="Z573" s="54"/>
      <c r="AA573" s="55"/>
      <c r="AB573" s="56"/>
      <c r="AC573" s="54"/>
      <c r="AD573" s="6">
        <f t="shared" si="31"/>
        <v>0</v>
      </c>
      <c r="AE573" s="49">
        <v>0</v>
      </c>
      <c r="AF573" s="5" t="s">
        <v>15</v>
      </c>
    </row>
    <row r="574" spans="1:32" ht="15.75" thickBot="1">
      <c r="A574" s="11">
        <v>44398</v>
      </c>
      <c r="B574" s="2">
        <f t="shared" si="29"/>
        <v>0</v>
      </c>
      <c r="C574" s="3"/>
      <c r="D574" s="4"/>
      <c r="E574" s="124"/>
      <c r="F574" s="10">
        <f t="shared" si="30"/>
        <v>0</v>
      </c>
      <c r="G574" s="3"/>
      <c r="H574" s="4"/>
      <c r="I574" s="52"/>
      <c r="J574" s="53"/>
      <c r="K574" s="54"/>
      <c r="L574" s="52"/>
      <c r="M574" s="53"/>
      <c r="N574" s="53"/>
      <c r="O574" s="52"/>
      <c r="P574" s="54"/>
      <c r="Q574" s="52"/>
      <c r="R574" s="53"/>
      <c r="S574" s="57"/>
      <c r="T574" s="60"/>
      <c r="U574" s="61"/>
      <c r="V574" s="56"/>
      <c r="W574" s="54"/>
      <c r="X574" s="54"/>
      <c r="Y574" s="52"/>
      <c r="Z574" s="54"/>
      <c r="AA574" s="55"/>
      <c r="AB574" s="56"/>
      <c r="AC574" s="54"/>
      <c r="AD574" s="6">
        <f t="shared" si="31"/>
        <v>0</v>
      </c>
      <c r="AE574" s="49">
        <v>0</v>
      </c>
      <c r="AF574" s="5" t="s">
        <v>15</v>
      </c>
    </row>
    <row r="575" spans="1:32" ht="15.75" thickBot="1">
      <c r="A575" s="11">
        <v>44399</v>
      </c>
      <c r="B575" s="2">
        <f t="shared" si="29"/>
        <v>0</v>
      </c>
      <c r="C575" s="3"/>
      <c r="D575" s="4"/>
      <c r="E575" s="124"/>
      <c r="F575" s="10">
        <f t="shared" si="30"/>
        <v>0</v>
      </c>
      <c r="G575" s="3"/>
      <c r="H575" s="4"/>
      <c r="I575" s="52"/>
      <c r="J575" s="53"/>
      <c r="K575" s="54"/>
      <c r="L575" s="52"/>
      <c r="M575" s="53"/>
      <c r="N575" s="53"/>
      <c r="O575" s="52"/>
      <c r="P575" s="54"/>
      <c r="Q575" s="52"/>
      <c r="R575" s="53"/>
      <c r="S575" s="57"/>
      <c r="T575" s="60"/>
      <c r="U575" s="61"/>
      <c r="V575" s="56"/>
      <c r="W575" s="54"/>
      <c r="X575" s="54"/>
      <c r="Y575" s="52"/>
      <c r="Z575" s="54"/>
      <c r="AA575" s="55"/>
      <c r="AB575" s="56"/>
      <c r="AC575" s="54"/>
      <c r="AD575" s="6">
        <f t="shared" si="31"/>
        <v>0</v>
      </c>
      <c r="AE575" s="49">
        <v>0</v>
      </c>
      <c r="AF575" s="5" t="s">
        <v>15</v>
      </c>
    </row>
    <row r="576" spans="1:32" ht="15.75" thickBot="1">
      <c r="A576" s="11">
        <v>44400</v>
      </c>
      <c r="B576" s="2">
        <f t="shared" si="29"/>
        <v>0</v>
      </c>
      <c r="C576" s="3"/>
      <c r="D576" s="4"/>
      <c r="E576" s="124"/>
      <c r="F576" s="10">
        <f t="shared" si="30"/>
        <v>0</v>
      </c>
      <c r="G576" s="3"/>
      <c r="H576" s="4"/>
      <c r="I576" s="52"/>
      <c r="J576" s="53"/>
      <c r="K576" s="54"/>
      <c r="L576" s="52"/>
      <c r="M576" s="53"/>
      <c r="N576" s="53"/>
      <c r="O576" s="52"/>
      <c r="P576" s="54"/>
      <c r="Q576" s="52"/>
      <c r="R576" s="53"/>
      <c r="S576" s="57"/>
      <c r="T576" s="60"/>
      <c r="U576" s="61"/>
      <c r="V576" s="56"/>
      <c r="W576" s="54"/>
      <c r="X576" s="54"/>
      <c r="Y576" s="52"/>
      <c r="Z576" s="54"/>
      <c r="AA576" s="55"/>
      <c r="AB576" s="56"/>
      <c r="AC576" s="54"/>
      <c r="AD576" s="6">
        <f t="shared" si="31"/>
        <v>0</v>
      </c>
      <c r="AE576" s="49">
        <v>0</v>
      </c>
      <c r="AF576" s="5" t="s">
        <v>15</v>
      </c>
    </row>
    <row r="577" spans="1:32" ht="15.75" thickBot="1">
      <c r="A577" s="11">
        <v>44401</v>
      </c>
      <c r="B577" s="2">
        <f t="shared" si="29"/>
        <v>0</v>
      </c>
      <c r="C577" s="3"/>
      <c r="D577" s="4"/>
      <c r="E577" s="124"/>
      <c r="F577" s="10">
        <f t="shared" si="30"/>
        <v>0</v>
      </c>
      <c r="G577" s="3"/>
      <c r="H577" s="4"/>
      <c r="I577" s="52"/>
      <c r="J577" s="53"/>
      <c r="K577" s="54"/>
      <c r="L577" s="52"/>
      <c r="M577" s="53"/>
      <c r="N577" s="53"/>
      <c r="O577" s="52"/>
      <c r="P577" s="54"/>
      <c r="Q577" s="52"/>
      <c r="R577" s="53"/>
      <c r="S577" s="57"/>
      <c r="T577" s="52"/>
      <c r="U577" s="54"/>
      <c r="V577" s="56"/>
      <c r="W577" s="54"/>
      <c r="X577" s="54"/>
      <c r="Y577" s="52"/>
      <c r="Z577" s="54"/>
      <c r="AA577" s="55"/>
      <c r="AB577" s="56"/>
      <c r="AC577" s="54"/>
      <c r="AD577" s="6">
        <f t="shared" si="31"/>
        <v>0</v>
      </c>
      <c r="AE577" s="49">
        <v>0</v>
      </c>
      <c r="AF577" s="5" t="s">
        <v>15</v>
      </c>
    </row>
    <row r="578" spans="1:32" ht="15.75" thickBot="1">
      <c r="A578" s="11">
        <v>44402</v>
      </c>
      <c r="B578" s="2">
        <f t="shared" si="29"/>
        <v>0</v>
      </c>
      <c r="C578" s="3"/>
      <c r="D578" s="4"/>
      <c r="E578" s="124"/>
      <c r="F578" s="10">
        <f t="shared" si="30"/>
        <v>0</v>
      </c>
      <c r="G578" s="3"/>
      <c r="H578" s="4"/>
      <c r="I578" s="52"/>
      <c r="J578" s="53"/>
      <c r="K578" s="54"/>
      <c r="L578" s="52"/>
      <c r="M578" s="53"/>
      <c r="N578" s="53"/>
      <c r="O578" s="52"/>
      <c r="P578" s="54"/>
      <c r="Q578" s="52"/>
      <c r="R578" s="53"/>
      <c r="S578" s="57"/>
      <c r="T578" s="60"/>
      <c r="U578" s="61"/>
      <c r="V578" s="56"/>
      <c r="W578" s="54"/>
      <c r="X578" s="54"/>
      <c r="Y578" s="52"/>
      <c r="Z578" s="54"/>
      <c r="AA578" s="55"/>
      <c r="AB578" s="56"/>
      <c r="AC578" s="54"/>
      <c r="AD578" s="6">
        <f t="shared" si="31"/>
        <v>0</v>
      </c>
      <c r="AE578" s="49">
        <v>0</v>
      </c>
      <c r="AF578" s="5" t="s">
        <v>15</v>
      </c>
    </row>
    <row r="579" spans="1:32" ht="15.75" thickBot="1">
      <c r="A579" s="11">
        <v>44403</v>
      </c>
      <c r="B579" s="2">
        <f t="shared" si="29"/>
        <v>0</v>
      </c>
      <c r="C579" s="3"/>
      <c r="D579" s="4"/>
      <c r="E579" s="124"/>
      <c r="F579" s="10">
        <f t="shared" si="30"/>
        <v>0</v>
      </c>
      <c r="G579" s="3"/>
      <c r="H579" s="4"/>
      <c r="I579" s="52"/>
      <c r="J579" s="53"/>
      <c r="K579" s="54"/>
      <c r="L579" s="52"/>
      <c r="M579" s="53"/>
      <c r="N579" s="53"/>
      <c r="O579" s="52"/>
      <c r="P579" s="54"/>
      <c r="Q579" s="52"/>
      <c r="R579" s="53"/>
      <c r="S579" s="57"/>
      <c r="T579" s="60"/>
      <c r="U579" s="61"/>
      <c r="V579" s="56"/>
      <c r="W579" s="54"/>
      <c r="X579" s="54"/>
      <c r="Y579" s="52"/>
      <c r="Z579" s="54"/>
      <c r="AA579" s="55"/>
      <c r="AB579" s="56"/>
      <c r="AC579" s="54"/>
      <c r="AD579" s="6">
        <f t="shared" si="31"/>
        <v>0</v>
      </c>
      <c r="AE579" s="49">
        <v>0</v>
      </c>
      <c r="AF579" s="5" t="s">
        <v>15</v>
      </c>
    </row>
    <row r="580" spans="1:32" ht="15.75" thickBot="1">
      <c r="A580" s="11">
        <v>44404</v>
      </c>
      <c r="B580" s="2">
        <f t="shared" si="29"/>
        <v>0</v>
      </c>
      <c r="C580" s="3"/>
      <c r="D580" s="4"/>
      <c r="E580" s="124"/>
      <c r="F580" s="10">
        <f t="shared" si="30"/>
        <v>0</v>
      </c>
      <c r="G580" s="3"/>
      <c r="H580" s="4"/>
      <c r="I580" s="52"/>
      <c r="J580" s="53"/>
      <c r="K580" s="54"/>
      <c r="L580" s="52"/>
      <c r="M580" s="53"/>
      <c r="N580" s="53"/>
      <c r="O580" s="52"/>
      <c r="P580" s="54"/>
      <c r="Q580" s="52"/>
      <c r="R580" s="53"/>
      <c r="S580" s="57"/>
      <c r="T580" s="60"/>
      <c r="U580" s="61"/>
      <c r="V580" s="56"/>
      <c r="W580" s="54"/>
      <c r="X580" s="54"/>
      <c r="Y580" s="52"/>
      <c r="Z580" s="54"/>
      <c r="AA580" s="55"/>
      <c r="AB580" s="56"/>
      <c r="AC580" s="54"/>
      <c r="AD580" s="6">
        <f t="shared" si="31"/>
        <v>0</v>
      </c>
      <c r="AE580" s="49">
        <v>0</v>
      </c>
      <c r="AF580" s="5" t="s">
        <v>15</v>
      </c>
    </row>
    <row r="581" spans="1:32" ht="15.75" thickBot="1">
      <c r="A581" s="11">
        <v>44405</v>
      </c>
      <c r="B581" s="2">
        <f t="shared" si="29"/>
        <v>0</v>
      </c>
      <c r="C581" s="3"/>
      <c r="D581" s="4"/>
      <c r="E581" s="124"/>
      <c r="F581" s="10">
        <f t="shared" si="30"/>
        <v>0</v>
      </c>
      <c r="G581" s="3"/>
      <c r="H581" s="4"/>
      <c r="I581" s="52"/>
      <c r="J581" s="53"/>
      <c r="K581" s="54"/>
      <c r="L581" s="52"/>
      <c r="M581" s="53"/>
      <c r="N581" s="53"/>
      <c r="O581" s="52"/>
      <c r="P581" s="54"/>
      <c r="Q581" s="52"/>
      <c r="R581" s="53"/>
      <c r="S581" s="57"/>
      <c r="T581" s="60"/>
      <c r="U581" s="61"/>
      <c r="V581" s="56"/>
      <c r="W581" s="54"/>
      <c r="X581" s="54"/>
      <c r="Y581" s="52"/>
      <c r="Z581" s="54"/>
      <c r="AA581" s="55"/>
      <c r="AB581" s="56"/>
      <c r="AC581" s="54"/>
      <c r="AD581" s="6">
        <f t="shared" si="31"/>
        <v>0</v>
      </c>
      <c r="AE581" s="49">
        <v>0</v>
      </c>
      <c r="AF581" s="5" t="s">
        <v>15</v>
      </c>
    </row>
    <row r="582" spans="1:32" ht="15.75" thickBot="1">
      <c r="A582" s="11">
        <v>44406</v>
      </c>
      <c r="B582" s="2">
        <f t="shared" si="29"/>
        <v>0</v>
      </c>
      <c r="C582" s="3"/>
      <c r="D582" s="4"/>
      <c r="E582" s="124"/>
      <c r="F582" s="10">
        <f t="shared" si="30"/>
        <v>0</v>
      </c>
      <c r="G582" s="3"/>
      <c r="H582" s="4"/>
      <c r="I582" s="52"/>
      <c r="J582" s="53"/>
      <c r="K582" s="54"/>
      <c r="L582" s="52"/>
      <c r="M582" s="53"/>
      <c r="N582" s="53"/>
      <c r="O582" s="52"/>
      <c r="P582" s="54"/>
      <c r="Q582" s="52"/>
      <c r="R582" s="53"/>
      <c r="S582" s="57"/>
      <c r="T582" s="60"/>
      <c r="U582" s="61"/>
      <c r="V582" s="56"/>
      <c r="W582" s="54"/>
      <c r="X582" s="54"/>
      <c r="Y582" s="52"/>
      <c r="Z582" s="54"/>
      <c r="AA582" s="55"/>
      <c r="AB582" s="56"/>
      <c r="AC582" s="54"/>
      <c r="AD582" s="6">
        <f t="shared" si="31"/>
        <v>0</v>
      </c>
      <c r="AE582" s="49">
        <v>0</v>
      </c>
      <c r="AF582" s="5" t="s">
        <v>15</v>
      </c>
    </row>
    <row r="583" spans="1:32" ht="15.75" thickBot="1">
      <c r="A583" s="11">
        <v>44407</v>
      </c>
      <c r="B583" s="2">
        <f t="shared" si="29"/>
        <v>0</v>
      </c>
      <c r="C583" s="3"/>
      <c r="D583" s="4"/>
      <c r="E583" s="124"/>
      <c r="F583" s="10">
        <f t="shared" si="30"/>
        <v>0</v>
      </c>
      <c r="G583" s="3"/>
      <c r="H583" s="4"/>
      <c r="I583" s="52"/>
      <c r="J583" s="53"/>
      <c r="K583" s="54"/>
      <c r="L583" s="52"/>
      <c r="M583" s="53"/>
      <c r="N583" s="53"/>
      <c r="O583" s="52"/>
      <c r="P583" s="54"/>
      <c r="Q583" s="52"/>
      <c r="R583" s="53"/>
      <c r="S583" s="57"/>
      <c r="T583" s="60"/>
      <c r="U583" s="61"/>
      <c r="V583" s="56"/>
      <c r="W583" s="54"/>
      <c r="X583" s="54"/>
      <c r="Y583" s="52"/>
      <c r="Z583" s="54"/>
      <c r="AA583" s="55"/>
      <c r="AB583" s="56"/>
      <c r="AC583" s="54"/>
      <c r="AD583" s="6">
        <f t="shared" si="31"/>
        <v>0</v>
      </c>
      <c r="AE583" s="49">
        <v>0</v>
      </c>
      <c r="AF583" s="5" t="s">
        <v>15</v>
      </c>
    </row>
    <row r="584" spans="1:32" ht="15.75" thickBot="1">
      <c r="A584" s="11">
        <v>44408</v>
      </c>
      <c r="B584" s="2">
        <f t="shared" si="29"/>
        <v>0</v>
      </c>
      <c r="C584" s="3"/>
      <c r="D584" s="4"/>
      <c r="E584" s="124"/>
      <c r="F584" s="10">
        <f t="shared" si="30"/>
        <v>0</v>
      </c>
      <c r="G584" s="3"/>
      <c r="H584" s="4"/>
      <c r="I584" s="52"/>
      <c r="J584" s="53"/>
      <c r="K584" s="54"/>
      <c r="L584" s="52"/>
      <c r="M584" s="53"/>
      <c r="N584" s="53"/>
      <c r="O584" s="52"/>
      <c r="P584" s="54"/>
      <c r="Q584" s="52"/>
      <c r="R584" s="53"/>
      <c r="S584" s="57"/>
      <c r="T584" s="60"/>
      <c r="U584" s="61"/>
      <c r="V584" s="56"/>
      <c r="W584" s="54"/>
      <c r="X584" s="54"/>
      <c r="Y584" s="52"/>
      <c r="Z584" s="54"/>
      <c r="AA584" s="55"/>
      <c r="AB584" s="56"/>
      <c r="AC584" s="54"/>
      <c r="AD584" s="6">
        <f t="shared" si="31"/>
        <v>0</v>
      </c>
      <c r="AE584" s="49">
        <v>0</v>
      </c>
      <c r="AF584" s="5" t="s">
        <v>15</v>
      </c>
    </row>
    <row r="585" spans="1:32" ht="15.75" thickBot="1">
      <c r="A585" s="11">
        <v>44409</v>
      </c>
      <c r="B585" s="2">
        <f t="shared" si="29"/>
        <v>0</v>
      </c>
      <c r="C585" s="3"/>
      <c r="D585" s="4"/>
      <c r="E585" s="124"/>
      <c r="F585" s="10">
        <f t="shared" si="30"/>
        <v>0</v>
      </c>
      <c r="G585" s="3"/>
      <c r="H585" s="4"/>
      <c r="I585" s="52"/>
      <c r="J585" s="53"/>
      <c r="K585" s="54"/>
      <c r="L585" s="52"/>
      <c r="M585" s="53"/>
      <c r="N585" s="53"/>
      <c r="O585" s="52"/>
      <c r="P585" s="54"/>
      <c r="Q585" s="52"/>
      <c r="R585" s="53"/>
      <c r="S585" s="57"/>
      <c r="T585" s="52"/>
      <c r="U585" s="54"/>
      <c r="V585" s="56"/>
      <c r="W585" s="54"/>
      <c r="X585" s="54"/>
      <c r="Y585" s="52"/>
      <c r="Z585" s="54"/>
      <c r="AA585" s="55"/>
      <c r="AB585" s="56"/>
      <c r="AC585" s="54"/>
      <c r="AD585" s="6">
        <f t="shared" si="31"/>
        <v>0</v>
      </c>
      <c r="AE585" s="49">
        <v>0</v>
      </c>
      <c r="AF585" s="5" t="s">
        <v>15</v>
      </c>
    </row>
    <row r="586" spans="1:32" ht="15.75" thickBot="1">
      <c r="A586" s="11">
        <v>44410</v>
      </c>
      <c r="B586" s="2">
        <f t="shared" si="29"/>
        <v>0</v>
      </c>
      <c r="C586" s="3"/>
      <c r="D586" s="4"/>
      <c r="E586" s="124"/>
      <c r="F586" s="10">
        <f t="shared" si="30"/>
        <v>0</v>
      </c>
      <c r="G586" s="3"/>
      <c r="H586" s="4"/>
      <c r="I586" s="52"/>
      <c r="J586" s="53"/>
      <c r="K586" s="54"/>
      <c r="L586" s="52"/>
      <c r="M586" s="53"/>
      <c r="N586" s="53"/>
      <c r="O586" s="52"/>
      <c r="P586" s="54"/>
      <c r="Q586" s="52"/>
      <c r="R586" s="53"/>
      <c r="S586" s="57"/>
      <c r="T586" s="60"/>
      <c r="U586" s="61"/>
      <c r="V586" s="56"/>
      <c r="W586" s="54"/>
      <c r="X586" s="54"/>
      <c r="Y586" s="52"/>
      <c r="Z586" s="54"/>
      <c r="AA586" s="55"/>
      <c r="AB586" s="56"/>
      <c r="AC586" s="54"/>
      <c r="AD586" s="6">
        <f t="shared" si="31"/>
        <v>0</v>
      </c>
      <c r="AE586" s="49">
        <v>0</v>
      </c>
      <c r="AF586" s="5" t="s">
        <v>15</v>
      </c>
    </row>
    <row r="587" spans="1:32" ht="15.75" thickBot="1">
      <c r="A587" s="11">
        <v>44411</v>
      </c>
      <c r="B587" s="2">
        <f t="shared" si="29"/>
        <v>0</v>
      </c>
      <c r="C587" s="3"/>
      <c r="D587" s="4"/>
      <c r="E587" s="124"/>
      <c r="F587" s="10">
        <f t="shared" si="30"/>
        <v>0</v>
      </c>
      <c r="G587" s="3"/>
      <c r="H587" s="4"/>
      <c r="I587" s="52"/>
      <c r="J587" s="53"/>
      <c r="K587" s="54"/>
      <c r="L587" s="52"/>
      <c r="M587" s="53"/>
      <c r="N587" s="53"/>
      <c r="O587" s="52"/>
      <c r="P587" s="54"/>
      <c r="Q587" s="52"/>
      <c r="R587" s="53"/>
      <c r="S587" s="57"/>
      <c r="T587" s="60"/>
      <c r="U587" s="61"/>
      <c r="V587" s="56"/>
      <c r="W587" s="54"/>
      <c r="X587" s="54"/>
      <c r="Y587" s="52"/>
      <c r="Z587" s="54"/>
      <c r="AA587" s="55"/>
      <c r="AB587" s="56"/>
      <c r="AC587" s="54"/>
      <c r="AD587" s="6">
        <f t="shared" si="31"/>
        <v>0</v>
      </c>
      <c r="AE587" s="49">
        <v>0</v>
      </c>
      <c r="AF587" s="5" t="s">
        <v>15</v>
      </c>
    </row>
    <row r="588" spans="1:32" ht="15.75" thickBot="1">
      <c r="A588" s="11">
        <v>44412</v>
      </c>
      <c r="B588" s="2">
        <f t="shared" si="29"/>
        <v>0</v>
      </c>
      <c r="C588" s="3"/>
      <c r="D588" s="4"/>
      <c r="E588" s="124"/>
      <c r="F588" s="10">
        <f t="shared" si="30"/>
        <v>0</v>
      </c>
      <c r="G588" s="3"/>
      <c r="H588" s="4"/>
      <c r="I588" s="52"/>
      <c r="J588" s="53"/>
      <c r="K588" s="54"/>
      <c r="L588" s="52"/>
      <c r="M588" s="53"/>
      <c r="N588" s="53"/>
      <c r="O588" s="52"/>
      <c r="P588" s="54"/>
      <c r="Q588" s="52"/>
      <c r="R588" s="53"/>
      <c r="S588" s="57"/>
      <c r="T588" s="60"/>
      <c r="U588" s="61"/>
      <c r="V588" s="56"/>
      <c r="W588" s="54"/>
      <c r="X588" s="54"/>
      <c r="Y588" s="52"/>
      <c r="Z588" s="54"/>
      <c r="AA588" s="55"/>
      <c r="AB588" s="56"/>
      <c r="AC588" s="54"/>
      <c r="AD588" s="6">
        <f t="shared" si="31"/>
        <v>0</v>
      </c>
      <c r="AE588" s="49">
        <v>0</v>
      </c>
      <c r="AF588" s="5" t="s">
        <v>15</v>
      </c>
    </row>
    <row r="589" spans="1:32" ht="15.75" thickBot="1">
      <c r="A589" s="11">
        <v>44413</v>
      </c>
      <c r="B589" s="2">
        <f t="shared" si="29"/>
        <v>0</v>
      </c>
      <c r="C589" s="3"/>
      <c r="D589" s="4"/>
      <c r="E589" s="124"/>
      <c r="F589" s="10">
        <f t="shared" si="30"/>
        <v>0</v>
      </c>
      <c r="G589" s="3"/>
      <c r="H589" s="4"/>
      <c r="I589" s="52"/>
      <c r="J589" s="53"/>
      <c r="K589" s="54"/>
      <c r="L589" s="52"/>
      <c r="M589" s="53"/>
      <c r="N589" s="53"/>
      <c r="O589" s="52"/>
      <c r="P589" s="54"/>
      <c r="Q589" s="52"/>
      <c r="R589" s="53"/>
      <c r="S589" s="57"/>
      <c r="T589" s="60"/>
      <c r="U589" s="61"/>
      <c r="V589" s="56"/>
      <c r="W589" s="54"/>
      <c r="X589" s="54"/>
      <c r="Y589" s="52"/>
      <c r="Z589" s="54"/>
      <c r="AA589" s="55"/>
      <c r="AB589" s="56"/>
      <c r="AC589" s="54"/>
      <c r="AD589" s="6">
        <f t="shared" si="31"/>
        <v>0</v>
      </c>
      <c r="AE589" s="49">
        <v>0</v>
      </c>
      <c r="AF589" s="5" t="s">
        <v>15</v>
      </c>
    </row>
    <row r="590" spans="1:32" ht="15.75" thickBot="1">
      <c r="A590" s="11">
        <v>44414</v>
      </c>
      <c r="B590" s="2">
        <f t="shared" si="29"/>
        <v>0</v>
      </c>
      <c r="C590" s="3"/>
      <c r="D590" s="4"/>
      <c r="E590" s="124"/>
      <c r="F590" s="10">
        <f t="shared" si="30"/>
        <v>0</v>
      </c>
      <c r="G590" s="3"/>
      <c r="H590" s="4"/>
      <c r="I590" s="52"/>
      <c r="J590" s="53"/>
      <c r="K590" s="54"/>
      <c r="L590" s="52"/>
      <c r="M590" s="53"/>
      <c r="N590" s="53"/>
      <c r="O590" s="52"/>
      <c r="P590" s="54"/>
      <c r="Q590" s="52"/>
      <c r="R590" s="53"/>
      <c r="S590" s="57"/>
      <c r="T590" s="60"/>
      <c r="U590" s="61"/>
      <c r="V590" s="56"/>
      <c r="W590" s="54"/>
      <c r="X590" s="54"/>
      <c r="Y590" s="52"/>
      <c r="Z590" s="54"/>
      <c r="AA590" s="55"/>
      <c r="AB590" s="56"/>
      <c r="AC590" s="54"/>
      <c r="AD590" s="6">
        <f t="shared" si="31"/>
        <v>0</v>
      </c>
      <c r="AE590" s="49">
        <v>0</v>
      </c>
      <c r="AF590" s="5" t="s">
        <v>15</v>
      </c>
    </row>
    <row r="591" spans="1:32" ht="15.75" thickBot="1">
      <c r="A591" s="11">
        <v>44415</v>
      </c>
      <c r="B591" s="2">
        <f t="shared" si="29"/>
        <v>0</v>
      </c>
      <c r="C591" s="3"/>
      <c r="D591" s="4"/>
      <c r="E591" s="124"/>
      <c r="F591" s="10">
        <f t="shared" si="30"/>
        <v>0</v>
      </c>
      <c r="G591" s="3"/>
      <c r="H591" s="4"/>
      <c r="I591" s="52"/>
      <c r="J591" s="53"/>
      <c r="K591" s="54"/>
      <c r="L591" s="52"/>
      <c r="M591" s="53"/>
      <c r="N591" s="53"/>
      <c r="O591" s="52"/>
      <c r="P591" s="54"/>
      <c r="Q591" s="52"/>
      <c r="R591" s="53"/>
      <c r="S591" s="57"/>
      <c r="T591" s="60"/>
      <c r="U591" s="61"/>
      <c r="V591" s="56"/>
      <c r="W591" s="54"/>
      <c r="X591" s="54"/>
      <c r="Y591" s="52"/>
      <c r="Z591" s="54"/>
      <c r="AA591" s="55"/>
      <c r="AB591" s="56"/>
      <c r="AC591" s="54"/>
      <c r="AD591" s="6">
        <f t="shared" si="31"/>
        <v>0</v>
      </c>
      <c r="AE591" s="49">
        <v>0</v>
      </c>
      <c r="AF591" s="5" t="s">
        <v>15</v>
      </c>
    </row>
    <row r="592" spans="1:32" ht="15.75" thickBot="1">
      <c r="A592" s="11">
        <v>44416</v>
      </c>
      <c r="B592" s="2">
        <f t="shared" si="29"/>
        <v>0</v>
      </c>
      <c r="C592" s="3"/>
      <c r="D592" s="4"/>
      <c r="E592" s="124"/>
      <c r="F592" s="10">
        <f t="shared" si="30"/>
        <v>0</v>
      </c>
      <c r="G592" s="3"/>
      <c r="H592" s="4"/>
      <c r="I592" s="52"/>
      <c r="J592" s="53"/>
      <c r="K592" s="54"/>
      <c r="L592" s="52"/>
      <c r="M592" s="53"/>
      <c r="N592" s="53"/>
      <c r="O592" s="52"/>
      <c r="P592" s="54"/>
      <c r="Q592" s="52"/>
      <c r="R592" s="53"/>
      <c r="S592" s="57"/>
      <c r="T592" s="60"/>
      <c r="U592" s="61"/>
      <c r="V592" s="56"/>
      <c r="W592" s="54"/>
      <c r="X592" s="54"/>
      <c r="Y592" s="52"/>
      <c r="Z592" s="54"/>
      <c r="AA592" s="55"/>
      <c r="AB592" s="56"/>
      <c r="AC592" s="54"/>
      <c r="AD592" s="6">
        <f t="shared" si="31"/>
        <v>0</v>
      </c>
      <c r="AE592" s="49">
        <v>0</v>
      </c>
      <c r="AF592" s="5" t="s">
        <v>15</v>
      </c>
    </row>
    <row r="593" spans="1:32" ht="15.75" thickBot="1">
      <c r="A593" s="11">
        <v>44417</v>
      </c>
      <c r="B593" s="2">
        <f t="shared" si="29"/>
        <v>0</v>
      </c>
      <c r="C593" s="3"/>
      <c r="D593" s="4"/>
      <c r="E593" s="124"/>
      <c r="F593" s="10">
        <f t="shared" si="30"/>
        <v>0</v>
      </c>
      <c r="G593" s="3"/>
      <c r="H593" s="4"/>
      <c r="I593" s="52"/>
      <c r="J593" s="53"/>
      <c r="K593" s="54"/>
      <c r="L593" s="52"/>
      <c r="M593" s="53"/>
      <c r="N593" s="53"/>
      <c r="O593" s="52"/>
      <c r="P593" s="54"/>
      <c r="Q593" s="52"/>
      <c r="R593" s="53"/>
      <c r="S593" s="57"/>
      <c r="T593" s="52"/>
      <c r="U593" s="54"/>
      <c r="V593" s="56"/>
      <c r="W593" s="54"/>
      <c r="X593" s="54"/>
      <c r="Y593" s="52"/>
      <c r="Z593" s="54"/>
      <c r="AA593" s="55"/>
      <c r="AB593" s="56"/>
      <c r="AC593" s="54"/>
      <c r="AD593" s="6">
        <f t="shared" si="31"/>
        <v>0</v>
      </c>
      <c r="AE593" s="49">
        <v>0</v>
      </c>
      <c r="AF593" s="5" t="s">
        <v>15</v>
      </c>
    </row>
    <row r="594" spans="1:32" ht="15.75" thickBot="1">
      <c r="A594" s="11">
        <v>44418</v>
      </c>
      <c r="B594" s="2">
        <f t="shared" si="29"/>
        <v>0</v>
      </c>
      <c r="C594" s="3"/>
      <c r="D594" s="4"/>
      <c r="E594" s="124"/>
      <c r="F594" s="10">
        <f t="shared" si="30"/>
        <v>0</v>
      </c>
      <c r="G594" s="3"/>
      <c r="H594" s="4"/>
      <c r="I594" s="52"/>
      <c r="J594" s="53"/>
      <c r="K594" s="54"/>
      <c r="L594" s="52"/>
      <c r="M594" s="53"/>
      <c r="N594" s="53"/>
      <c r="O594" s="52"/>
      <c r="P594" s="54"/>
      <c r="Q594" s="52"/>
      <c r="R594" s="53"/>
      <c r="S594" s="57"/>
      <c r="T594" s="60"/>
      <c r="U594" s="61"/>
      <c r="V594" s="56"/>
      <c r="W594" s="54"/>
      <c r="X594" s="54"/>
      <c r="Y594" s="52"/>
      <c r="Z594" s="54"/>
      <c r="AA594" s="55"/>
      <c r="AB594" s="56"/>
      <c r="AC594" s="54"/>
      <c r="AD594" s="6">
        <f t="shared" si="31"/>
        <v>0</v>
      </c>
      <c r="AE594" s="49">
        <v>0</v>
      </c>
      <c r="AF594" s="5" t="s">
        <v>15</v>
      </c>
    </row>
    <row r="595" spans="1:32" ht="15.75" thickBot="1">
      <c r="A595" s="11">
        <v>44419</v>
      </c>
      <c r="B595" s="2">
        <f t="shared" si="29"/>
        <v>0</v>
      </c>
      <c r="C595" s="3"/>
      <c r="D595" s="4"/>
      <c r="E595" s="124"/>
      <c r="F595" s="10">
        <f t="shared" si="30"/>
        <v>0</v>
      </c>
      <c r="G595" s="3"/>
      <c r="H595" s="4"/>
      <c r="I595" s="52"/>
      <c r="J595" s="53"/>
      <c r="K595" s="54"/>
      <c r="L595" s="52"/>
      <c r="M595" s="53"/>
      <c r="N595" s="53"/>
      <c r="O595" s="52"/>
      <c r="P595" s="54"/>
      <c r="Q595" s="52"/>
      <c r="R595" s="53"/>
      <c r="S595" s="57"/>
      <c r="T595" s="60"/>
      <c r="U595" s="61"/>
      <c r="V595" s="56"/>
      <c r="W595" s="54"/>
      <c r="X595" s="54"/>
      <c r="Y595" s="52"/>
      <c r="Z595" s="54"/>
      <c r="AA595" s="55"/>
      <c r="AB595" s="56"/>
      <c r="AC595" s="54"/>
      <c r="AD595" s="6">
        <f t="shared" si="31"/>
        <v>0</v>
      </c>
      <c r="AE595" s="49">
        <v>0</v>
      </c>
      <c r="AF595" s="5" t="s">
        <v>15</v>
      </c>
    </row>
    <row r="596" spans="1:32" ht="15.75" thickBot="1">
      <c r="A596" s="11">
        <v>44420</v>
      </c>
      <c r="B596" s="2">
        <f t="shared" si="29"/>
        <v>0</v>
      </c>
      <c r="C596" s="3"/>
      <c r="D596" s="4"/>
      <c r="E596" s="124"/>
      <c r="F596" s="10">
        <f t="shared" si="30"/>
        <v>0</v>
      </c>
      <c r="G596" s="3"/>
      <c r="H596" s="4"/>
      <c r="I596" s="52"/>
      <c r="J596" s="53"/>
      <c r="K596" s="54"/>
      <c r="L596" s="52"/>
      <c r="M596" s="53"/>
      <c r="N596" s="53"/>
      <c r="O596" s="52"/>
      <c r="P596" s="54"/>
      <c r="Q596" s="52"/>
      <c r="R596" s="53"/>
      <c r="S596" s="57"/>
      <c r="T596" s="60"/>
      <c r="U596" s="61"/>
      <c r="V596" s="56"/>
      <c r="W596" s="54"/>
      <c r="X596" s="54"/>
      <c r="Y596" s="52"/>
      <c r="Z596" s="54"/>
      <c r="AA596" s="55"/>
      <c r="AB596" s="56"/>
      <c r="AC596" s="54"/>
      <c r="AD596" s="6">
        <f t="shared" si="31"/>
        <v>0</v>
      </c>
      <c r="AE596" s="49">
        <v>0</v>
      </c>
      <c r="AF596" s="5" t="s">
        <v>15</v>
      </c>
    </row>
    <row r="597" spans="1:32" ht="15.75" thickBot="1">
      <c r="A597" s="11">
        <v>44421</v>
      </c>
      <c r="B597" s="2">
        <f t="shared" si="29"/>
        <v>0</v>
      </c>
      <c r="C597" s="3"/>
      <c r="D597" s="4"/>
      <c r="E597" s="124"/>
      <c r="F597" s="10">
        <f t="shared" si="30"/>
        <v>0</v>
      </c>
      <c r="G597" s="3"/>
      <c r="H597" s="4"/>
      <c r="I597" s="52"/>
      <c r="J597" s="53"/>
      <c r="K597" s="54"/>
      <c r="L597" s="52"/>
      <c r="M597" s="53"/>
      <c r="N597" s="53"/>
      <c r="O597" s="52"/>
      <c r="P597" s="54"/>
      <c r="Q597" s="52"/>
      <c r="R597" s="53"/>
      <c r="S597" s="57"/>
      <c r="T597" s="60"/>
      <c r="U597" s="61"/>
      <c r="V597" s="56"/>
      <c r="W597" s="54"/>
      <c r="X597" s="54"/>
      <c r="Y597" s="52"/>
      <c r="Z597" s="54"/>
      <c r="AA597" s="55"/>
      <c r="AB597" s="56"/>
      <c r="AC597" s="54"/>
      <c r="AD597" s="6">
        <f t="shared" si="31"/>
        <v>0</v>
      </c>
      <c r="AE597" s="49">
        <v>0</v>
      </c>
      <c r="AF597" s="5" t="s">
        <v>15</v>
      </c>
    </row>
    <row r="598" spans="1:32" ht="15.75" thickBot="1">
      <c r="A598" s="11">
        <v>44422</v>
      </c>
      <c r="B598" s="2">
        <f t="shared" si="29"/>
        <v>0</v>
      </c>
      <c r="C598" s="3"/>
      <c r="D598" s="4"/>
      <c r="E598" s="124"/>
      <c r="F598" s="10">
        <f t="shared" si="30"/>
        <v>0</v>
      </c>
      <c r="G598" s="3"/>
      <c r="H598" s="4"/>
      <c r="I598" s="52"/>
      <c r="J598" s="53"/>
      <c r="K598" s="54"/>
      <c r="L598" s="52"/>
      <c r="M598" s="53"/>
      <c r="N598" s="53"/>
      <c r="O598" s="52"/>
      <c r="P598" s="54"/>
      <c r="Q598" s="52"/>
      <c r="R598" s="53"/>
      <c r="S598" s="57"/>
      <c r="T598" s="60"/>
      <c r="U598" s="61"/>
      <c r="V598" s="56"/>
      <c r="W598" s="54"/>
      <c r="X598" s="54"/>
      <c r="Y598" s="52"/>
      <c r="Z598" s="54"/>
      <c r="AA598" s="55"/>
      <c r="AB598" s="56"/>
      <c r="AC598" s="54"/>
      <c r="AD598" s="6">
        <f t="shared" si="31"/>
        <v>0</v>
      </c>
      <c r="AE598" s="49">
        <v>0</v>
      </c>
      <c r="AF598" s="5" t="s">
        <v>15</v>
      </c>
    </row>
    <row r="599" spans="1:32" ht="15.75" thickBot="1">
      <c r="A599" s="11">
        <v>44423</v>
      </c>
      <c r="B599" s="2">
        <f t="shared" si="29"/>
        <v>0</v>
      </c>
      <c r="C599" s="3"/>
      <c r="D599" s="4"/>
      <c r="E599" s="124"/>
      <c r="F599" s="10">
        <f t="shared" si="30"/>
        <v>0</v>
      </c>
      <c r="G599" s="3"/>
      <c r="H599" s="4"/>
      <c r="I599" s="52"/>
      <c r="J599" s="53"/>
      <c r="K599" s="54"/>
      <c r="L599" s="52"/>
      <c r="M599" s="53"/>
      <c r="N599" s="53"/>
      <c r="O599" s="52"/>
      <c r="P599" s="54"/>
      <c r="Q599" s="52"/>
      <c r="R599" s="53"/>
      <c r="S599" s="57"/>
      <c r="T599" s="60"/>
      <c r="U599" s="61"/>
      <c r="V599" s="56"/>
      <c r="W599" s="54"/>
      <c r="X599" s="54"/>
      <c r="Y599" s="52"/>
      <c r="Z599" s="54"/>
      <c r="AA599" s="55"/>
      <c r="AB599" s="56"/>
      <c r="AC599" s="54"/>
      <c r="AD599" s="6">
        <f t="shared" si="31"/>
        <v>0</v>
      </c>
      <c r="AE599" s="49">
        <v>0</v>
      </c>
      <c r="AF599" s="5" t="s">
        <v>15</v>
      </c>
    </row>
    <row r="600" spans="1:32" ht="15.75" thickBot="1">
      <c r="A600" s="11">
        <v>44424</v>
      </c>
      <c r="B600" s="2">
        <f t="shared" si="29"/>
        <v>0</v>
      </c>
      <c r="C600" s="3"/>
      <c r="D600" s="4"/>
      <c r="E600" s="124"/>
      <c r="F600" s="10">
        <f t="shared" si="30"/>
        <v>0</v>
      </c>
      <c r="G600" s="3"/>
      <c r="H600" s="4"/>
      <c r="I600" s="52"/>
      <c r="J600" s="53"/>
      <c r="K600" s="54"/>
      <c r="L600" s="52"/>
      <c r="M600" s="53"/>
      <c r="N600" s="53"/>
      <c r="O600" s="52"/>
      <c r="P600" s="54"/>
      <c r="Q600" s="52"/>
      <c r="R600" s="53"/>
      <c r="S600" s="57"/>
      <c r="T600" s="60"/>
      <c r="U600" s="61"/>
      <c r="V600" s="56"/>
      <c r="W600" s="54"/>
      <c r="X600" s="54"/>
      <c r="Y600" s="52"/>
      <c r="Z600" s="54"/>
      <c r="AA600" s="55"/>
      <c r="AB600" s="56"/>
      <c r="AC600" s="54"/>
      <c r="AD600" s="6">
        <f t="shared" si="31"/>
        <v>0</v>
      </c>
      <c r="AE600" s="49">
        <v>0</v>
      </c>
      <c r="AF600" s="5" t="s">
        <v>15</v>
      </c>
    </row>
    <row r="601" spans="1:32" ht="15.75" thickBot="1">
      <c r="A601" s="11">
        <v>44425</v>
      </c>
      <c r="B601" s="2">
        <f t="shared" si="29"/>
        <v>0</v>
      </c>
      <c r="C601" s="3"/>
      <c r="D601" s="4"/>
      <c r="E601" s="124"/>
      <c r="F601" s="10">
        <f t="shared" si="30"/>
        <v>0</v>
      </c>
      <c r="G601" s="3"/>
      <c r="H601" s="4"/>
      <c r="I601" s="52"/>
      <c r="J601" s="53"/>
      <c r="K601" s="54"/>
      <c r="L601" s="52"/>
      <c r="M601" s="53"/>
      <c r="N601" s="53"/>
      <c r="O601" s="52"/>
      <c r="P601" s="54"/>
      <c r="Q601" s="52"/>
      <c r="R601" s="53"/>
      <c r="S601" s="57"/>
      <c r="T601" s="52"/>
      <c r="U601" s="54"/>
      <c r="V601" s="56"/>
      <c r="W601" s="54"/>
      <c r="X601" s="54"/>
      <c r="Y601" s="52"/>
      <c r="Z601" s="54"/>
      <c r="AA601" s="55"/>
      <c r="AB601" s="56"/>
      <c r="AC601" s="54"/>
      <c r="AD601" s="6">
        <f t="shared" si="31"/>
        <v>0</v>
      </c>
      <c r="AE601" s="49">
        <v>0</v>
      </c>
      <c r="AF601" s="5" t="s">
        <v>15</v>
      </c>
    </row>
    <row r="602" spans="1:32" ht="15.75" thickBot="1">
      <c r="A602" s="11">
        <v>44426</v>
      </c>
      <c r="B602" s="2">
        <f t="shared" ref="B602:B665" si="32">AE601</f>
        <v>0</v>
      </c>
      <c r="C602" s="3"/>
      <c r="D602" s="4"/>
      <c r="E602" s="124"/>
      <c r="F602" s="10">
        <f t="shared" ref="F602:F665" si="33">C602-D602-E602</f>
        <v>0</v>
      </c>
      <c r="G602" s="3"/>
      <c r="H602" s="4"/>
      <c r="I602" s="52"/>
      <c r="J602" s="53"/>
      <c r="K602" s="54"/>
      <c r="L602" s="52"/>
      <c r="M602" s="53"/>
      <c r="N602" s="53"/>
      <c r="O602" s="52"/>
      <c r="P602" s="54"/>
      <c r="Q602" s="52"/>
      <c r="R602" s="53"/>
      <c r="S602" s="57"/>
      <c r="T602" s="60"/>
      <c r="U602" s="61"/>
      <c r="V602" s="56"/>
      <c r="W602" s="54"/>
      <c r="X602" s="54"/>
      <c r="Y602" s="52"/>
      <c r="Z602" s="54"/>
      <c r="AA602" s="55"/>
      <c r="AB602" s="56"/>
      <c r="AC602" s="54"/>
      <c r="AD602" s="6">
        <f t="shared" ref="AD602:AD665" si="34">B602+F602-I602-L602-V602-G602-Q602-AC602-AE602</f>
        <v>0</v>
      </c>
      <c r="AE602" s="49">
        <v>0</v>
      </c>
      <c r="AF602" s="5" t="s">
        <v>15</v>
      </c>
    </row>
    <row r="603" spans="1:32" ht="15.75" thickBot="1">
      <c r="A603" s="11">
        <v>44427</v>
      </c>
      <c r="B603" s="2">
        <f t="shared" si="32"/>
        <v>0</v>
      </c>
      <c r="C603" s="3"/>
      <c r="D603" s="4"/>
      <c r="E603" s="124"/>
      <c r="F603" s="10">
        <f t="shared" si="33"/>
        <v>0</v>
      </c>
      <c r="G603" s="3"/>
      <c r="H603" s="4"/>
      <c r="I603" s="52"/>
      <c r="J603" s="53"/>
      <c r="K603" s="54"/>
      <c r="L603" s="52"/>
      <c r="M603" s="53"/>
      <c r="N603" s="53"/>
      <c r="O603" s="52"/>
      <c r="P603" s="54"/>
      <c r="Q603" s="52"/>
      <c r="R603" s="53"/>
      <c r="S603" s="57"/>
      <c r="T603" s="60"/>
      <c r="U603" s="61"/>
      <c r="V603" s="56"/>
      <c r="W603" s="54"/>
      <c r="X603" s="54"/>
      <c r="Y603" s="52"/>
      <c r="Z603" s="54"/>
      <c r="AA603" s="55"/>
      <c r="AB603" s="56"/>
      <c r="AC603" s="54"/>
      <c r="AD603" s="6">
        <f t="shared" si="34"/>
        <v>0</v>
      </c>
      <c r="AE603" s="49">
        <v>0</v>
      </c>
      <c r="AF603" s="5" t="s">
        <v>15</v>
      </c>
    </row>
    <row r="604" spans="1:32" ht="15.75" thickBot="1">
      <c r="A604" s="11">
        <v>44428</v>
      </c>
      <c r="B604" s="2">
        <f t="shared" si="32"/>
        <v>0</v>
      </c>
      <c r="C604" s="3"/>
      <c r="D604" s="4"/>
      <c r="E604" s="124"/>
      <c r="F604" s="10">
        <f t="shared" si="33"/>
        <v>0</v>
      </c>
      <c r="G604" s="3"/>
      <c r="H604" s="4"/>
      <c r="I604" s="52"/>
      <c r="J604" s="53"/>
      <c r="K604" s="54"/>
      <c r="L604" s="52"/>
      <c r="M604" s="53"/>
      <c r="N604" s="53"/>
      <c r="O604" s="52"/>
      <c r="P604" s="54"/>
      <c r="Q604" s="52"/>
      <c r="R604" s="53"/>
      <c r="S604" s="57"/>
      <c r="T604" s="60"/>
      <c r="U604" s="61"/>
      <c r="V604" s="56"/>
      <c r="W604" s="54"/>
      <c r="X604" s="54"/>
      <c r="Y604" s="52"/>
      <c r="Z604" s="54"/>
      <c r="AA604" s="55"/>
      <c r="AB604" s="56"/>
      <c r="AC604" s="54"/>
      <c r="AD604" s="6">
        <f t="shared" si="34"/>
        <v>0</v>
      </c>
      <c r="AE604" s="49">
        <v>0</v>
      </c>
      <c r="AF604" s="5" t="s">
        <v>15</v>
      </c>
    </row>
    <row r="605" spans="1:32" ht="15.75" thickBot="1">
      <c r="A605" s="11">
        <v>44429</v>
      </c>
      <c r="B605" s="2">
        <f t="shared" si="32"/>
        <v>0</v>
      </c>
      <c r="C605" s="3"/>
      <c r="D605" s="4"/>
      <c r="E605" s="124"/>
      <c r="F605" s="10">
        <f t="shared" si="33"/>
        <v>0</v>
      </c>
      <c r="G605" s="3"/>
      <c r="H605" s="4"/>
      <c r="I605" s="52"/>
      <c r="J605" s="53"/>
      <c r="K605" s="54"/>
      <c r="L605" s="52"/>
      <c r="M605" s="53"/>
      <c r="N605" s="53"/>
      <c r="O605" s="52"/>
      <c r="P605" s="54"/>
      <c r="Q605" s="52"/>
      <c r="R605" s="53"/>
      <c r="S605" s="57"/>
      <c r="T605" s="60"/>
      <c r="U605" s="61"/>
      <c r="V605" s="56"/>
      <c r="W605" s="54"/>
      <c r="X605" s="54"/>
      <c r="Y605" s="52"/>
      <c r="Z605" s="54"/>
      <c r="AA605" s="55"/>
      <c r="AB605" s="56"/>
      <c r="AC605" s="54"/>
      <c r="AD605" s="6">
        <f t="shared" si="34"/>
        <v>0</v>
      </c>
      <c r="AE605" s="49">
        <v>0</v>
      </c>
      <c r="AF605" s="5" t="s">
        <v>15</v>
      </c>
    </row>
    <row r="606" spans="1:32" ht="15.75" thickBot="1">
      <c r="A606" s="11">
        <v>44430</v>
      </c>
      <c r="B606" s="2">
        <f t="shared" si="32"/>
        <v>0</v>
      </c>
      <c r="C606" s="3"/>
      <c r="D606" s="4"/>
      <c r="E606" s="124"/>
      <c r="F606" s="10">
        <f t="shared" si="33"/>
        <v>0</v>
      </c>
      <c r="G606" s="3"/>
      <c r="H606" s="4"/>
      <c r="I606" s="52"/>
      <c r="J606" s="53"/>
      <c r="K606" s="54"/>
      <c r="L606" s="52"/>
      <c r="M606" s="53"/>
      <c r="N606" s="53"/>
      <c r="O606" s="52"/>
      <c r="P606" s="54"/>
      <c r="Q606" s="52"/>
      <c r="R606" s="53"/>
      <c r="S606" s="57"/>
      <c r="T606" s="60"/>
      <c r="U606" s="61"/>
      <c r="V606" s="56"/>
      <c r="W606" s="54"/>
      <c r="X606" s="54"/>
      <c r="Y606" s="52"/>
      <c r="Z606" s="54"/>
      <c r="AA606" s="55"/>
      <c r="AB606" s="56"/>
      <c r="AC606" s="54"/>
      <c r="AD606" s="6">
        <f t="shared" si="34"/>
        <v>0</v>
      </c>
      <c r="AE606" s="49">
        <v>0</v>
      </c>
      <c r="AF606" s="5" t="s">
        <v>15</v>
      </c>
    </row>
    <row r="607" spans="1:32" ht="15.75" thickBot="1">
      <c r="A607" s="11">
        <v>44431</v>
      </c>
      <c r="B607" s="2">
        <f t="shared" si="32"/>
        <v>0</v>
      </c>
      <c r="C607" s="3"/>
      <c r="D607" s="4"/>
      <c r="E607" s="124"/>
      <c r="F607" s="10">
        <f t="shared" si="33"/>
        <v>0</v>
      </c>
      <c r="G607" s="3"/>
      <c r="H607" s="4"/>
      <c r="I607" s="52"/>
      <c r="J607" s="53"/>
      <c r="K607" s="54"/>
      <c r="L607" s="52"/>
      <c r="M607" s="53"/>
      <c r="N607" s="53"/>
      <c r="O607" s="52"/>
      <c r="P607" s="54"/>
      <c r="Q607" s="52"/>
      <c r="R607" s="53"/>
      <c r="S607" s="57"/>
      <c r="T607" s="60"/>
      <c r="U607" s="61"/>
      <c r="V607" s="56"/>
      <c r="W607" s="54"/>
      <c r="X607" s="54"/>
      <c r="Y607" s="52"/>
      <c r="Z607" s="54"/>
      <c r="AA607" s="55"/>
      <c r="AB607" s="56"/>
      <c r="AC607" s="54"/>
      <c r="AD607" s="6">
        <f t="shared" si="34"/>
        <v>0</v>
      </c>
      <c r="AE607" s="49">
        <v>0</v>
      </c>
      <c r="AF607" s="5" t="s">
        <v>15</v>
      </c>
    </row>
    <row r="608" spans="1:32" ht="15.75" thickBot="1">
      <c r="A608" s="11">
        <v>44432</v>
      </c>
      <c r="B608" s="2">
        <f t="shared" si="32"/>
        <v>0</v>
      </c>
      <c r="C608" s="3"/>
      <c r="D608" s="4"/>
      <c r="E608" s="124"/>
      <c r="F608" s="10">
        <f t="shared" si="33"/>
        <v>0</v>
      </c>
      <c r="G608" s="3"/>
      <c r="H608" s="4"/>
      <c r="I608" s="52"/>
      <c r="J608" s="53"/>
      <c r="K608" s="54"/>
      <c r="L608" s="52"/>
      <c r="M608" s="53"/>
      <c r="N608" s="53"/>
      <c r="O608" s="52"/>
      <c r="P608" s="54"/>
      <c r="Q608" s="52"/>
      <c r="R608" s="53"/>
      <c r="S608" s="57"/>
      <c r="T608" s="60"/>
      <c r="U608" s="61"/>
      <c r="V608" s="56"/>
      <c r="W608" s="54"/>
      <c r="X608" s="54"/>
      <c r="Y608" s="52"/>
      <c r="Z608" s="54"/>
      <c r="AA608" s="55"/>
      <c r="AB608" s="56"/>
      <c r="AC608" s="54"/>
      <c r="AD608" s="6">
        <f t="shared" si="34"/>
        <v>0</v>
      </c>
      <c r="AE608" s="49">
        <v>0</v>
      </c>
      <c r="AF608" s="5" t="s">
        <v>15</v>
      </c>
    </row>
    <row r="609" spans="1:32" ht="15.75" thickBot="1">
      <c r="A609" s="11">
        <v>44433</v>
      </c>
      <c r="B609" s="2">
        <f t="shared" si="32"/>
        <v>0</v>
      </c>
      <c r="C609" s="3"/>
      <c r="D609" s="4"/>
      <c r="E609" s="124"/>
      <c r="F609" s="10">
        <f t="shared" si="33"/>
        <v>0</v>
      </c>
      <c r="G609" s="3"/>
      <c r="H609" s="4"/>
      <c r="I609" s="52"/>
      <c r="J609" s="53"/>
      <c r="K609" s="54"/>
      <c r="L609" s="52"/>
      <c r="M609" s="53"/>
      <c r="N609" s="53"/>
      <c r="O609" s="52"/>
      <c r="P609" s="54"/>
      <c r="Q609" s="52"/>
      <c r="R609" s="53"/>
      <c r="S609" s="57"/>
      <c r="T609" s="52"/>
      <c r="U609" s="54"/>
      <c r="V609" s="56"/>
      <c r="W609" s="54"/>
      <c r="X609" s="54"/>
      <c r="Y609" s="52"/>
      <c r="Z609" s="54"/>
      <c r="AA609" s="55"/>
      <c r="AB609" s="56"/>
      <c r="AC609" s="54"/>
      <c r="AD609" s="6">
        <f t="shared" si="34"/>
        <v>0</v>
      </c>
      <c r="AE609" s="49">
        <v>0</v>
      </c>
      <c r="AF609" s="5" t="s">
        <v>15</v>
      </c>
    </row>
    <row r="610" spans="1:32" ht="15.75" thickBot="1">
      <c r="A610" s="11">
        <v>44434</v>
      </c>
      <c r="B610" s="2">
        <f t="shared" si="32"/>
        <v>0</v>
      </c>
      <c r="C610" s="3"/>
      <c r="D610" s="4"/>
      <c r="E610" s="124"/>
      <c r="F610" s="10">
        <f t="shared" si="33"/>
        <v>0</v>
      </c>
      <c r="G610" s="3"/>
      <c r="H610" s="4"/>
      <c r="I610" s="52"/>
      <c r="J610" s="53"/>
      <c r="K610" s="54"/>
      <c r="L610" s="52"/>
      <c r="M610" s="53"/>
      <c r="N610" s="53"/>
      <c r="O610" s="52"/>
      <c r="P610" s="54"/>
      <c r="Q610" s="52"/>
      <c r="R610" s="53"/>
      <c r="S610" s="57"/>
      <c r="T610" s="60"/>
      <c r="U610" s="61"/>
      <c r="V610" s="56"/>
      <c r="W610" s="54"/>
      <c r="X610" s="54"/>
      <c r="Y610" s="52"/>
      <c r="Z610" s="54"/>
      <c r="AA610" s="55"/>
      <c r="AB610" s="56"/>
      <c r="AC610" s="54"/>
      <c r="AD610" s="6">
        <f t="shared" si="34"/>
        <v>0</v>
      </c>
      <c r="AE610" s="49">
        <v>0</v>
      </c>
      <c r="AF610" s="5" t="s">
        <v>15</v>
      </c>
    </row>
    <row r="611" spans="1:32" ht="15.75" thickBot="1">
      <c r="A611" s="11">
        <v>44435</v>
      </c>
      <c r="B611" s="2">
        <f t="shared" si="32"/>
        <v>0</v>
      </c>
      <c r="C611" s="3"/>
      <c r="D611" s="4"/>
      <c r="E611" s="124"/>
      <c r="F611" s="10">
        <f t="shared" si="33"/>
        <v>0</v>
      </c>
      <c r="G611" s="3"/>
      <c r="H611" s="4"/>
      <c r="I611" s="52"/>
      <c r="J611" s="53"/>
      <c r="K611" s="54"/>
      <c r="L611" s="52"/>
      <c r="M611" s="53"/>
      <c r="N611" s="53"/>
      <c r="O611" s="52"/>
      <c r="P611" s="54"/>
      <c r="Q611" s="52"/>
      <c r="R611" s="53"/>
      <c r="S611" s="57"/>
      <c r="T611" s="60"/>
      <c r="U611" s="61"/>
      <c r="V611" s="56"/>
      <c r="W611" s="54"/>
      <c r="X611" s="54"/>
      <c r="Y611" s="52"/>
      <c r="Z611" s="54"/>
      <c r="AA611" s="55"/>
      <c r="AB611" s="56"/>
      <c r="AC611" s="54"/>
      <c r="AD611" s="6">
        <f t="shared" si="34"/>
        <v>0</v>
      </c>
      <c r="AE611" s="49">
        <v>0</v>
      </c>
      <c r="AF611" s="5" t="s">
        <v>15</v>
      </c>
    </row>
    <row r="612" spans="1:32" ht="15.75" thickBot="1">
      <c r="A612" s="11">
        <v>44436</v>
      </c>
      <c r="B612" s="2">
        <f t="shared" si="32"/>
        <v>0</v>
      </c>
      <c r="C612" s="3"/>
      <c r="D612" s="4"/>
      <c r="E612" s="124"/>
      <c r="F612" s="10">
        <f t="shared" si="33"/>
        <v>0</v>
      </c>
      <c r="G612" s="3"/>
      <c r="H612" s="4"/>
      <c r="I612" s="52"/>
      <c r="J612" s="53"/>
      <c r="K612" s="54"/>
      <c r="L612" s="52"/>
      <c r="M612" s="53"/>
      <c r="N612" s="53"/>
      <c r="O612" s="52"/>
      <c r="P612" s="54"/>
      <c r="Q612" s="52"/>
      <c r="R612" s="53"/>
      <c r="S612" s="57"/>
      <c r="T612" s="60"/>
      <c r="U612" s="61"/>
      <c r="V612" s="56"/>
      <c r="W612" s="54"/>
      <c r="X612" s="54"/>
      <c r="Y612" s="52"/>
      <c r="Z612" s="54"/>
      <c r="AA612" s="55"/>
      <c r="AB612" s="56"/>
      <c r="AC612" s="54"/>
      <c r="AD612" s="6">
        <f t="shared" si="34"/>
        <v>0</v>
      </c>
      <c r="AE612" s="49">
        <v>0</v>
      </c>
      <c r="AF612" s="5" t="s">
        <v>15</v>
      </c>
    </row>
    <row r="613" spans="1:32" ht="15.75" thickBot="1">
      <c r="A613" s="11">
        <v>44437</v>
      </c>
      <c r="B613" s="2">
        <f t="shared" si="32"/>
        <v>0</v>
      </c>
      <c r="C613" s="3"/>
      <c r="D613" s="4"/>
      <c r="E613" s="124"/>
      <c r="F613" s="10">
        <f t="shared" si="33"/>
        <v>0</v>
      </c>
      <c r="G613" s="3"/>
      <c r="H613" s="4"/>
      <c r="I613" s="52"/>
      <c r="J613" s="53"/>
      <c r="K613" s="54"/>
      <c r="L613" s="52"/>
      <c r="M613" s="53"/>
      <c r="N613" s="53"/>
      <c r="O613" s="52"/>
      <c r="P613" s="54"/>
      <c r="Q613" s="52"/>
      <c r="R613" s="53"/>
      <c r="S613" s="57"/>
      <c r="T613" s="60"/>
      <c r="U613" s="61"/>
      <c r="V613" s="56"/>
      <c r="W613" s="54"/>
      <c r="X613" s="54"/>
      <c r="Y613" s="52"/>
      <c r="Z613" s="54"/>
      <c r="AA613" s="55"/>
      <c r="AB613" s="56"/>
      <c r="AC613" s="54"/>
      <c r="AD613" s="6">
        <f t="shared" si="34"/>
        <v>0</v>
      </c>
      <c r="AE613" s="49">
        <v>0</v>
      </c>
      <c r="AF613" s="5" t="s">
        <v>15</v>
      </c>
    </row>
    <row r="614" spans="1:32" ht="15.75" thickBot="1">
      <c r="A614" s="11">
        <v>44438</v>
      </c>
      <c r="B614" s="2">
        <f t="shared" si="32"/>
        <v>0</v>
      </c>
      <c r="C614" s="3"/>
      <c r="D614" s="4"/>
      <c r="E614" s="124"/>
      <c r="F614" s="10">
        <f t="shared" si="33"/>
        <v>0</v>
      </c>
      <c r="G614" s="3"/>
      <c r="H614" s="4"/>
      <c r="I614" s="52"/>
      <c r="J614" s="53"/>
      <c r="K614" s="54"/>
      <c r="L614" s="52"/>
      <c r="M614" s="53"/>
      <c r="N614" s="53"/>
      <c r="O614" s="52"/>
      <c r="P614" s="54"/>
      <c r="Q614" s="52"/>
      <c r="R614" s="53"/>
      <c r="S614" s="57"/>
      <c r="T614" s="60"/>
      <c r="U614" s="61"/>
      <c r="V614" s="56"/>
      <c r="W614" s="54"/>
      <c r="X614" s="54"/>
      <c r="Y614" s="52"/>
      <c r="Z614" s="54"/>
      <c r="AA614" s="55"/>
      <c r="AB614" s="56"/>
      <c r="AC614" s="54"/>
      <c r="AD614" s="6">
        <f t="shared" si="34"/>
        <v>0</v>
      </c>
      <c r="AE614" s="49">
        <v>0</v>
      </c>
      <c r="AF614" s="5" t="s">
        <v>15</v>
      </c>
    </row>
    <row r="615" spans="1:32" ht="15.75" thickBot="1">
      <c r="A615" s="11">
        <v>44439</v>
      </c>
      <c r="B615" s="2">
        <f t="shared" si="32"/>
        <v>0</v>
      </c>
      <c r="C615" s="3"/>
      <c r="D615" s="4"/>
      <c r="E615" s="124"/>
      <c r="F615" s="10">
        <f t="shared" si="33"/>
        <v>0</v>
      </c>
      <c r="G615" s="3"/>
      <c r="H615" s="4"/>
      <c r="I615" s="52"/>
      <c r="J615" s="53"/>
      <c r="K615" s="54"/>
      <c r="L615" s="52"/>
      <c r="M615" s="53"/>
      <c r="N615" s="53"/>
      <c r="O615" s="52"/>
      <c r="P615" s="54"/>
      <c r="Q615" s="52"/>
      <c r="R615" s="53"/>
      <c r="S615" s="57"/>
      <c r="T615" s="60"/>
      <c r="U615" s="61"/>
      <c r="V615" s="56"/>
      <c r="W615" s="54"/>
      <c r="X615" s="54"/>
      <c r="Y615" s="52"/>
      <c r="Z615" s="54"/>
      <c r="AA615" s="55"/>
      <c r="AB615" s="56"/>
      <c r="AC615" s="54"/>
      <c r="AD615" s="6">
        <f t="shared" si="34"/>
        <v>0</v>
      </c>
      <c r="AE615" s="49">
        <v>0</v>
      </c>
      <c r="AF615" s="5" t="s">
        <v>15</v>
      </c>
    </row>
    <row r="616" spans="1:32" ht="15.75" thickBot="1">
      <c r="A616" s="11">
        <v>44440</v>
      </c>
      <c r="B616" s="2">
        <f t="shared" si="32"/>
        <v>0</v>
      </c>
      <c r="C616" s="3"/>
      <c r="D616" s="4"/>
      <c r="E616" s="124"/>
      <c r="F616" s="10">
        <f t="shared" si="33"/>
        <v>0</v>
      </c>
      <c r="G616" s="3"/>
      <c r="H616" s="4"/>
      <c r="I616" s="52"/>
      <c r="J616" s="53"/>
      <c r="K616" s="54"/>
      <c r="L616" s="52"/>
      <c r="M616" s="53"/>
      <c r="N616" s="53"/>
      <c r="O616" s="52"/>
      <c r="P616" s="54"/>
      <c r="Q616" s="52"/>
      <c r="R616" s="53"/>
      <c r="S616" s="57"/>
      <c r="T616" s="60"/>
      <c r="U616" s="61"/>
      <c r="V616" s="56"/>
      <c r="W616" s="54"/>
      <c r="X616" s="54"/>
      <c r="Y616" s="52"/>
      <c r="Z616" s="54"/>
      <c r="AA616" s="55"/>
      <c r="AB616" s="56"/>
      <c r="AC616" s="54"/>
      <c r="AD616" s="6">
        <f t="shared" si="34"/>
        <v>0</v>
      </c>
      <c r="AE616" s="49">
        <v>0</v>
      </c>
      <c r="AF616" s="5" t="s">
        <v>15</v>
      </c>
    </row>
    <row r="617" spans="1:32" ht="15.75" thickBot="1">
      <c r="A617" s="11">
        <v>44441</v>
      </c>
      <c r="B617" s="2">
        <f t="shared" si="32"/>
        <v>0</v>
      </c>
      <c r="C617" s="3"/>
      <c r="D617" s="4"/>
      <c r="E617" s="124"/>
      <c r="F617" s="10">
        <f t="shared" si="33"/>
        <v>0</v>
      </c>
      <c r="G617" s="3"/>
      <c r="H617" s="4"/>
      <c r="I617" s="52"/>
      <c r="J617" s="53"/>
      <c r="K617" s="54"/>
      <c r="L617" s="52"/>
      <c r="M617" s="53"/>
      <c r="N617" s="53"/>
      <c r="O617" s="52"/>
      <c r="P617" s="54"/>
      <c r="Q617" s="52"/>
      <c r="R617" s="53"/>
      <c r="S617" s="57"/>
      <c r="T617" s="52"/>
      <c r="U617" s="54"/>
      <c r="V617" s="56"/>
      <c r="W617" s="54"/>
      <c r="X617" s="54"/>
      <c r="Y617" s="52"/>
      <c r="Z617" s="54"/>
      <c r="AA617" s="55"/>
      <c r="AB617" s="56"/>
      <c r="AC617" s="54"/>
      <c r="AD617" s="6">
        <f t="shared" si="34"/>
        <v>0</v>
      </c>
      <c r="AE617" s="49">
        <v>0</v>
      </c>
      <c r="AF617" s="5" t="s">
        <v>15</v>
      </c>
    </row>
    <row r="618" spans="1:32" ht="15.75" thickBot="1">
      <c r="A618" s="11">
        <v>44442</v>
      </c>
      <c r="B618" s="2">
        <f t="shared" si="32"/>
        <v>0</v>
      </c>
      <c r="C618" s="3"/>
      <c r="D618" s="4"/>
      <c r="E618" s="124"/>
      <c r="F618" s="10">
        <f t="shared" si="33"/>
        <v>0</v>
      </c>
      <c r="G618" s="3"/>
      <c r="H618" s="4"/>
      <c r="I618" s="52"/>
      <c r="J618" s="53"/>
      <c r="K618" s="54"/>
      <c r="L618" s="52"/>
      <c r="M618" s="53"/>
      <c r="N618" s="53"/>
      <c r="O618" s="52"/>
      <c r="P618" s="54"/>
      <c r="Q618" s="52"/>
      <c r="R618" s="53"/>
      <c r="S618" s="57"/>
      <c r="T618" s="60"/>
      <c r="U618" s="61"/>
      <c r="V618" s="56"/>
      <c r="W618" s="54"/>
      <c r="X618" s="54"/>
      <c r="Y618" s="52"/>
      <c r="Z618" s="54"/>
      <c r="AA618" s="55"/>
      <c r="AB618" s="56"/>
      <c r="AC618" s="54"/>
      <c r="AD618" s="6">
        <f t="shared" si="34"/>
        <v>0</v>
      </c>
      <c r="AE618" s="49">
        <v>0</v>
      </c>
      <c r="AF618" s="5" t="s">
        <v>15</v>
      </c>
    </row>
    <row r="619" spans="1:32" ht="15.75" thickBot="1">
      <c r="A619" s="11">
        <v>44443</v>
      </c>
      <c r="B619" s="2">
        <f t="shared" si="32"/>
        <v>0</v>
      </c>
      <c r="C619" s="3"/>
      <c r="D619" s="4"/>
      <c r="E619" s="124"/>
      <c r="F619" s="10">
        <f t="shared" si="33"/>
        <v>0</v>
      </c>
      <c r="G619" s="3"/>
      <c r="H619" s="4"/>
      <c r="I619" s="52"/>
      <c r="J619" s="53"/>
      <c r="K619" s="54"/>
      <c r="L619" s="52"/>
      <c r="M619" s="53"/>
      <c r="N619" s="53"/>
      <c r="O619" s="52"/>
      <c r="P619" s="54"/>
      <c r="Q619" s="52"/>
      <c r="R619" s="53"/>
      <c r="S619" s="57"/>
      <c r="T619" s="60"/>
      <c r="U619" s="61"/>
      <c r="V619" s="56"/>
      <c r="W619" s="54"/>
      <c r="X619" s="54"/>
      <c r="Y619" s="52"/>
      <c r="Z619" s="54"/>
      <c r="AA619" s="55"/>
      <c r="AB619" s="56"/>
      <c r="AC619" s="54"/>
      <c r="AD619" s="6">
        <f t="shared" si="34"/>
        <v>0</v>
      </c>
      <c r="AE619" s="49">
        <v>0</v>
      </c>
      <c r="AF619" s="5" t="s">
        <v>15</v>
      </c>
    </row>
    <row r="620" spans="1:32" ht="15.75" thickBot="1">
      <c r="A620" s="11">
        <v>44444</v>
      </c>
      <c r="B620" s="2">
        <f t="shared" si="32"/>
        <v>0</v>
      </c>
      <c r="C620" s="3"/>
      <c r="D620" s="4"/>
      <c r="E620" s="124"/>
      <c r="F620" s="10">
        <f t="shared" si="33"/>
        <v>0</v>
      </c>
      <c r="G620" s="3"/>
      <c r="H620" s="4"/>
      <c r="I620" s="52"/>
      <c r="J620" s="53"/>
      <c r="K620" s="54"/>
      <c r="L620" s="52"/>
      <c r="M620" s="53"/>
      <c r="N620" s="53"/>
      <c r="O620" s="52"/>
      <c r="P620" s="54"/>
      <c r="Q620" s="52"/>
      <c r="R620" s="53"/>
      <c r="S620" s="57"/>
      <c r="T620" s="60"/>
      <c r="U620" s="61"/>
      <c r="V620" s="56"/>
      <c r="W620" s="54"/>
      <c r="X620" s="54"/>
      <c r="Y620" s="52"/>
      <c r="Z620" s="54"/>
      <c r="AA620" s="55"/>
      <c r="AB620" s="56"/>
      <c r="AC620" s="54"/>
      <c r="AD620" s="6">
        <f t="shared" si="34"/>
        <v>0</v>
      </c>
      <c r="AE620" s="49">
        <v>0</v>
      </c>
      <c r="AF620" s="5" t="s">
        <v>15</v>
      </c>
    </row>
    <row r="621" spans="1:32" ht="15.75" thickBot="1">
      <c r="A621" s="11">
        <v>44445</v>
      </c>
      <c r="B621" s="2">
        <f t="shared" si="32"/>
        <v>0</v>
      </c>
      <c r="C621" s="3"/>
      <c r="D621" s="4"/>
      <c r="E621" s="124"/>
      <c r="F621" s="10">
        <f t="shared" si="33"/>
        <v>0</v>
      </c>
      <c r="G621" s="3"/>
      <c r="H621" s="4"/>
      <c r="I621" s="52"/>
      <c r="J621" s="53"/>
      <c r="K621" s="54"/>
      <c r="L621" s="52"/>
      <c r="M621" s="53"/>
      <c r="N621" s="53"/>
      <c r="O621" s="52"/>
      <c r="P621" s="54"/>
      <c r="Q621" s="52"/>
      <c r="R621" s="53"/>
      <c r="S621" s="57"/>
      <c r="T621" s="60"/>
      <c r="U621" s="61"/>
      <c r="V621" s="56"/>
      <c r="W621" s="54"/>
      <c r="X621" s="54"/>
      <c r="Y621" s="52"/>
      <c r="Z621" s="54"/>
      <c r="AA621" s="55"/>
      <c r="AB621" s="56"/>
      <c r="AC621" s="54"/>
      <c r="AD621" s="6">
        <f t="shared" si="34"/>
        <v>0</v>
      </c>
      <c r="AE621" s="49">
        <v>0</v>
      </c>
      <c r="AF621" s="5" t="s">
        <v>15</v>
      </c>
    </row>
    <row r="622" spans="1:32" ht="15.75" thickBot="1">
      <c r="A622" s="11">
        <v>44446</v>
      </c>
      <c r="B622" s="2">
        <f t="shared" si="32"/>
        <v>0</v>
      </c>
      <c r="C622" s="3"/>
      <c r="D622" s="4"/>
      <c r="E622" s="124"/>
      <c r="F622" s="10">
        <f t="shared" si="33"/>
        <v>0</v>
      </c>
      <c r="G622" s="3"/>
      <c r="H622" s="4"/>
      <c r="I622" s="52"/>
      <c r="J622" s="53"/>
      <c r="K622" s="54"/>
      <c r="L622" s="52"/>
      <c r="M622" s="53"/>
      <c r="N622" s="53"/>
      <c r="O622" s="52"/>
      <c r="P622" s="54"/>
      <c r="Q622" s="52"/>
      <c r="R622" s="53"/>
      <c r="S622" s="57"/>
      <c r="T622" s="60"/>
      <c r="U622" s="61"/>
      <c r="V622" s="56"/>
      <c r="W622" s="54"/>
      <c r="X622" s="54"/>
      <c r="Y622" s="52"/>
      <c r="Z622" s="54"/>
      <c r="AA622" s="55"/>
      <c r="AB622" s="56"/>
      <c r="AC622" s="54"/>
      <c r="AD622" s="6">
        <f t="shared" si="34"/>
        <v>0</v>
      </c>
      <c r="AE622" s="49">
        <v>0</v>
      </c>
      <c r="AF622" s="5" t="s">
        <v>15</v>
      </c>
    </row>
    <row r="623" spans="1:32" ht="15.75" thickBot="1">
      <c r="A623" s="11">
        <v>44447</v>
      </c>
      <c r="B623" s="2">
        <f t="shared" si="32"/>
        <v>0</v>
      </c>
      <c r="C623" s="3"/>
      <c r="D623" s="4"/>
      <c r="E623" s="124"/>
      <c r="F623" s="10">
        <f t="shared" si="33"/>
        <v>0</v>
      </c>
      <c r="G623" s="3"/>
      <c r="H623" s="4"/>
      <c r="I623" s="52"/>
      <c r="J623" s="53"/>
      <c r="K623" s="54"/>
      <c r="L623" s="52"/>
      <c r="M623" s="53"/>
      <c r="N623" s="53"/>
      <c r="O623" s="52"/>
      <c r="P623" s="54"/>
      <c r="Q623" s="52"/>
      <c r="R623" s="53"/>
      <c r="S623" s="57"/>
      <c r="T623" s="60"/>
      <c r="U623" s="61"/>
      <c r="V623" s="56"/>
      <c r="W623" s="54"/>
      <c r="X623" s="54"/>
      <c r="Y623" s="52"/>
      <c r="Z623" s="54"/>
      <c r="AA623" s="55"/>
      <c r="AB623" s="56"/>
      <c r="AC623" s="54"/>
      <c r="AD623" s="6">
        <f t="shared" si="34"/>
        <v>0</v>
      </c>
      <c r="AE623" s="49">
        <v>0</v>
      </c>
      <c r="AF623" s="5" t="s">
        <v>15</v>
      </c>
    </row>
    <row r="624" spans="1:32" ht="15.75" thickBot="1">
      <c r="A624" s="11">
        <v>44448</v>
      </c>
      <c r="B624" s="2">
        <f t="shared" si="32"/>
        <v>0</v>
      </c>
      <c r="C624" s="3"/>
      <c r="D624" s="4"/>
      <c r="E624" s="124"/>
      <c r="F624" s="10">
        <f t="shared" si="33"/>
        <v>0</v>
      </c>
      <c r="G624" s="3"/>
      <c r="H624" s="4"/>
      <c r="I624" s="52"/>
      <c r="J624" s="53"/>
      <c r="K624" s="54"/>
      <c r="L624" s="52"/>
      <c r="M624" s="53"/>
      <c r="N624" s="53"/>
      <c r="O624" s="52"/>
      <c r="P624" s="54"/>
      <c r="Q624" s="52"/>
      <c r="R624" s="53"/>
      <c r="S624" s="57"/>
      <c r="T624" s="60"/>
      <c r="U624" s="61"/>
      <c r="V624" s="56"/>
      <c r="W624" s="54"/>
      <c r="X624" s="54"/>
      <c r="Y624" s="52"/>
      <c r="Z624" s="54"/>
      <c r="AA624" s="55"/>
      <c r="AB624" s="56"/>
      <c r="AC624" s="54"/>
      <c r="AD624" s="6">
        <f t="shared" si="34"/>
        <v>0</v>
      </c>
      <c r="AE624" s="49">
        <v>0</v>
      </c>
      <c r="AF624" s="5" t="s">
        <v>15</v>
      </c>
    </row>
    <row r="625" spans="1:32" ht="15.75" thickBot="1">
      <c r="A625" s="11">
        <v>44449</v>
      </c>
      <c r="B625" s="2">
        <f t="shared" si="32"/>
        <v>0</v>
      </c>
      <c r="C625" s="3"/>
      <c r="D625" s="4"/>
      <c r="E625" s="124"/>
      <c r="F625" s="10">
        <f t="shared" si="33"/>
        <v>0</v>
      </c>
      <c r="G625" s="3"/>
      <c r="H625" s="4"/>
      <c r="I625" s="52"/>
      <c r="J625" s="53"/>
      <c r="K625" s="54"/>
      <c r="L625" s="52"/>
      <c r="M625" s="53"/>
      <c r="N625" s="53"/>
      <c r="O625" s="52"/>
      <c r="P625" s="54"/>
      <c r="Q625" s="52"/>
      <c r="R625" s="53"/>
      <c r="S625" s="57"/>
      <c r="T625" s="52"/>
      <c r="U625" s="54"/>
      <c r="V625" s="56"/>
      <c r="W625" s="54"/>
      <c r="X625" s="54"/>
      <c r="Y625" s="52"/>
      <c r="Z625" s="54"/>
      <c r="AA625" s="55"/>
      <c r="AB625" s="56"/>
      <c r="AC625" s="54"/>
      <c r="AD625" s="6">
        <f t="shared" si="34"/>
        <v>0</v>
      </c>
      <c r="AE625" s="49">
        <v>0</v>
      </c>
      <c r="AF625" s="5" t="s">
        <v>15</v>
      </c>
    </row>
    <row r="626" spans="1:32" ht="15.75" thickBot="1">
      <c r="A626" s="11">
        <v>44450</v>
      </c>
      <c r="B626" s="2">
        <f t="shared" si="32"/>
        <v>0</v>
      </c>
      <c r="C626" s="3"/>
      <c r="D626" s="4"/>
      <c r="E626" s="124"/>
      <c r="F626" s="10">
        <f t="shared" si="33"/>
        <v>0</v>
      </c>
      <c r="G626" s="3"/>
      <c r="H626" s="4"/>
      <c r="I626" s="52"/>
      <c r="J626" s="53"/>
      <c r="K626" s="54"/>
      <c r="L626" s="52"/>
      <c r="M626" s="53"/>
      <c r="N626" s="53"/>
      <c r="O626" s="52"/>
      <c r="P626" s="54"/>
      <c r="Q626" s="52"/>
      <c r="R626" s="53"/>
      <c r="S626" s="57"/>
      <c r="T626" s="60"/>
      <c r="U626" s="61"/>
      <c r="V626" s="56"/>
      <c r="W626" s="54"/>
      <c r="X626" s="54"/>
      <c r="Y626" s="52"/>
      <c r="Z626" s="54"/>
      <c r="AA626" s="55"/>
      <c r="AB626" s="56"/>
      <c r="AC626" s="54"/>
      <c r="AD626" s="6">
        <f t="shared" si="34"/>
        <v>0</v>
      </c>
      <c r="AE626" s="49">
        <v>0</v>
      </c>
      <c r="AF626" s="5" t="s">
        <v>15</v>
      </c>
    </row>
    <row r="627" spans="1:32" ht="15.75" thickBot="1">
      <c r="A627" s="11">
        <v>44451</v>
      </c>
      <c r="B627" s="2">
        <f t="shared" si="32"/>
        <v>0</v>
      </c>
      <c r="C627" s="3"/>
      <c r="D627" s="4"/>
      <c r="E627" s="124"/>
      <c r="F627" s="10">
        <f t="shared" si="33"/>
        <v>0</v>
      </c>
      <c r="G627" s="3"/>
      <c r="H627" s="4"/>
      <c r="I627" s="52"/>
      <c r="J627" s="53"/>
      <c r="K627" s="54"/>
      <c r="L627" s="52"/>
      <c r="M627" s="53"/>
      <c r="N627" s="53"/>
      <c r="O627" s="52"/>
      <c r="P627" s="54"/>
      <c r="Q627" s="52"/>
      <c r="R627" s="53"/>
      <c r="S627" s="57"/>
      <c r="T627" s="60"/>
      <c r="U627" s="61"/>
      <c r="V627" s="56"/>
      <c r="W627" s="54"/>
      <c r="X627" s="54"/>
      <c r="Y627" s="52"/>
      <c r="Z627" s="54"/>
      <c r="AA627" s="55"/>
      <c r="AB627" s="56"/>
      <c r="AC627" s="54"/>
      <c r="AD627" s="6">
        <f t="shared" si="34"/>
        <v>0</v>
      </c>
      <c r="AE627" s="49">
        <v>0</v>
      </c>
      <c r="AF627" s="5" t="s">
        <v>15</v>
      </c>
    </row>
    <row r="628" spans="1:32" ht="15.75" thickBot="1">
      <c r="A628" s="11">
        <v>44452</v>
      </c>
      <c r="B628" s="2">
        <f t="shared" si="32"/>
        <v>0</v>
      </c>
      <c r="C628" s="3"/>
      <c r="D628" s="4"/>
      <c r="E628" s="124"/>
      <c r="F628" s="10">
        <f t="shared" si="33"/>
        <v>0</v>
      </c>
      <c r="G628" s="3"/>
      <c r="H628" s="4"/>
      <c r="I628" s="52"/>
      <c r="J628" s="53"/>
      <c r="K628" s="54"/>
      <c r="L628" s="52"/>
      <c r="M628" s="53"/>
      <c r="N628" s="53"/>
      <c r="O628" s="52"/>
      <c r="P628" s="54"/>
      <c r="Q628" s="52"/>
      <c r="R628" s="53"/>
      <c r="S628" s="57"/>
      <c r="T628" s="60"/>
      <c r="U628" s="61"/>
      <c r="V628" s="56"/>
      <c r="W628" s="54"/>
      <c r="X628" s="54"/>
      <c r="Y628" s="52"/>
      <c r="Z628" s="54"/>
      <c r="AA628" s="55"/>
      <c r="AB628" s="56"/>
      <c r="AC628" s="54"/>
      <c r="AD628" s="6">
        <f t="shared" si="34"/>
        <v>0</v>
      </c>
      <c r="AE628" s="49">
        <v>0</v>
      </c>
      <c r="AF628" s="5" t="s">
        <v>15</v>
      </c>
    </row>
    <row r="629" spans="1:32" ht="15.75" thickBot="1">
      <c r="A629" s="11">
        <v>44453</v>
      </c>
      <c r="B629" s="2">
        <f t="shared" si="32"/>
        <v>0</v>
      </c>
      <c r="C629" s="3"/>
      <c r="D629" s="4"/>
      <c r="E629" s="124"/>
      <c r="F629" s="10">
        <f t="shared" si="33"/>
        <v>0</v>
      </c>
      <c r="G629" s="3"/>
      <c r="H629" s="4"/>
      <c r="I629" s="52"/>
      <c r="J629" s="53"/>
      <c r="K629" s="54"/>
      <c r="L629" s="52"/>
      <c r="M629" s="53"/>
      <c r="N629" s="53"/>
      <c r="O629" s="52"/>
      <c r="P629" s="54"/>
      <c r="Q629" s="52"/>
      <c r="R629" s="53"/>
      <c r="S629" s="57"/>
      <c r="T629" s="60"/>
      <c r="U629" s="61"/>
      <c r="V629" s="56"/>
      <c r="W629" s="54"/>
      <c r="X629" s="54"/>
      <c r="Y629" s="52"/>
      <c r="Z629" s="54"/>
      <c r="AA629" s="55"/>
      <c r="AB629" s="56"/>
      <c r="AC629" s="54"/>
      <c r="AD629" s="6">
        <f t="shared" si="34"/>
        <v>0</v>
      </c>
      <c r="AE629" s="49">
        <v>0</v>
      </c>
      <c r="AF629" s="5" t="s">
        <v>15</v>
      </c>
    </row>
    <row r="630" spans="1:32" ht="15.75" thickBot="1">
      <c r="A630" s="11">
        <v>44454</v>
      </c>
      <c r="B630" s="2">
        <f t="shared" si="32"/>
        <v>0</v>
      </c>
      <c r="C630" s="3"/>
      <c r="D630" s="4"/>
      <c r="E630" s="124"/>
      <c r="F630" s="10">
        <f t="shared" si="33"/>
        <v>0</v>
      </c>
      <c r="G630" s="3"/>
      <c r="H630" s="4"/>
      <c r="I630" s="52"/>
      <c r="J630" s="53"/>
      <c r="K630" s="54"/>
      <c r="L630" s="52"/>
      <c r="M630" s="53"/>
      <c r="N630" s="53"/>
      <c r="O630" s="52"/>
      <c r="P630" s="54"/>
      <c r="Q630" s="52"/>
      <c r="R630" s="53"/>
      <c r="S630" s="57"/>
      <c r="T630" s="60"/>
      <c r="U630" s="61"/>
      <c r="V630" s="56"/>
      <c r="W630" s="54"/>
      <c r="X630" s="54"/>
      <c r="Y630" s="52"/>
      <c r="Z630" s="54"/>
      <c r="AA630" s="55"/>
      <c r="AB630" s="56"/>
      <c r="AC630" s="54"/>
      <c r="AD630" s="6">
        <f t="shared" si="34"/>
        <v>0</v>
      </c>
      <c r="AE630" s="49">
        <v>0</v>
      </c>
      <c r="AF630" s="5" t="s">
        <v>15</v>
      </c>
    </row>
    <row r="631" spans="1:32" ht="15.75" thickBot="1">
      <c r="A631" s="11">
        <v>44455</v>
      </c>
      <c r="B631" s="2">
        <f t="shared" si="32"/>
        <v>0</v>
      </c>
      <c r="C631" s="3"/>
      <c r="D631" s="4"/>
      <c r="E631" s="124"/>
      <c r="F631" s="10">
        <f t="shared" si="33"/>
        <v>0</v>
      </c>
      <c r="G631" s="3"/>
      <c r="H631" s="4"/>
      <c r="I631" s="52"/>
      <c r="J631" s="53"/>
      <c r="K631" s="54"/>
      <c r="L631" s="52"/>
      <c r="M631" s="53"/>
      <c r="N631" s="53"/>
      <c r="O631" s="52"/>
      <c r="P631" s="54"/>
      <c r="Q631" s="52"/>
      <c r="R631" s="53"/>
      <c r="S631" s="57"/>
      <c r="T631" s="60"/>
      <c r="U631" s="61"/>
      <c r="V631" s="56"/>
      <c r="W631" s="54"/>
      <c r="X631" s="54"/>
      <c r="Y631" s="52"/>
      <c r="Z631" s="54"/>
      <c r="AA631" s="55"/>
      <c r="AB631" s="56"/>
      <c r="AC631" s="54"/>
      <c r="AD631" s="6">
        <f t="shared" si="34"/>
        <v>0</v>
      </c>
      <c r="AE631" s="49">
        <v>0</v>
      </c>
      <c r="AF631" s="5" t="s">
        <v>15</v>
      </c>
    </row>
    <row r="632" spans="1:32" ht="15.75" thickBot="1">
      <c r="A632" s="11">
        <v>44456</v>
      </c>
      <c r="B632" s="2">
        <f t="shared" si="32"/>
        <v>0</v>
      </c>
      <c r="C632" s="3"/>
      <c r="D632" s="4"/>
      <c r="E632" s="124"/>
      <c r="F632" s="10">
        <f t="shared" si="33"/>
        <v>0</v>
      </c>
      <c r="G632" s="3"/>
      <c r="H632" s="4"/>
      <c r="I632" s="52"/>
      <c r="J632" s="53"/>
      <c r="K632" s="54"/>
      <c r="L632" s="52"/>
      <c r="M632" s="53"/>
      <c r="N632" s="53"/>
      <c r="O632" s="52"/>
      <c r="P632" s="54"/>
      <c r="Q632" s="52"/>
      <c r="R632" s="53"/>
      <c r="S632" s="57"/>
      <c r="T632" s="60"/>
      <c r="U632" s="61"/>
      <c r="V632" s="56"/>
      <c r="W632" s="54"/>
      <c r="X632" s="54"/>
      <c r="Y632" s="52"/>
      <c r="Z632" s="54"/>
      <c r="AA632" s="55"/>
      <c r="AB632" s="56"/>
      <c r="AC632" s="54"/>
      <c r="AD632" s="6">
        <f t="shared" si="34"/>
        <v>0</v>
      </c>
      <c r="AE632" s="49">
        <v>0</v>
      </c>
      <c r="AF632" s="5" t="s">
        <v>15</v>
      </c>
    </row>
    <row r="633" spans="1:32" ht="15.75" thickBot="1">
      <c r="A633" s="11">
        <v>44457</v>
      </c>
      <c r="B633" s="2">
        <f t="shared" si="32"/>
        <v>0</v>
      </c>
      <c r="C633" s="3"/>
      <c r="D633" s="4"/>
      <c r="E633" s="124"/>
      <c r="F633" s="10">
        <f t="shared" si="33"/>
        <v>0</v>
      </c>
      <c r="G633" s="3"/>
      <c r="H633" s="4"/>
      <c r="I633" s="52"/>
      <c r="J633" s="53"/>
      <c r="K633" s="54"/>
      <c r="L633" s="52"/>
      <c r="M633" s="53"/>
      <c r="N633" s="53"/>
      <c r="O633" s="52"/>
      <c r="P633" s="54"/>
      <c r="Q633" s="52"/>
      <c r="R633" s="53"/>
      <c r="S633" s="57"/>
      <c r="T633" s="52"/>
      <c r="U633" s="54"/>
      <c r="V633" s="56"/>
      <c r="W633" s="54"/>
      <c r="X633" s="54"/>
      <c r="Y633" s="52"/>
      <c r="Z633" s="54"/>
      <c r="AA633" s="55"/>
      <c r="AB633" s="56"/>
      <c r="AC633" s="54"/>
      <c r="AD633" s="6">
        <f t="shared" si="34"/>
        <v>0</v>
      </c>
      <c r="AE633" s="49">
        <v>0</v>
      </c>
      <c r="AF633" s="5" t="s">
        <v>15</v>
      </c>
    </row>
    <row r="634" spans="1:32" ht="15.75" thickBot="1">
      <c r="A634" s="11">
        <v>44458</v>
      </c>
      <c r="B634" s="2">
        <f t="shared" si="32"/>
        <v>0</v>
      </c>
      <c r="C634" s="3"/>
      <c r="D634" s="4"/>
      <c r="E634" s="124"/>
      <c r="F634" s="10">
        <f t="shared" si="33"/>
        <v>0</v>
      </c>
      <c r="G634" s="3"/>
      <c r="H634" s="4"/>
      <c r="I634" s="52"/>
      <c r="J634" s="53"/>
      <c r="K634" s="54"/>
      <c r="L634" s="52"/>
      <c r="M634" s="53"/>
      <c r="N634" s="53"/>
      <c r="O634" s="52"/>
      <c r="P634" s="54"/>
      <c r="Q634" s="52"/>
      <c r="R634" s="53"/>
      <c r="S634" s="57"/>
      <c r="T634" s="60"/>
      <c r="U634" s="61"/>
      <c r="V634" s="56"/>
      <c r="W634" s="54"/>
      <c r="X634" s="54"/>
      <c r="Y634" s="52"/>
      <c r="Z634" s="54"/>
      <c r="AA634" s="55"/>
      <c r="AB634" s="56"/>
      <c r="AC634" s="54"/>
      <c r="AD634" s="6">
        <f t="shared" si="34"/>
        <v>0</v>
      </c>
      <c r="AE634" s="49">
        <v>0</v>
      </c>
      <c r="AF634" s="5" t="s">
        <v>15</v>
      </c>
    </row>
    <row r="635" spans="1:32" ht="15.75" thickBot="1">
      <c r="A635" s="11">
        <v>44459</v>
      </c>
      <c r="B635" s="2">
        <f t="shared" si="32"/>
        <v>0</v>
      </c>
      <c r="C635" s="3"/>
      <c r="D635" s="4"/>
      <c r="E635" s="124"/>
      <c r="F635" s="10">
        <f t="shared" si="33"/>
        <v>0</v>
      </c>
      <c r="G635" s="3"/>
      <c r="H635" s="4"/>
      <c r="I635" s="52"/>
      <c r="J635" s="53"/>
      <c r="K635" s="54"/>
      <c r="L635" s="52"/>
      <c r="M635" s="53"/>
      <c r="N635" s="53"/>
      <c r="O635" s="52"/>
      <c r="P635" s="54"/>
      <c r="Q635" s="52"/>
      <c r="R635" s="53"/>
      <c r="S635" s="57"/>
      <c r="T635" s="60"/>
      <c r="U635" s="61"/>
      <c r="V635" s="56"/>
      <c r="W635" s="54"/>
      <c r="X635" s="54"/>
      <c r="Y635" s="52"/>
      <c r="Z635" s="54"/>
      <c r="AA635" s="55"/>
      <c r="AB635" s="56"/>
      <c r="AC635" s="54"/>
      <c r="AD635" s="6">
        <f t="shared" si="34"/>
        <v>0</v>
      </c>
      <c r="AE635" s="49">
        <v>0</v>
      </c>
      <c r="AF635" s="5" t="s">
        <v>15</v>
      </c>
    </row>
    <row r="636" spans="1:32" ht="15.75" thickBot="1">
      <c r="A636" s="11">
        <v>44460</v>
      </c>
      <c r="B636" s="2">
        <f t="shared" si="32"/>
        <v>0</v>
      </c>
      <c r="C636" s="3"/>
      <c r="D636" s="4"/>
      <c r="E636" s="124"/>
      <c r="F636" s="10">
        <f t="shared" si="33"/>
        <v>0</v>
      </c>
      <c r="G636" s="3"/>
      <c r="H636" s="4"/>
      <c r="I636" s="52"/>
      <c r="J636" s="53"/>
      <c r="K636" s="54"/>
      <c r="L636" s="52"/>
      <c r="M636" s="53"/>
      <c r="N636" s="53"/>
      <c r="O636" s="52"/>
      <c r="P636" s="54"/>
      <c r="Q636" s="52"/>
      <c r="R636" s="53"/>
      <c r="S636" s="57"/>
      <c r="T636" s="60"/>
      <c r="U636" s="61"/>
      <c r="V636" s="56"/>
      <c r="W636" s="54"/>
      <c r="X636" s="54"/>
      <c r="Y636" s="52"/>
      <c r="Z636" s="54"/>
      <c r="AA636" s="55"/>
      <c r="AB636" s="56"/>
      <c r="AC636" s="54"/>
      <c r="AD636" s="6">
        <f t="shared" si="34"/>
        <v>0</v>
      </c>
      <c r="AE636" s="49">
        <v>0</v>
      </c>
      <c r="AF636" s="5" t="s">
        <v>15</v>
      </c>
    </row>
    <row r="637" spans="1:32" ht="15.75" thickBot="1">
      <c r="A637" s="11">
        <v>44461</v>
      </c>
      <c r="B637" s="2">
        <f t="shared" si="32"/>
        <v>0</v>
      </c>
      <c r="C637" s="3"/>
      <c r="D637" s="4"/>
      <c r="E637" s="124"/>
      <c r="F637" s="10">
        <f t="shared" si="33"/>
        <v>0</v>
      </c>
      <c r="G637" s="3"/>
      <c r="H637" s="4"/>
      <c r="I637" s="52"/>
      <c r="J637" s="53"/>
      <c r="K637" s="54"/>
      <c r="L637" s="52"/>
      <c r="M637" s="53"/>
      <c r="N637" s="53"/>
      <c r="O637" s="52"/>
      <c r="P637" s="54"/>
      <c r="Q637" s="52"/>
      <c r="R637" s="53"/>
      <c r="S637" s="57"/>
      <c r="T637" s="60"/>
      <c r="U637" s="61"/>
      <c r="V637" s="56"/>
      <c r="W637" s="54"/>
      <c r="X637" s="54"/>
      <c r="Y637" s="52"/>
      <c r="Z637" s="54"/>
      <c r="AA637" s="55"/>
      <c r="AB637" s="56"/>
      <c r="AC637" s="54"/>
      <c r="AD637" s="6">
        <f t="shared" si="34"/>
        <v>0</v>
      </c>
      <c r="AE637" s="49">
        <v>0</v>
      </c>
      <c r="AF637" s="5" t="s">
        <v>15</v>
      </c>
    </row>
    <row r="638" spans="1:32" ht="15.75" thickBot="1">
      <c r="A638" s="11">
        <v>44462</v>
      </c>
      <c r="B638" s="2">
        <f t="shared" si="32"/>
        <v>0</v>
      </c>
      <c r="C638" s="3"/>
      <c r="D638" s="4"/>
      <c r="E638" s="124"/>
      <c r="F638" s="10">
        <f t="shared" si="33"/>
        <v>0</v>
      </c>
      <c r="G638" s="3"/>
      <c r="H638" s="4"/>
      <c r="I638" s="52"/>
      <c r="J638" s="53"/>
      <c r="K638" s="54"/>
      <c r="L638" s="52"/>
      <c r="M638" s="53"/>
      <c r="N638" s="53"/>
      <c r="O638" s="52"/>
      <c r="P638" s="54"/>
      <c r="Q638" s="52"/>
      <c r="R638" s="53"/>
      <c r="S638" s="57"/>
      <c r="T638" s="60"/>
      <c r="U638" s="61"/>
      <c r="V638" s="56"/>
      <c r="W638" s="54"/>
      <c r="X638" s="54"/>
      <c r="Y638" s="52"/>
      <c r="Z638" s="54"/>
      <c r="AA638" s="55"/>
      <c r="AB638" s="56"/>
      <c r="AC638" s="54"/>
      <c r="AD638" s="6">
        <f t="shared" si="34"/>
        <v>0</v>
      </c>
      <c r="AE638" s="49">
        <v>0</v>
      </c>
      <c r="AF638" s="5" t="s">
        <v>15</v>
      </c>
    </row>
    <row r="639" spans="1:32" ht="15.75" thickBot="1">
      <c r="A639" s="11">
        <v>44463</v>
      </c>
      <c r="B639" s="2">
        <f t="shared" si="32"/>
        <v>0</v>
      </c>
      <c r="C639" s="3"/>
      <c r="D639" s="4"/>
      <c r="E639" s="124"/>
      <c r="F639" s="10">
        <f t="shared" si="33"/>
        <v>0</v>
      </c>
      <c r="G639" s="3"/>
      <c r="H639" s="4"/>
      <c r="I639" s="52"/>
      <c r="J639" s="53"/>
      <c r="K639" s="54"/>
      <c r="L639" s="52"/>
      <c r="M639" s="53"/>
      <c r="N639" s="53"/>
      <c r="O639" s="52"/>
      <c r="P639" s="54"/>
      <c r="Q639" s="52"/>
      <c r="R639" s="53"/>
      <c r="S639" s="57"/>
      <c r="T639" s="60"/>
      <c r="U639" s="61"/>
      <c r="V639" s="56"/>
      <c r="W639" s="54"/>
      <c r="X639" s="54"/>
      <c r="Y639" s="52"/>
      <c r="Z639" s="54"/>
      <c r="AA639" s="55"/>
      <c r="AB639" s="56"/>
      <c r="AC639" s="54"/>
      <c r="AD639" s="6">
        <f t="shared" si="34"/>
        <v>0</v>
      </c>
      <c r="AE639" s="49">
        <v>0</v>
      </c>
      <c r="AF639" s="5" t="s">
        <v>15</v>
      </c>
    </row>
    <row r="640" spans="1:32" ht="15.75" thickBot="1">
      <c r="A640" s="11">
        <v>44464</v>
      </c>
      <c r="B640" s="2">
        <f t="shared" si="32"/>
        <v>0</v>
      </c>
      <c r="C640" s="3"/>
      <c r="D640" s="4"/>
      <c r="E640" s="124"/>
      <c r="F640" s="10">
        <f t="shared" si="33"/>
        <v>0</v>
      </c>
      <c r="G640" s="3"/>
      <c r="H640" s="4"/>
      <c r="I640" s="52"/>
      <c r="J640" s="53"/>
      <c r="K640" s="54"/>
      <c r="L640" s="52"/>
      <c r="M640" s="53"/>
      <c r="N640" s="53"/>
      <c r="O640" s="52"/>
      <c r="P640" s="54"/>
      <c r="Q640" s="52"/>
      <c r="R640" s="53"/>
      <c r="S640" s="57"/>
      <c r="T640" s="60"/>
      <c r="U640" s="61"/>
      <c r="V640" s="56"/>
      <c r="W640" s="54"/>
      <c r="X640" s="54"/>
      <c r="Y640" s="52"/>
      <c r="Z640" s="54"/>
      <c r="AA640" s="55"/>
      <c r="AB640" s="56"/>
      <c r="AC640" s="54"/>
      <c r="AD640" s="6">
        <f t="shared" si="34"/>
        <v>0</v>
      </c>
      <c r="AE640" s="49">
        <v>0</v>
      </c>
      <c r="AF640" s="5" t="s">
        <v>15</v>
      </c>
    </row>
    <row r="641" spans="1:32" ht="15.75" thickBot="1">
      <c r="A641" s="11">
        <v>44465</v>
      </c>
      <c r="B641" s="2">
        <f t="shared" si="32"/>
        <v>0</v>
      </c>
      <c r="C641" s="3"/>
      <c r="D641" s="4"/>
      <c r="E641" s="124"/>
      <c r="F641" s="10">
        <f t="shared" si="33"/>
        <v>0</v>
      </c>
      <c r="G641" s="3"/>
      <c r="H641" s="4"/>
      <c r="I641" s="52"/>
      <c r="J641" s="53"/>
      <c r="K641" s="54"/>
      <c r="L641" s="52"/>
      <c r="M641" s="53"/>
      <c r="N641" s="53"/>
      <c r="O641" s="52"/>
      <c r="P641" s="54"/>
      <c r="Q641" s="52"/>
      <c r="R641" s="53"/>
      <c r="S641" s="57"/>
      <c r="T641" s="52"/>
      <c r="U641" s="54"/>
      <c r="V641" s="56"/>
      <c r="W641" s="54"/>
      <c r="X641" s="54"/>
      <c r="Y641" s="52"/>
      <c r="Z641" s="54"/>
      <c r="AA641" s="55"/>
      <c r="AB641" s="56"/>
      <c r="AC641" s="54"/>
      <c r="AD641" s="6">
        <f t="shared" si="34"/>
        <v>0</v>
      </c>
      <c r="AE641" s="49">
        <v>0</v>
      </c>
      <c r="AF641" s="5" t="s">
        <v>15</v>
      </c>
    </row>
    <row r="642" spans="1:32" ht="15.75" thickBot="1">
      <c r="A642" s="11">
        <v>44466</v>
      </c>
      <c r="B642" s="2">
        <f t="shared" si="32"/>
        <v>0</v>
      </c>
      <c r="C642" s="3"/>
      <c r="D642" s="4"/>
      <c r="E642" s="124"/>
      <c r="F642" s="10">
        <f t="shared" si="33"/>
        <v>0</v>
      </c>
      <c r="G642" s="3"/>
      <c r="H642" s="4"/>
      <c r="I642" s="52"/>
      <c r="J642" s="53"/>
      <c r="K642" s="54"/>
      <c r="L642" s="52"/>
      <c r="M642" s="53"/>
      <c r="N642" s="53"/>
      <c r="O642" s="52"/>
      <c r="P642" s="54"/>
      <c r="Q642" s="52"/>
      <c r="R642" s="53"/>
      <c r="S642" s="57"/>
      <c r="T642" s="60"/>
      <c r="U642" s="61"/>
      <c r="V642" s="56"/>
      <c r="W642" s="54"/>
      <c r="X642" s="54"/>
      <c r="Y642" s="52"/>
      <c r="Z642" s="54"/>
      <c r="AA642" s="55"/>
      <c r="AB642" s="56"/>
      <c r="AC642" s="54"/>
      <c r="AD642" s="6">
        <f t="shared" si="34"/>
        <v>0</v>
      </c>
      <c r="AE642" s="49">
        <v>0</v>
      </c>
      <c r="AF642" s="5" t="s">
        <v>15</v>
      </c>
    </row>
    <row r="643" spans="1:32" ht="15.75" thickBot="1">
      <c r="A643" s="11">
        <v>44467</v>
      </c>
      <c r="B643" s="2">
        <f t="shared" si="32"/>
        <v>0</v>
      </c>
      <c r="C643" s="3"/>
      <c r="D643" s="4"/>
      <c r="E643" s="124"/>
      <c r="F643" s="10">
        <f t="shared" si="33"/>
        <v>0</v>
      </c>
      <c r="G643" s="3"/>
      <c r="H643" s="4"/>
      <c r="I643" s="52"/>
      <c r="J643" s="53"/>
      <c r="K643" s="54"/>
      <c r="L643" s="52"/>
      <c r="M643" s="53"/>
      <c r="N643" s="53"/>
      <c r="O643" s="52"/>
      <c r="P643" s="54"/>
      <c r="Q643" s="52"/>
      <c r="R643" s="53"/>
      <c r="S643" s="57"/>
      <c r="T643" s="60"/>
      <c r="U643" s="61"/>
      <c r="V643" s="56"/>
      <c r="W643" s="54"/>
      <c r="X643" s="54"/>
      <c r="Y643" s="52"/>
      <c r="Z643" s="54"/>
      <c r="AA643" s="55"/>
      <c r="AB643" s="56"/>
      <c r="AC643" s="54"/>
      <c r="AD643" s="6">
        <f t="shared" si="34"/>
        <v>0</v>
      </c>
      <c r="AE643" s="49">
        <v>0</v>
      </c>
      <c r="AF643" s="5" t="s">
        <v>15</v>
      </c>
    </row>
    <row r="644" spans="1:32" ht="15.75" thickBot="1">
      <c r="A644" s="11">
        <v>44468</v>
      </c>
      <c r="B644" s="2">
        <f t="shared" si="32"/>
        <v>0</v>
      </c>
      <c r="C644" s="3"/>
      <c r="D644" s="4"/>
      <c r="E644" s="124"/>
      <c r="F644" s="10">
        <f t="shared" si="33"/>
        <v>0</v>
      </c>
      <c r="G644" s="3"/>
      <c r="H644" s="4"/>
      <c r="I644" s="52"/>
      <c r="J644" s="53"/>
      <c r="K644" s="54"/>
      <c r="L644" s="52"/>
      <c r="M644" s="53"/>
      <c r="N644" s="53"/>
      <c r="O644" s="52"/>
      <c r="P644" s="54"/>
      <c r="Q644" s="52"/>
      <c r="R644" s="53"/>
      <c r="S644" s="57"/>
      <c r="T644" s="60"/>
      <c r="U644" s="61"/>
      <c r="V644" s="56"/>
      <c r="W644" s="54"/>
      <c r="X644" s="54"/>
      <c r="Y644" s="52"/>
      <c r="Z644" s="54"/>
      <c r="AA644" s="55"/>
      <c r="AB644" s="56"/>
      <c r="AC644" s="54"/>
      <c r="AD644" s="6">
        <f t="shared" si="34"/>
        <v>0</v>
      </c>
      <c r="AE644" s="49">
        <v>0</v>
      </c>
      <c r="AF644" s="5" t="s">
        <v>15</v>
      </c>
    </row>
    <row r="645" spans="1:32" ht="15.75" thickBot="1">
      <c r="A645" s="11">
        <v>44469</v>
      </c>
      <c r="B645" s="2">
        <f t="shared" si="32"/>
        <v>0</v>
      </c>
      <c r="C645" s="3"/>
      <c r="D645" s="4"/>
      <c r="E645" s="124"/>
      <c r="F645" s="10">
        <f t="shared" si="33"/>
        <v>0</v>
      </c>
      <c r="G645" s="3"/>
      <c r="H645" s="4"/>
      <c r="I645" s="52"/>
      <c r="J645" s="53"/>
      <c r="K645" s="54"/>
      <c r="L645" s="52"/>
      <c r="M645" s="53"/>
      <c r="N645" s="53"/>
      <c r="O645" s="52"/>
      <c r="P645" s="54"/>
      <c r="Q645" s="52"/>
      <c r="R645" s="53"/>
      <c r="S645" s="57"/>
      <c r="T645" s="60"/>
      <c r="U645" s="61"/>
      <c r="V645" s="56"/>
      <c r="W645" s="54"/>
      <c r="X645" s="54"/>
      <c r="Y645" s="52"/>
      <c r="Z645" s="54"/>
      <c r="AA645" s="55"/>
      <c r="AB645" s="56"/>
      <c r="AC645" s="54"/>
      <c r="AD645" s="6">
        <f t="shared" si="34"/>
        <v>0</v>
      </c>
      <c r="AE645" s="49">
        <v>0</v>
      </c>
      <c r="AF645" s="5" t="s">
        <v>15</v>
      </c>
    </row>
    <row r="646" spans="1:32" ht="15.75" thickBot="1">
      <c r="A646" s="11">
        <v>44470</v>
      </c>
      <c r="B646" s="2">
        <f t="shared" si="32"/>
        <v>0</v>
      </c>
      <c r="C646" s="3"/>
      <c r="D646" s="4"/>
      <c r="E646" s="124"/>
      <c r="F646" s="10">
        <f t="shared" si="33"/>
        <v>0</v>
      </c>
      <c r="G646" s="3"/>
      <c r="H646" s="4"/>
      <c r="I646" s="52"/>
      <c r="J646" s="53"/>
      <c r="K646" s="54"/>
      <c r="L646" s="52"/>
      <c r="M646" s="53"/>
      <c r="N646" s="53"/>
      <c r="O646" s="52"/>
      <c r="P646" s="54"/>
      <c r="Q646" s="52"/>
      <c r="R646" s="53"/>
      <c r="S646" s="57"/>
      <c r="T646" s="60"/>
      <c r="U646" s="61"/>
      <c r="V646" s="56"/>
      <c r="W646" s="54"/>
      <c r="X646" s="54"/>
      <c r="Y646" s="52"/>
      <c r="Z646" s="54"/>
      <c r="AA646" s="55"/>
      <c r="AB646" s="56"/>
      <c r="AC646" s="54"/>
      <c r="AD646" s="6">
        <f t="shared" si="34"/>
        <v>0</v>
      </c>
      <c r="AE646" s="49">
        <v>0</v>
      </c>
      <c r="AF646" s="5" t="s">
        <v>15</v>
      </c>
    </row>
    <row r="647" spans="1:32" ht="15.75" thickBot="1">
      <c r="A647" s="11">
        <v>44471</v>
      </c>
      <c r="B647" s="2">
        <f t="shared" si="32"/>
        <v>0</v>
      </c>
      <c r="C647" s="3"/>
      <c r="D647" s="4"/>
      <c r="E647" s="124"/>
      <c r="F647" s="10">
        <f t="shared" si="33"/>
        <v>0</v>
      </c>
      <c r="G647" s="3"/>
      <c r="H647" s="4"/>
      <c r="I647" s="52"/>
      <c r="J647" s="53"/>
      <c r="K647" s="54"/>
      <c r="L647" s="52"/>
      <c r="M647" s="53"/>
      <c r="N647" s="53"/>
      <c r="O647" s="52"/>
      <c r="P647" s="54"/>
      <c r="Q647" s="52"/>
      <c r="R647" s="53"/>
      <c r="S647" s="57"/>
      <c r="T647" s="60"/>
      <c r="U647" s="61"/>
      <c r="V647" s="56"/>
      <c r="W647" s="54"/>
      <c r="X647" s="54"/>
      <c r="Y647" s="52"/>
      <c r="Z647" s="54"/>
      <c r="AA647" s="55"/>
      <c r="AB647" s="56"/>
      <c r="AC647" s="54"/>
      <c r="AD647" s="6">
        <f t="shared" si="34"/>
        <v>0</v>
      </c>
      <c r="AE647" s="49">
        <v>0</v>
      </c>
      <c r="AF647" s="5" t="s">
        <v>15</v>
      </c>
    </row>
    <row r="648" spans="1:32" ht="15.75" thickBot="1">
      <c r="A648" s="11">
        <v>44472</v>
      </c>
      <c r="B648" s="2">
        <f t="shared" si="32"/>
        <v>0</v>
      </c>
      <c r="C648" s="3"/>
      <c r="D648" s="4"/>
      <c r="E648" s="124"/>
      <c r="F648" s="10">
        <f t="shared" si="33"/>
        <v>0</v>
      </c>
      <c r="G648" s="3"/>
      <c r="H648" s="4"/>
      <c r="I648" s="52"/>
      <c r="J648" s="53"/>
      <c r="K648" s="54"/>
      <c r="L648" s="52"/>
      <c r="M648" s="53"/>
      <c r="N648" s="53"/>
      <c r="O648" s="52"/>
      <c r="P648" s="54"/>
      <c r="Q648" s="52"/>
      <c r="R648" s="53"/>
      <c r="S648" s="57"/>
      <c r="T648" s="60"/>
      <c r="U648" s="61"/>
      <c r="V648" s="56"/>
      <c r="W648" s="54"/>
      <c r="X648" s="54"/>
      <c r="Y648" s="52"/>
      <c r="Z648" s="54"/>
      <c r="AA648" s="55"/>
      <c r="AB648" s="56"/>
      <c r="AC648" s="54"/>
      <c r="AD648" s="6">
        <f t="shared" si="34"/>
        <v>0</v>
      </c>
      <c r="AE648" s="49">
        <v>0</v>
      </c>
      <c r="AF648" s="5" t="s">
        <v>15</v>
      </c>
    </row>
    <row r="649" spans="1:32" ht="15.75" thickBot="1">
      <c r="A649" s="11">
        <v>44473</v>
      </c>
      <c r="B649" s="2">
        <f t="shared" si="32"/>
        <v>0</v>
      </c>
      <c r="C649" s="3"/>
      <c r="D649" s="4"/>
      <c r="E649" s="124"/>
      <c r="F649" s="10">
        <f t="shared" si="33"/>
        <v>0</v>
      </c>
      <c r="G649" s="3"/>
      <c r="H649" s="4"/>
      <c r="I649" s="52"/>
      <c r="J649" s="53"/>
      <c r="K649" s="54"/>
      <c r="L649" s="52"/>
      <c r="M649" s="53"/>
      <c r="N649" s="53"/>
      <c r="O649" s="52"/>
      <c r="P649" s="54"/>
      <c r="Q649" s="52"/>
      <c r="R649" s="53"/>
      <c r="S649" s="57"/>
      <c r="T649" s="52"/>
      <c r="U649" s="54"/>
      <c r="V649" s="56"/>
      <c r="W649" s="54"/>
      <c r="X649" s="54"/>
      <c r="Y649" s="52"/>
      <c r="Z649" s="54"/>
      <c r="AA649" s="55"/>
      <c r="AB649" s="56"/>
      <c r="AC649" s="54"/>
      <c r="AD649" s="6">
        <f t="shared" si="34"/>
        <v>0</v>
      </c>
      <c r="AE649" s="49">
        <v>0</v>
      </c>
      <c r="AF649" s="5" t="s">
        <v>15</v>
      </c>
    </row>
    <row r="650" spans="1:32" ht="15.75" thickBot="1">
      <c r="A650" s="11">
        <v>44474</v>
      </c>
      <c r="B650" s="2">
        <f t="shared" si="32"/>
        <v>0</v>
      </c>
      <c r="C650" s="3"/>
      <c r="D650" s="4"/>
      <c r="E650" s="124"/>
      <c r="F650" s="10">
        <f t="shared" si="33"/>
        <v>0</v>
      </c>
      <c r="G650" s="3"/>
      <c r="H650" s="4"/>
      <c r="I650" s="52"/>
      <c r="J650" s="53"/>
      <c r="K650" s="54"/>
      <c r="L650" s="52"/>
      <c r="M650" s="53"/>
      <c r="N650" s="53"/>
      <c r="O650" s="52"/>
      <c r="P650" s="54"/>
      <c r="Q650" s="52"/>
      <c r="R650" s="53"/>
      <c r="S650" s="57"/>
      <c r="T650" s="60"/>
      <c r="U650" s="61"/>
      <c r="V650" s="56"/>
      <c r="W650" s="54"/>
      <c r="X650" s="54"/>
      <c r="Y650" s="52"/>
      <c r="Z650" s="54"/>
      <c r="AA650" s="55"/>
      <c r="AB650" s="56"/>
      <c r="AC650" s="54"/>
      <c r="AD650" s="6">
        <f t="shared" si="34"/>
        <v>0</v>
      </c>
      <c r="AE650" s="49">
        <v>0</v>
      </c>
      <c r="AF650" s="5" t="s">
        <v>15</v>
      </c>
    </row>
    <row r="651" spans="1:32" ht="15.75" thickBot="1">
      <c r="A651" s="11">
        <v>44475</v>
      </c>
      <c r="B651" s="2">
        <f t="shared" si="32"/>
        <v>0</v>
      </c>
      <c r="C651" s="3"/>
      <c r="D651" s="4"/>
      <c r="E651" s="124"/>
      <c r="F651" s="10">
        <f t="shared" si="33"/>
        <v>0</v>
      </c>
      <c r="G651" s="3"/>
      <c r="H651" s="4"/>
      <c r="I651" s="52"/>
      <c r="J651" s="53"/>
      <c r="K651" s="54"/>
      <c r="L651" s="52"/>
      <c r="M651" s="53"/>
      <c r="N651" s="53"/>
      <c r="O651" s="52"/>
      <c r="P651" s="54"/>
      <c r="Q651" s="52"/>
      <c r="R651" s="53"/>
      <c r="S651" s="57"/>
      <c r="T651" s="60"/>
      <c r="U651" s="61"/>
      <c r="V651" s="56"/>
      <c r="W651" s="54"/>
      <c r="X651" s="54"/>
      <c r="Y651" s="52"/>
      <c r="Z651" s="54"/>
      <c r="AA651" s="55"/>
      <c r="AB651" s="56"/>
      <c r="AC651" s="54"/>
      <c r="AD651" s="6">
        <f t="shared" si="34"/>
        <v>0</v>
      </c>
      <c r="AE651" s="49">
        <v>0</v>
      </c>
      <c r="AF651" s="5" t="s">
        <v>15</v>
      </c>
    </row>
    <row r="652" spans="1:32" ht="15.75" thickBot="1">
      <c r="A652" s="11">
        <v>44476</v>
      </c>
      <c r="B652" s="2">
        <f t="shared" si="32"/>
        <v>0</v>
      </c>
      <c r="C652" s="3"/>
      <c r="D652" s="4"/>
      <c r="E652" s="124"/>
      <c r="F652" s="10">
        <f t="shared" si="33"/>
        <v>0</v>
      </c>
      <c r="G652" s="3"/>
      <c r="H652" s="4"/>
      <c r="I652" s="52"/>
      <c r="J652" s="53"/>
      <c r="K652" s="54"/>
      <c r="L652" s="52"/>
      <c r="M652" s="53"/>
      <c r="N652" s="53"/>
      <c r="O652" s="52"/>
      <c r="P652" s="54"/>
      <c r="Q652" s="52"/>
      <c r="R652" s="53"/>
      <c r="S652" s="57"/>
      <c r="T652" s="60"/>
      <c r="U652" s="61"/>
      <c r="V652" s="56"/>
      <c r="W652" s="54"/>
      <c r="X652" s="54"/>
      <c r="Y652" s="52"/>
      <c r="Z652" s="54"/>
      <c r="AA652" s="55"/>
      <c r="AB652" s="56"/>
      <c r="AC652" s="54"/>
      <c r="AD652" s="6">
        <f t="shared" si="34"/>
        <v>0</v>
      </c>
      <c r="AE652" s="49">
        <v>0</v>
      </c>
      <c r="AF652" s="5" t="s">
        <v>15</v>
      </c>
    </row>
    <row r="653" spans="1:32" ht="15.75" thickBot="1">
      <c r="A653" s="11">
        <v>44477</v>
      </c>
      <c r="B653" s="2">
        <f t="shared" si="32"/>
        <v>0</v>
      </c>
      <c r="C653" s="3"/>
      <c r="D653" s="4"/>
      <c r="E653" s="124"/>
      <c r="F653" s="10">
        <f t="shared" si="33"/>
        <v>0</v>
      </c>
      <c r="G653" s="3"/>
      <c r="H653" s="4"/>
      <c r="I653" s="52"/>
      <c r="J653" s="53"/>
      <c r="K653" s="54"/>
      <c r="L653" s="52"/>
      <c r="M653" s="53"/>
      <c r="N653" s="53"/>
      <c r="O653" s="52"/>
      <c r="P653" s="54"/>
      <c r="Q653" s="52"/>
      <c r="R653" s="53"/>
      <c r="S653" s="57"/>
      <c r="T653" s="60"/>
      <c r="U653" s="61"/>
      <c r="V653" s="56"/>
      <c r="W653" s="54"/>
      <c r="X653" s="54"/>
      <c r="Y653" s="52"/>
      <c r="Z653" s="54"/>
      <c r="AA653" s="55"/>
      <c r="AB653" s="56"/>
      <c r="AC653" s="54"/>
      <c r="AD653" s="6">
        <f t="shared" si="34"/>
        <v>0</v>
      </c>
      <c r="AE653" s="49">
        <v>0</v>
      </c>
      <c r="AF653" s="5" t="s">
        <v>15</v>
      </c>
    </row>
    <row r="654" spans="1:32" ht="15.75" thickBot="1">
      <c r="A654" s="11">
        <v>44478</v>
      </c>
      <c r="B654" s="2">
        <f t="shared" si="32"/>
        <v>0</v>
      </c>
      <c r="C654" s="3"/>
      <c r="D654" s="4"/>
      <c r="E654" s="124"/>
      <c r="F654" s="10">
        <f t="shared" si="33"/>
        <v>0</v>
      </c>
      <c r="G654" s="3"/>
      <c r="H654" s="4"/>
      <c r="I654" s="52"/>
      <c r="J654" s="53"/>
      <c r="K654" s="54"/>
      <c r="L654" s="52"/>
      <c r="M654" s="53"/>
      <c r="N654" s="53"/>
      <c r="O654" s="52"/>
      <c r="P654" s="54"/>
      <c r="Q654" s="52"/>
      <c r="R654" s="53"/>
      <c r="S654" s="57"/>
      <c r="T654" s="60"/>
      <c r="U654" s="61"/>
      <c r="V654" s="56"/>
      <c r="W654" s="54"/>
      <c r="X654" s="54"/>
      <c r="Y654" s="52"/>
      <c r="Z654" s="54"/>
      <c r="AA654" s="55"/>
      <c r="AB654" s="56"/>
      <c r="AC654" s="54"/>
      <c r="AD654" s="6">
        <f t="shared" si="34"/>
        <v>0</v>
      </c>
      <c r="AE654" s="49">
        <v>0</v>
      </c>
      <c r="AF654" s="5" t="s">
        <v>15</v>
      </c>
    </row>
    <row r="655" spans="1:32" ht="15.75" thickBot="1">
      <c r="A655" s="11">
        <v>44479</v>
      </c>
      <c r="B655" s="2">
        <f t="shared" si="32"/>
        <v>0</v>
      </c>
      <c r="C655" s="3"/>
      <c r="D655" s="4"/>
      <c r="E655" s="124"/>
      <c r="F655" s="10">
        <f t="shared" si="33"/>
        <v>0</v>
      </c>
      <c r="G655" s="3"/>
      <c r="H655" s="4"/>
      <c r="I655" s="52"/>
      <c r="J655" s="53"/>
      <c r="K655" s="54"/>
      <c r="L655" s="52"/>
      <c r="M655" s="53"/>
      <c r="N655" s="53"/>
      <c r="O655" s="52"/>
      <c r="P655" s="54"/>
      <c r="Q655" s="52"/>
      <c r="R655" s="53"/>
      <c r="S655" s="57"/>
      <c r="T655" s="60"/>
      <c r="U655" s="61"/>
      <c r="V655" s="56"/>
      <c r="W655" s="54"/>
      <c r="X655" s="54"/>
      <c r="Y655" s="52"/>
      <c r="Z655" s="54"/>
      <c r="AA655" s="55"/>
      <c r="AB655" s="56"/>
      <c r="AC655" s="54"/>
      <c r="AD655" s="6">
        <f t="shared" si="34"/>
        <v>0</v>
      </c>
      <c r="AE655" s="49">
        <v>0</v>
      </c>
      <c r="AF655" s="5" t="s">
        <v>15</v>
      </c>
    </row>
    <row r="656" spans="1:32" ht="15.75" thickBot="1">
      <c r="A656" s="11">
        <v>44480</v>
      </c>
      <c r="B656" s="2">
        <f t="shared" si="32"/>
        <v>0</v>
      </c>
      <c r="C656" s="3"/>
      <c r="D656" s="4"/>
      <c r="E656" s="124"/>
      <c r="F656" s="10">
        <f t="shared" si="33"/>
        <v>0</v>
      </c>
      <c r="G656" s="3"/>
      <c r="H656" s="4"/>
      <c r="I656" s="52"/>
      <c r="J656" s="53"/>
      <c r="K656" s="54"/>
      <c r="L656" s="52"/>
      <c r="M656" s="53"/>
      <c r="N656" s="53"/>
      <c r="O656" s="52"/>
      <c r="P656" s="54"/>
      <c r="Q656" s="52"/>
      <c r="R656" s="53"/>
      <c r="S656" s="57"/>
      <c r="T656" s="60"/>
      <c r="U656" s="61"/>
      <c r="V656" s="56"/>
      <c r="W656" s="54"/>
      <c r="X656" s="54"/>
      <c r="Y656" s="52"/>
      <c r="Z656" s="54"/>
      <c r="AA656" s="55"/>
      <c r="AB656" s="56"/>
      <c r="AC656" s="54"/>
      <c r="AD656" s="6">
        <f t="shared" si="34"/>
        <v>0</v>
      </c>
      <c r="AE656" s="49">
        <v>0</v>
      </c>
      <c r="AF656" s="5" t="s">
        <v>15</v>
      </c>
    </row>
    <row r="657" spans="1:32" ht="15.75" thickBot="1">
      <c r="A657" s="11">
        <v>44481</v>
      </c>
      <c r="B657" s="2">
        <f t="shared" si="32"/>
        <v>0</v>
      </c>
      <c r="C657" s="3"/>
      <c r="D657" s="4"/>
      <c r="E657" s="124"/>
      <c r="F657" s="10">
        <f t="shared" si="33"/>
        <v>0</v>
      </c>
      <c r="G657" s="3"/>
      <c r="H657" s="4"/>
      <c r="I657" s="52"/>
      <c r="J657" s="53"/>
      <c r="K657" s="54"/>
      <c r="L657" s="52"/>
      <c r="M657" s="53"/>
      <c r="N657" s="53"/>
      <c r="O657" s="52"/>
      <c r="P657" s="54"/>
      <c r="Q657" s="52"/>
      <c r="R657" s="53"/>
      <c r="S657" s="57"/>
      <c r="T657" s="52"/>
      <c r="U657" s="54"/>
      <c r="V657" s="56"/>
      <c r="W657" s="54"/>
      <c r="X657" s="54"/>
      <c r="Y657" s="52"/>
      <c r="Z657" s="54"/>
      <c r="AA657" s="55"/>
      <c r="AB657" s="56"/>
      <c r="AC657" s="54"/>
      <c r="AD657" s="6">
        <f t="shared" si="34"/>
        <v>0</v>
      </c>
      <c r="AE657" s="49">
        <v>0</v>
      </c>
      <c r="AF657" s="5" t="s">
        <v>15</v>
      </c>
    </row>
    <row r="658" spans="1:32" ht="15.75" thickBot="1">
      <c r="A658" s="11">
        <v>44482</v>
      </c>
      <c r="B658" s="2">
        <f t="shared" si="32"/>
        <v>0</v>
      </c>
      <c r="C658" s="3"/>
      <c r="D658" s="4"/>
      <c r="E658" s="124"/>
      <c r="F658" s="10">
        <f t="shared" si="33"/>
        <v>0</v>
      </c>
      <c r="G658" s="3"/>
      <c r="H658" s="4"/>
      <c r="I658" s="52"/>
      <c r="J658" s="53"/>
      <c r="K658" s="54"/>
      <c r="L658" s="52"/>
      <c r="M658" s="53"/>
      <c r="N658" s="53"/>
      <c r="O658" s="52"/>
      <c r="P658" s="54"/>
      <c r="Q658" s="52"/>
      <c r="R658" s="53"/>
      <c r="S658" s="57"/>
      <c r="T658" s="60"/>
      <c r="U658" s="61"/>
      <c r="V658" s="56"/>
      <c r="W658" s="54"/>
      <c r="X658" s="54"/>
      <c r="Y658" s="52"/>
      <c r="Z658" s="54"/>
      <c r="AA658" s="55"/>
      <c r="AB658" s="56"/>
      <c r="AC658" s="54"/>
      <c r="AD658" s="6">
        <f t="shared" si="34"/>
        <v>0</v>
      </c>
      <c r="AE658" s="49">
        <v>0</v>
      </c>
      <c r="AF658" s="5" t="s">
        <v>15</v>
      </c>
    </row>
    <row r="659" spans="1:32" ht="15.75" thickBot="1">
      <c r="A659" s="11">
        <v>44483</v>
      </c>
      <c r="B659" s="2">
        <f t="shared" si="32"/>
        <v>0</v>
      </c>
      <c r="C659" s="3"/>
      <c r="D659" s="4"/>
      <c r="E659" s="124"/>
      <c r="F659" s="10">
        <f t="shared" si="33"/>
        <v>0</v>
      </c>
      <c r="G659" s="3"/>
      <c r="H659" s="4"/>
      <c r="I659" s="52"/>
      <c r="J659" s="53"/>
      <c r="K659" s="54"/>
      <c r="L659" s="52"/>
      <c r="M659" s="53"/>
      <c r="N659" s="53"/>
      <c r="O659" s="52"/>
      <c r="P659" s="54"/>
      <c r="Q659" s="52"/>
      <c r="R659" s="53"/>
      <c r="S659" s="57"/>
      <c r="T659" s="60"/>
      <c r="U659" s="61"/>
      <c r="V659" s="56"/>
      <c r="W659" s="54"/>
      <c r="X659" s="54"/>
      <c r="Y659" s="52"/>
      <c r="Z659" s="54"/>
      <c r="AA659" s="55"/>
      <c r="AB659" s="56"/>
      <c r="AC659" s="54"/>
      <c r="AD659" s="6">
        <f t="shared" si="34"/>
        <v>0</v>
      </c>
      <c r="AE659" s="49">
        <v>0</v>
      </c>
      <c r="AF659" s="5" t="s">
        <v>15</v>
      </c>
    </row>
    <row r="660" spans="1:32" ht="15.75" thickBot="1">
      <c r="A660" s="11">
        <v>44484</v>
      </c>
      <c r="B660" s="2">
        <f t="shared" si="32"/>
        <v>0</v>
      </c>
      <c r="C660" s="3"/>
      <c r="D660" s="4"/>
      <c r="E660" s="124"/>
      <c r="F660" s="10">
        <f t="shared" si="33"/>
        <v>0</v>
      </c>
      <c r="G660" s="3"/>
      <c r="H660" s="4"/>
      <c r="I660" s="52"/>
      <c r="J660" s="53"/>
      <c r="K660" s="54"/>
      <c r="L660" s="52"/>
      <c r="M660" s="53"/>
      <c r="N660" s="53"/>
      <c r="O660" s="52"/>
      <c r="P660" s="54"/>
      <c r="Q660" s="52"/>
      <c r="R660" s="53"/>
      <c r="S660" s="57"/>
      <c r="T660" s="60"/>
      <c r="U660" s="61"/>
      <c r="V660" s="56"/>
      <c r="W660" s="54"/>
      <c r="X660" s="54"/>
      <c r="Y660" s="52"/>
      <c r="Z660" s="54"/>
      <c r="AA660" s="55"/>
      <c r="AB660" s="56"/>
      <c r="AC660" s="54"/>
      <c r="AD660" s="6">
        <f t="shared" si="34"/>
        <v>0</v>
      </c>
      <c r="AE660" s="49">
        <v>0</v>
      </c>
      <c r="AF660" s="5" t="s">
        <v>15</v>
      </c>
    </row>
    <row r="661" spans="1:32" ht="15.75" thickBot="1">
      <c r="A661" s="11">
        <v>44485</v>
      </c>
      <c r="B661" s="2">
        <f t="shared" si="32"/>
        <v>0</v>
      </c>
      <c r="C661" s="3"/>
      <c r="D661" s="4"/>
      <c r="E661" s="124"/>
      <c r="F661" s="10">
        <f t="shared" si="33"/>
        <v>0</v>
      </c>
      <c r="G661" s="3"/>
      <c r="H661" s="4"/>
      <c r="I661" s="52"/>
      <c r="J661" s="53"/>
      <c r="K661" s="54"/>
      <c r="L661" s="52"/>
      <c r="M661" s="53"/>
      <c r="N661" s="53"/>
      <c r="O661" s="52"/>
      <c r="P661" s="54"/>
      <c r="Q661" s="52"/>
      <c r="R661" s="53"/>
      <c r="S661" s="57"/>
      <c r="T661" s="60"/>
      <c r="U661" s="61"/>
      <c r="V661" s="56"/>
      <c r="W661" s="54"/>
      <c r="X661" s="54"/>
      <c r="Y661" s="52"/>
      <c r="Z661" s="54"/>
      <c r="AA661" s="55"/>
      <c r="AB661" s="56"/>
      <c r="AC661" s="54"/>
      <c r="AD661" s="6">
        <f t="shared" si="34"/>
        <v>0</v>
      </c>
      <c r="AE661" s="49">
        <v>0</v>
      </c>
      <c r="AF661" s="5" t="s">
        <v>15</v>
      </c>
    </row>
    <row r="662" spans="1:32" ht="15.75" thickBot="1">
      <c r="A662" s="11">
        <v>44486</v>
      </c>
      <c r="B662" s="2">
        <f t="shared" si="32"/>
        <v>0</v>
      </c>
      <c r="C662" s="3"/>
      <c r="D662" s="4"/>
      <c r="E662" s="124"/>
      <c r="F662" s="10">
        <f t="shared" si="33"/>
        <v>0</v>
      </c>
      <c r="G662" s="3"/>
      <c r="H662" s="4"/>
      <c r="I662" s="52"/>
      <c r="J662" s="53"/>
      <c r="K662" s="54"/>
      <c r="L662" s="52"/>
      <c r="M662" s="53"/>
      <c r="N662" s="53"/>
      <c r="O662" s="52"/>
      <c r="P662" s="54"/>
      <c r="Q662" s="52"/>
      <c r="R662" s="53"/>
      <c r="S662" s="57"/>
      <c r="T662" s="60"/>
      <c r="U662" s="61"/>
      <c r="V662" s="56"/>
      <c r="W662" s="54"/>
      <c r="X662" s="54"/>
      <c r="Y662" s="52"/>
      <c r="Z662" s="54"/>
      <c r="AA662" s="55"/>
      <c r="AB662" s="56"/>
      <c r="AC662" s="54"/>
      <c r="AD662" s="6">
        <f t="shared" si="34"/>
        <v>0</v>
      </c>
      <c r="AE662" s="49">
        <v>0</v>
      </c>
      <c r="AF662" s="5" t="s">
        <v>15</v>
      </c>
    </row>
    <row r="663" spans="1:32" ht="15.75" thickBot="1">
      <c r="A663" s="11">
        <v>44487</v>
      </c>
      <c r="B663" s="2">
        <f t="shared" si="32"/>
        <v>0</v>
      </c>
      <c r="C663" s="3"/>
      <c r="D663" s="4"/>
      <c r="E663" s="124"/>
      <c r="F663" s="10">
        <f t="shared" si="33"/>
        <v>0</v>
      </c>
      <c r="G663" s="3"/>
      <c r="H663" s="4"/>
      <c r="I663" s="52"/>
      <c r="J663" s="53"/>
      <c r="K663" s="54"/>
      <c r="L663" s="52"/>
      <c r="M663" s="53"/>
      <c r="N663" s="53"/>
      <c r="O663" s="52"/>
      <c r="P663" s="54"/>
      <c r="Q663" s="52"/>
      <c r="R663" s="53"/>
      <c r="S663" s="57"/>
      <c r="T663" s="60"/>
      <c r="U663" s="61"/>
      <c r="V663" s="56"/>
      <c r="W663" s="54"/>
      <c r="X663" s="54"/>
      <c r="Y663" s="52"/>
      <c r="Z663" s="54"/>
      <c r="AA663" s="55"/>
      <c r="AB663" s="56"/>
      <c r="AC663" s="54"/>
      <c r="AD663" s="6">
        <f t="shared" si="34"/>
        <v>0</v>
      </c>
      <c r="AE663" s="49">
        <v>0</v>
      </c>
      <c r="AF663" s="5" t="s">
        <v>15</v>
      </c>
    </row>
    <row r="664" spans="1:32" ht="15.75" thickBot="1">
      <c r="A664" s="11">
        <v>44488</v>
      </c>
      <c r="B664" s="2">
        <f t="shared" si="32"/>
        <v>0</v>
      </c>
      <c r="C664" s="3"/>
      <c r="D664" s="4"/>
      <c r="E664" s="124"/>
      <c r="F664" s="10">
        <f t="shared" si="33"/>
        <v>0</v>
      </c>
      <c r="G664" s="3"/>
      <c r="H664" s="4"/>
      <c r="I664" s="52"/>
      <c r="J664" s="53"/>
      <c r="K664" s="54"/>
      <c r="L664" s="52"/>
      <c r="M664" s="53"/>
      <c r="N664" s="53"/>
      <c r="O664" s="52"/>
      <c r="P664" s="54"/>
      <c r="Q664" s="52"/>
      <c r="R664" s="53"/>
      <c r="S664" s="57"/>
      <c r="T664" s="60"/>
      <c r="U664" s="61"/>
      <c r="V664" s="56"/>
      <c r="W664" s="54"/>
      <c r="X664" s="54"/>
      <c r="Y664" s="52"/>
      <c r="Z664" s="54"/>
      <c r="AA664" s="55"/>
      <c r="AB664" s="56"/>
      <c r="AC664" s="54"/>
      <c r="AD664" s="6">
        <f t="shared" si="34"/>
        <v>0</v>
      </c>
      <c r="AE664" s="49">
        <v>0</v>
      </c>
      <c r="AF664" s="5" t="s">
        <v>15</v>
      </c>
    </row>
    <row r="665" spans="1:32" ht="15.75" thickBot="1">
      <c r="A665" s="11">
        <v>44489</v>
      </c>
      <c r="B665" s="2">
        <f t="shared" si="32"/>
        <v>0</v>
      </c>
      <c r="C665" s="3"/>
      <c r="D665" s="4"/>
      <c r="E665" s="124"/>
      <c r="F665" s="10">
        <f t="shared" si="33"/>
        <v>0</v>
      </c>
      <c r="G665" s="3"/>
      <c r="H665" s="4"/>
      <c r="I665" s="52"/>
      <c r="J665" s="53"/>
      <c r="K665" s="54"/>
      <c r="L665" s="52"/>
      <c r="M665" s="53"/>
      <c r="N665" s="53"/>
      <c r="O665" s="52"/>
      <c r="P665" s="54"/>
      <c r="Q665" s="52"/>
      <c r="R665" s="53"/>
      <c r="S665" s="57"/>
      <c r="T665" s="52"/>
      <c r="U665" s="54"/>
      <c r="V665" s="56"/>
      <c r="W665" s="54"/>
      <c r="X665" s="54"/>
      <c r="Y665" s="52"/>
      <c r="Z665" s="54"/>
      <c r="AA665" s="55"/>
      <c r="AB665" s="56"/>
      <c r="AC665" s="54"/>
      <c r="AD665" s="6">
        <f t="shared" si="34"/>
        <v>0</v>
      </c>
      <c r="AE665" s="49">
        <v>0</v>
      </c>
      <c r="AF665" s="5" t="s">
        <v>15</v>
      </c>
    </row>
    <row r="666" spans="1:32" ht="15.75" thickBot="1">
      <c r="A666" s="11">
        <v>44490</v>
      </c>
      <c r="B666" s="2">
        <f t="shared" ref="B666:B694" si="35">AE665</f>
        <v>0</v>
      </c>
      <c r="C666" s="3"/>
      <c r="D666" s="4"/>
      <c r="E666" s="124"/>
      <c r="F666" s="10">
        <f t="shared" ref="F666:F694" si="36">C666-D666-E666</f>
        <v>0</v>
      </c>
      <c r="G666" s="3"/>
      <c r="H666" s="4"/>
      <c r="I666" s="52"/>
      <c r="J666" s="53"/>
      <c r="K666" s="54"/>
      <c r="L666" s="52"/>
      <c r="M666" s="53"/>
      <c r="N666" s="53"/>
      <c r="O666" s="52"/>
      <c r="P666" s="54"/>
      <c r="Q666" s="52"/>
      <c r="R666" s="53"/>
      <c r="S666" s="57"/>
      <c r="T666" s="60"/>
      <c r="U666" s="61"/>
      <c r="V666" s="56"/>
      <c r="W666" s="54"/>
      <c r="X666" s="54"/>
      <c r="Y666" s="52"/>
      <c r="Z666" s="54"/>
      <c r="AA666" s="55"/>
      <c r="AB666" s="56"/>
      <c r="AC666" s="54"/>
      <c r="AD666" s="6">
        <f t="shared" ref="AD666:AD694" si="37">B666+F666-I666-L666-V666-G666-Q666-AC666-AE666</f>
        <v>0</v>
      </c>
      <c r="AE666" s="49">
        <v>0</v>
      </c>
      <c r="AF666" s="5" t="s">
        <v>15</v>
      </c>
    </row>
    <row r="667" spans="1:32" ht="15.75" thickBot="1">
      <c r="A667" s="11">
        <v>44491</v>
      </c>
      <c r="B667" s="2">
        <f t="shared" si="35"/>
        <v>0</v>
      </c>
      <c r="C667" s="3"/>
      <c r="D667" s="4"/>
      <c r="E667" s="124"/>
      <c r="F667" s="10">
        <f t="shared" si="36"/>
        <v>0</v>
      </c>
      <c r="G667" s="3"/>
      <c r="H667" s="4"/>
      <c r="I667" s="52"/>
      <c r="J667" s="53"/>
      <c r="K667" s="54"/>
      <c r="L667" s="52"/>
      <c r="M667" s="53"/>
      <c r="N667" s="53"/>
      <c r="O667" s="52"/>
      <c r="P667" s="54"/>
      <c r="Q667" s="52"/>
      <c r="R667" s="53"/>
      <c r="S667" s="57"/>
      <c r="T667" s="60"/>
      <c r="U667" s="61"/>
      <c r="V667" s="56"/>
      <c r="W667" s="54"/>
      <c r="X667" s="54"/>
      <c r="Y667" s="52"/>
      <c r="Z667" s="54"/>
      <c r="AA667" s="55"/>
      <c r="AB667" s="56"/>
      <c r="AC667" s="54"/>
      <c r="AD667" s="6">
        <f t="shared" si="37"/>
        <v>0</v>
      </c>
      <c r="AE667" s="49">
        <v>0</v>
      </c>
      <c r="AF667" s="5" t="s">
        <v>15</v>
      </c>
    </row>
    <row r="668" spans="1:32" ht="15.75" thickBot="1">
      <c r="A668" s="11">
        <v>44492</v>
      </c>
      <c r="B668" s="2">
        <f t="shared" si="35"/>
        <v>0</v>
      </c>
      <c r="C668" s="3"/>
      <c r="D668" s="4"/>
      <c r="E668" s="124"/>
      <c r="F668" s="10">
        <f t="shared" si="36"/>
        <v>0</v>
      </c>
      <c r="G668" s="3"/>
      <c r="H668" s="4"/>
      <c r="I668" s="52"/>
      <c r="J668" s="53"/>
      <c r="K668" s="54"/>
      <c r="L668" s="52"/>
      <c r="M668" s="53"/>
      <c r="N668" s="53"/>
      <c r="O668" s="52"/>
      <c r="P668" s="54"/>
      <c r="Q668" s="52"/>
      <c r="R668" s="53"/>
      <c r="S668" s="57"/>
      <c r="T668" s="60"/>
      <c r="U668" s="61"/>
      <c r="V668" s="56"/>
      <c r="W668" s="54"/>
      <c r="X668" s="54"/>
      <c r="Y668" s="52"/>
      <c r="Z668" s="54"/>
      <c r="AA668" s="55"/>
      <c r="AB668" s="56"/>
      <c r="AC668" s="54"/>
      <c r="AD668" s="6">
        <f t="shared" si="37"/>
        <v>0</v>
      </c>
      <c r="AE668" s="49">
        <v>0</v>
      </c>
      <c r="AF668" s="5" t="s">
        <v>15</v>
      </c>
    </row>
    <row r="669" spans="1:32" ht="15.75" thickBot="1">
      <c r="A669" s="11">
        <v>44493</v>
      </c>
      <c r="B669" s="2">
        <f t="shared" si="35"/>
        <v>0</v>
      </c>
      <c r="C669" s="3"/>
      <c r="D669" s="4"/>
      <c r="E669" s="124"/>
      <c r="F669" s="10">
        <f t="shared" si="36"/>
        <v>0</v>
      </c>
      <c r="G669" s="3"/>
      <c r="H669" s="4"/>
      <c r="I669" s="52"/>
      <c r="J669" s="53"/>
      <c r="K669" s="54"/>
      <c r="L669" s="52"/>
      <c r="M669" s="53"/>
      <c r="N669" s="53"/>
      <c r="O669" s="52"/>
      <c r="P669" s="54"/>
      <c r="Q669" s="52"/>
      <c r="R669" s="53"/>
      <c r="S669" s="57"/>
      <c r="T669" s="60"/>
      <c r="U669" s="61"/>
      <c r="V669" s="56"/>
      <c r="W669" s="54"/>
      <c r="X669" s="54"/>
      <c r="Y669" s="52"/>
      <c r="Z669" s="54"/>
      <c r="AA669" s="55"/>
      <c r="AB669" s="56"/>
      <c r="AC669" s="54"/>
      <c r="AD669" s="6">
        <f t="shared" si="37"/>
        <v>0</v>
      </c>
      <c r="AE669" s="49">
        <v>0</v>
      </c>
      <c r="AF669" s="5" t="s">
        <v>15</v>
      </c>
    </row>
    <row r="670" spans="1:32" ht="15.75" thickBot="1">
      <c r="A670" s="11">
        <v>44494</v>
      </c>
      <c r="B670" s="2">
        <f t="shared" si="35"/>
        <v>0</v>
      </c>
      <c r="C670" s="3"/>
      <c r="D670" s="4"/>
      <c r="E670" s="124"/>
      <c r="F670" s="10">
        <f t="shared" si="36"/>
        <v>0</v>
      </c>
      <c r="G670" s="3"/>
      <c r="H670" s="4"/>
      <c r="I670" s="52"/>
      <c r="J670" s="53"/>
      <c r="K670" s="54"/>
      <c r="L670" s="52"/>
      <c r="M670" s="53"/>
      <c r="N670" s="53"/>
      <c r="O670" s="52"/>
      <c r="P670" s="54"/>
      <c r="Q670" s="52"/>
      <c r="R670" s="53"/>
      <c r="S670" s="57"/>
      <c r="T670" s="60"/>
      <c r="U670" s="61"/>
      <c r="V670" s="56"/>
      <c r="W670" s="54"/>
      <c r="X670" s="54"/>
      <c r="Y670" s="52"/>
      <c r="Z670" s="54"/>
      <c r="AA670" s="55"/>
      <c r="AB670" s="56"/>
      <c r="AC670" s="54"/>
      <c r="AD670" s="6">
        <f t="shared" si="37"/>
        <v>0</v>
      </c>
      <c r="AE670" s="49">
        <v>0</v>
      </c>
      <c r="AF670" s="5" t="s">
        <v>15</v>
      </c>
    </row>
    <row r="671" spans="1:32" ht="15.75" thickBot="1">
      <c r="A671" s="11">
        <v>44495</v>
      </c>
      <c r="B671" s="2">
        <f t="shared" si="35"/>
        <v>0</v>
      </c>
      <c r="C671" s="3"/>
      <c r="D671" s="4"/>
      <c r="E671" s="124"/>
      <c r="F671" s="10">
        <f t="shared" si="36"/>
        <v>0</v>
      </c>
      <c r="G671" s="3"/>
      <c r="H671" s="4"/>
      <c r="I671" s="52"/>
      <c r="J671" s="53"/>
      <c r="K671" s="54"/>
      <c r="L671" s="52"/>
      <c r="M671" s="53"/>
      <c r="N671" s="53"/>
      <c r="O671" s="52"/>
      <c r="P671" s="54"/>
      <c r="Q671" s="52"/>
      <c r="R671" s="53"/>
      <c r="S671" s="57"/>
      <c r="T671" s="60"/>
      <c r="U671" s="61"/>
      <c r="V671" s="56"/>
      <c r="W671" s="54"/>
      <c r="X671" s="54"/>
      <c r="Y671" s="52"/>
      <c r="Z671" s="54"/>
      <c r="AA671" s="55"/>
      <c r="AB671" s="56"/>
      <c r="AC671" s="54"/>
      <c r="AD671" s="6">
        <f t="shared" si="37"/>
        <v>0</v>
      </c>
      <c r="AE671" s="49">
        <v>0</v>
      </c>
      <c r="AF671" s="5" t="s">
        <v>15</v>
      </c>
    </row>
    <row r="672" spans="1:32" ht="15.75" thickBot="1">
      <c r="A672" s="11">
        <v>44496</v>
      </c>
      <c r="B672" s="2">
        <f t="shared" si="35"/>
        <v>0</v>
      </c>
      <c r="C672" s="3"/>
      <c r="D672" s="4"/>
      <c r="E672" s="124"/>
      <c r="F672" s="10">
        <f t="shared" si="36"/>
        <v>0</v>
      </c>
      <c r="G672" s="3"/>
      <c r="H672" s="4"/>
      <c r="I672" s="52"/>
      <c r="J672" s="53"/>
      <c r="K672" s="54"/>
      <c r="L672" s="52"/>
      <c r="M672" s="53"/>
      <c r="N672" s="53"/>
      <c r="O672" s="52"/>
      <c r="P672" s="54"/>
      <c r="Q672" s="52"/>
      <c r="R672" s="53"/>
      <c r="S672" s="57"/>
      <c r="T672" s="60"/>
      <c r="U672" s="61"/>
      <c r="V672" s="56"/>
      <c r="W672" s="54"/>
      <c r="X672" s="54"/>
      <c r="Y672" s="52"/>
      <c r="Z672" s="54"/>
      <c r="AA672" s="55"/>
      <c r="AB672" s="56"/>
      <c r="AC672" s="54"/>
      <c r="AD672" s="6">
        <f t="shared" si="37"/>
        <v>0</v>
      </c>
      <c r="AE672" s="49">
        <v>0</v>
      </c>
      <c r="AF672" s="5" t="s">
        <v>15</v>
      </c>
    </row>
    <row r="673" spans="1:32" ht="15.75" thickBot="1">
      <c r="A673" s="11">
        <v>44497</v>
      </c>
      <c r="B673" s="2">
        <f t="shared" si="35"/>
        <v>0</v>
      </c>
      <c r="C673" s="3"/>
      <c r="D673" s="4"/>
      <c r="E673" s="124"/>
      <c r="F673" s="10">
        <f t="shared" si="36"/>
        <v>0</v>
      </c>
      <c r="G673" s="3"/>
      <c r="H673" s="4"/>
      <c r="I673" s="52"/>
      <c r="J673" s="53"/>
      <c r="K673" s="54"/>
      <c r="L673" s="52"/>
      <c r="M673" s="53"/>
      <c r="N673" s="53"/>
      <c r="O673" s="52"/>
      <c r="P673" s="54"/>
      <c r="Q673" s="52"/>
      <c r="R673" s="53"/>
      <c r="S673" s="57"/>
      <c r="T673" s="52"/>
      <c r="U673" s="54"/>
      <c r="V673" s="56"/>
      <c r="W673" s="54"/>
      <c r="X673" s="54"/>
      <c r="Y673" s="52"/>
      <c r="Z673" s="54"/>
      <c r="AA673" s="55"/>
      <c r="AB673" s="56"/>
      <c r="AC673" s="54"/>
      <c r="AD673" s="6">
        <f t="shared" si="37"/>
        <v>0</v>
      </c>
      <c r="AE673" s="49">
        <v>0</v>
      </c>
      <c r="AF673" s="5" t="s">
        <v>15</v>
      </c>
    </row>
    <row r="674" spans="1:32" ht="15.75" thickBot="1">
      <c r="A674" s="11">
        <v>44498</v>
      </c>
      <c r="B674" s="2">
        <f t="shared" si="35"/>
        <v>0</v>
      </c>
      <c r="C674" s="3"/>
      <c r="D674" s="4"/>
      <c r="E674" s="124"/>
      <c r="F674" s="10">
        <f t="shared" si="36"/>
        <v>0</v>
      </c>
      <c r="G674" s="3"/>
      <c r="H674" s="4"/>
      <c r="I674" s="52"/>
      <c r="J674" s="53"/>
      <c r="K674" s="54"/>
      <c r="L674" s="52"/>
      <c r="M674" s="53"/>
      <c r="N674" s="53"/>
      <c r="O674" s="52"/>
      <c r="P674" s="54"/>
      <c r="Q674" s="52"/>
      <c r="R674" s="53"/>
      <c r="S674" s="57"/>
      <c r="T674" s="60"/>
      <c r="U674" s="61"/>
      <c r="V674" s="56"/>
      <c r="W674" s="54"/>
      <c r="X674" s="54"/>
      <c r="Y674" s="52"/>
      <c r="Z674" s="54"/>
      <c r="AA674" s="55"/>
      <c r="AB674" s="56"/>
      <c r="AC674" s="54"/>
      <c r="AD674" s="6">
        <f t="shared" si="37"/>
        <v>0</v>
      </c>
      <c r="AE674" s="49">
        <v>0</v>
      </c>
      <c r="AF674" s="5" t="s">
        <v>15</v>
      </c>
    </row>
    <row r="675" spans="1:32" ht="15.75" thickBot="1">
      <c r="A675" s="11">
        <v>44499</v>
      </c>
      <c r="B675" s="2">
        <f t="shared" si="35"/>
        <v>0</v>
      </c>
      <c r="C675" s="3"/>
      <c r="D675" s="4"/>
      <c r="E675" s="124"/>
      <c r="F675" s="10">
        <f t="shared" si="36"/>
        <v>0</v>
      </c>
      <c r="G675" s="3"/>
      <c r="H675" s="4"/>
      <c r="I675" s="52"/>
      <c r="J675" s="53"/>
      <c r="K675" s="54"/>
      <c r="L675" s="52"/>
      <c r="M675" s="53"/>
      <c r="N675" s="53"/>
      <c r="O675" s="52"/>
      <c r="P675" s="54"/>
      <c r="Q675" s="52"/>
      <c r="R675" s="53"/>
      <c r="S675" s="57"/>
      <c r="T675" s="60"/>
      <c r="U675" s="61"/>
      <c r="V675" s="56"/>
      <c r="W675" s="54"/>
      <c r="X675" s="54"/>
      <c r="Y675" s="52"/>
      <c r="Z675" s="54"/>
      <c r="AA675" s="55"/>
      <c r="AB675" s="56"/>
      <c r="AC675" s="54"/>
      <c r="AD675" s="6">
        <f t="shared" si="37"/>
        <v>0</v>
      </c>
      <c r="AE675" s="49">
        <v>0</v>
      </c>
      <c r="AF675" s="5" t="s">
        <v>15</v>
      </c>
    </row>
    <row r="676" spans="1:32" ht="15.75" thickBot="1">
      <c r="A676" s="11">
        <v>44500</v>
      </c>
      <c r="B676" s="2">
        <f t="shared" si="35"/>
        <v>0</v>
      </c>
      <c r="C676" s="3"/>
      <c r="D676" s="4"/>
      <c r="E676" s="124"/>
      <c r="F676" s="10">
        <f t="shared" si="36"/>
        <v>0</v>
      </c>
      <c r="G676" s="3"/>
      <c r="H676" s="4"/>
      <c r="I676" s="52"/>
      <c r="J676" s="53"/>
      <c r="K676" s="54"/>
      <c r="L676" s="52"/>
      <c r="M676" s="53"/>
      <c r="N676" s="53"/>
      <c r="O676" s="52"/>
      <c r="P676" s="54"/>
      <c r="Q676" s="52"/>
      <c r="R676" s="53"/>
      <c r="S676" s="57"/>
      <c r="T676" s="60"/>
      <c r="U676" s="61"/>
      <c r="V676" s="56"/>
      <c r="W676" s="54"/>
      <c r="X676" s="54"/>
      <c r="Y676" s="52"/>
      <c r="Z676" s="54"/>
      <c r="AA676" s="55"/>
      <c r="AB676" s="56"/>
      <c r="AC676" s="54"/>
      <c r="AD676" s="6">
        <f t="shared" si="37"/>
        <v>0</v>
      </c>
      <c r="AE676" s="49">
        <v>0</v>
      </c>
      <c r="AF676" s="5" t="s">
        <v>15</v>
      </c>
    </row>
    <row r="677" spans="1:32" ht="15.75" thickBot="1">
      <c r="A677" s="11">
        <v>44501</v>
      </c>
      <c r="B677" s="2">
        <f t="shared" si="35"/>
        <v>0</v>
      </c>
      <c r="C677" s="3"/>
      <c r="D677" s="4"/>
      <c r="E677" s="124"/>
      <c r="F677" s="10">
        <f t="shared" si="36"/>
        <v>0</v>
      </c>
      <c r="G677" s="3"/>
      <c r="H677" s="4"/>
      <c r="I677" s="52"/>
      <c r="J677" s="53"/>
      <c r="K677" s="54"/>
      <c r="L677" s="52"/>
      <c r="M677" s="53"/>
      <c r="N677" s="53"/>
      <c r="O677" s="52"/>
      <c r="P677" s="54"/>
      <c r="Q677" s="52"/>
      <c r="R677" s="53"/>
      <c r="S677" s="57"/>
      <c r="T677" s="60"/>
      <c r="U677" s="61"/>
      <c r="V677" s="56"/>
      <c r="W677" s="54"/>
      <c r="X677" s="54"/>
      <c r="Y677" s="52"/>
      <c r="Z677" s="54"/>
      <c r="AA677" s="55"/>
      <c r="AB677" s="56"/>
      <c r="AC677" s="54"/>
      <c r="AD677" s="6">
        <f t="shared" si="37"/>
        <v>0</v>
      </c>
      <c r="AE677" s="49">
        <v>0</v>
      </c>
      <c r="AF677" s="5" t="s">
        <v>15</v>
      </c>
    </row>
    <row r="678" spans="1:32" ht="15.75" thickBot="1">
      <c r="A678" s="11">
        <v>44502</v>
      </c>
      <c r="B678" s="2">
        <f t="shared" si="35"/>
        <v>0</v>
      </c>
      <c r="C678" s="3"/>
      <c r="D678" s="4"/>
      <c r="E678" s="124"/>
      <c r="F678" s="10">
        <f t="shared" si="36"/>
        <v>0</v>
      </c>
      <c r="G678" s="3"/>
      <c r="H678" s="4"/>
      <c r="I678" s="52"/>
      <c r="J678" s="53"/>
      <c r="K678" s="54"/>
      <c r="L678" s="52"/>
      <c r="M678" s="53"/>
      <c r="N678" s="53"/>
      <c r="O678" s="52"/>
      <c r="P678" s="54"/>
      <c r="Q678" s="52"/>
      <c r="R678" s="53"/>
      <c r="S678" s="57"/>
      <c r="T678" s="60"/>
      <c r="U678" s="61"/>
      <c r="V678" s="56"/>
      <c r="W678" s="54"/>
      <c r="X678" s="54"/>
      <c r="Y678" s="52"/>
      <c r="Z678" s="54"/>
      <c r="AA678" s="55"/>
      <c r="AB678" s="56"/>
      <c r="AC678" s="54"/>
      <c r="AD678" s="6">
        <f t="shared" si="37"/>
        <v>0</v>
      </c>
      <c r="AE678" s="49">
        <v>0</v>
      </c>
      <c r="AF678" s="5" t="s">
        <v>15</v>
      </c>
    </row>
    <row r="679" spans="1:32" ht="15.75" thickBot="1">
      <c r="A679" s="11">
        <v>44503</v>
      </c>
      <c r="B679" s="2">
        <f t="shared" si="35"/>
        <v>0</v>
      </c>
      <c r="C679" s="3"/>
      <c r="D679" s="4"/>
      <c r="E679" s="124"/>
      <c r="F679" s="10">
        <f t="shared" si="36"/>
        <v>0</v>
      </c>
      <c r="G679" s="3"/>
      <c r="H679" s="4"/>
      <c r="I679" s="52"/>
      <c r="J679" s="53"/>
      <c r="K679" s="54"/>
      <c r="L679" s="52"/>
      <c r="M679" s="53"/>
      <c r="N679" s="53"/>
      <c r="O679" s="52"/>
      <c r="P679" s="54"/>
      <c r="Q679" s="52"/>
      <c r="R679" s="53"/>
      <c r="S679" s="57"/>
      <c r="T679" s="60"/>
      <c r="U679" s="61"/>
      <c r="V679" s="56"/>
      <c r="W679" s="54"/>
      <c r="X679" s="54"/>
      <c r="Y679" s="52"/>
      <c r="Z679" s="54"/>
      <c r="AA679" s="55"/>
      <c r="AB679" s="56"/>
      <c r="AC679" s="54"/>
      <c r="AD679" s="6">
        <f t="shared" si="37"/>
        <v>0</v>
      </c>
      <c r="AE679" s="49">
        <v>0</v>
      </c>
      <c r="AF679" s="5" t="s">
        <v>15</v>
      </c>
    </row>
    <row r="680" spans="1:32" ht="15.75" thickBot="1">
      <c r="A680" s="11">
        <v>44504</v>
      </c>
      <c r="B680" s="2">
        <f t="shared" si="35"/>
        <v>0</v>
      </c>
      <c r="C680" s="3"/>
      <c r="D680" s="4"/>
      <c r="E680" s="124"/>
      <c r="F680" s="10">
        <f t="shared" si="36"/>
        <v>0</v>
      </c>
      <c r="G680" s="3"/>
      <c r="H680" s="4"/>
      <c r="I680" s="52"/>
      <c r="J680" s="53"/>
      <c r="K680" s="54"/>
      <c r="L680" s="52"/>
      <c r="M680" s="53"/>
      <c r="N680" s="53"/>
      <c r="O680" s="52"/>
      <c r="P680" s="54"/>
      <c r="Q680" s="52"/>
      <c r="R680" s="53"/>
      <c r="S680" s="57"/>
      <c r="T680" s="60"/>
      <c r="U680" s="61"/>
      <c r="V680" s="56"/>
      <c r="W680" s="54"/>
      <c r="X680" s="54"/>
      <c r="Y680" s="52"/>
      <c r="Z680" s="54"/>
      <c r="AA680" s="55"/>
      <c r="AB680" s="56"/>
      <c r="AC680" s="54"/>
      <c r="AD680" s="6">
        <f t="shared" si="37"/>
        <v>0</v>
      </c>
      <c r="AE680" s="49">
        <v>0</v>
      </c>
      <c r="AF680" s="5" t="s">
        <v>15</v>
      </c>
    </row>
    <row r="681" spans="1:32" ht="15.75" thickBot="1">
      <c r="A681" s="11">
        <v>44505</v>
      </c>
      <c r="B681" s="2">
        <f t="shared" si="35"/>
        <v>0</v>
      </c>
      <c r="C681" s="3"/>
      <c r="D681" s="4"/>
      <c r="E681" s="124"/>
      <c r="F681" s="10">
        <f t="shared" si="36"/>
        <v>0</v>
      </c>
      <c r="G681" s="3"/>
      <c r="H681" s="4"/>
      <c r="I681" s="52"/>
      <c r="J681" s="53"/>
      <c r="K681" s="54"/>
      <c r="L681" s="52"/>
      <c r="M681" s="53"/>
      <c r="N681" s="53"/>
      <c r="O681" s="52"/>
      <c r="P681" s="54"/>
      <c r="Q681" s="52"/>
      <c r="R681" s="53"/>
      <c r="S681" s="57"/>
      <c r="T681" s="52"/>
      <c r="U681" s="54"/>
      <c r="V681" s="56"/>
      <c r="W681" s="54"/>
      <c r="X681" s="54"/>
      <c r="Y681" s="52"/>
      <c r="Z681" s="54"/>
      <c r="AA681" s="55"/>
      <c r="AB681" s="56"/>
      <c r="AC681" s="54"/>
      <c r="AD681" s="6">
        <f t="shared" si="37"/>
        <v>0</v>
      </c>
      <c r="AE681" s="49">
        <v>0</v>
      </c>
      <c r="AF681" s="5" t="s">
        <v>15</v>
      </c>
    </row>
    <row r="682" spans="1:32" ht="15.75" thickBot="1">
      <c r="A682" s="11">
        <v>44506</v>
      </c>
      <c r="B682" s="2">
        <f t="shared" si="35"/>
        <v>0</v>
      </c>
      <c r="C682" s="3"/>
      <c r="D682" s="4"/>
      <c r="E682" s="124"/>
      <c r="F682" s="10">
        <f t="shared" si="36"/>
        <v>0</v>
      </c>
      <c r="G682" s="3"/>
      <c r="H682" s="4"/>
      <c r="I682" s="52"/>
      <c r="J682" s="53"/>
      <c r="K682" s="54"/>
      <c r="L682" s="52"/>
      <c r="M682" s="53"/>
      <c r="N682" s="53"/>
      <c r="O682" s="52"/>
      <c r="P682" s="54"/>
      <c r="Q682" s="52"/>
      <c r="R682" s="53"/>
      <c r="S682" s="57"/>
      <c r="T682" s="60"/>
      <c r="U682" s="61"/>
      <c r="V682" s="56"/>
      <c r="W682" s="54"/>
      <c r="X682" s="54"/>
      <c r="Y682" s="52"/>
      <c r="Z682" s="54"/>
      <c r="AA682" s="55"/>
      <c r="AB682" s="56"/>
      <c r="AC682" s="54"/>
      <c r="AD682" s="6">
        <f t="shared" si="37"/>
        <v>0</v>
      </c>
      <c r="AE682" s="49">
        <v>0</v>
      </c>
      <c r="AF682" s="5" t="s">
        <v>15</v>
      </c>
    </row>
    <row r="683" spans="1:32" ht="15.75" thickBot="1">
      <c r="A683" s="11">
        <v>44507</v>
      </c>
      <c r="B683" s="2">
        <f t="shared" si="35"/>
        <v>0</v>
      </c>
      <c r="C683" s="3"/>
      <c r="D683" s="4"/>
      <c r="E683" s="124"/>
      <c r="F683" s="10">
        <f t="shared" si="36"/>
        <v>0</v>
      </c>
      <c r="G683" s="3"/>
      <c r="H683" s="4"/>
      <c r="I683" s="52"/>
      <c r="J683" s="53"/>
      <c r="K683" s="54"/>
      <c r="L683" s="52"/>
      <c r="M683" s="53"/>
      <c r="N683" s="53"/>
      <c r="O683" s="52"/>
      <c r="P683" s="54"/>
      <c r="Q683" s="52"/>
      <c r="R683" s="53"/>
      <c r="S683" s="57"/>
      <c r="T683" s="60"/>
      <c r="U683" s="61"/>
      <c r="V683" s="56"/>
      <c r="W683" s="54"/>
      <c r="X683" s="54"/>
      <c r="Y683" s="52"/>
      <c r="Z683" s="54"/>
      <c r="AA683" s="55"/>
      <c r="AB683" s="56"/>
      <c r="AC683" s="54"/>
      <c r="AD683" s="6">
        <f t="shared" si="37"/>
        <v>0</v>
      </c>
      <c r="AE683" s="49">
        <v>0</v>
      </c>
      <c r="AF683" s="5" t="s">
        <v>15</v>
      </c>
    </row>
    <row r="684" spans="1:32" ht="15.75" thickBot="1">
      <c r="A684" s="11">
        <v>44508</v>
      </c>
      <c r="B684" s="2">
        <f t="shared" si="35"/>
        <v>0</v>
      </c>
      <c r="C684" s="3"/>
      <c r="D684" s="4"/>
      <c r="E684" s="124"/>
      <c r="F684" s="10">
        <f t="shared" si="36"/>
        <v>0</v>
      </c>
      <c r="G684" s="3"/>
      <c r="H684" s="4"/>
      <c r="I684" s="52"/>
      <c r="J684" s="53"/>
      <c r="K684" s="54"/>
      <c r="L684" s="52"/>
      <c r="M684" s="53"/>
      <c r="N684" s="53"/>
      <c r="O684" s="52"/>
      <c r="P684" s="54"/>
      <c r="Q684" s="52"/>
      <c r="R684" s="53"/>
      <c r="S684" s="57"/>
      <c r="T684" s="60"/>
      <c r="U684" s="61"/>
      <c r="V684" s="56"/>
      <c r="W684" s="54"/>
      <c r="X684" s="54"/>
      <c r="Y684" s="52"/>
      <c r="Z684" s="54"/>
      <c r="AA684" s="55"/>
      <c r="AB684" s="56"/>
      <c r="AC684" s="54"/>
      <c r="AD684" s="6">
        <f t="shared" si="37"/>
        <v>0</v>
      </c>
      <c r="AE684" s="49">
        <v>0</v>
      </c>
      <c r="AF684" s="5" t="s">
        <v>15</v>
      </c>
    </row>
    <row r="685" spans="1:32" ht="15.75" thickBot="1">
      <c r="A685" s="11">
        <v>44509</v>
      </c>
      <c r="B685" s="2">
        <f t="shared" si="35"/>
        <v>0</v>
      </c>
      <c r="C685" s="3"/>
      <c r="D685" s="4"/>
      <c r="E685" s="124"/>
      <c r="F685" s="10">
        <f t="shared" si="36"/>
        <v>0</v>
      </c>
      <c r="G685" s="3"/>
      <c r="H685" s="4"/>
      <c r="I685" s="52"/>
      <c r="J685" s="53"/>
      <c r="K685" s="54"/>
      <c r="L685" s="52"/>
      <c r="M685" s="53"/>
      <c r="N685" s="53"/>
      <c r="O685" s="52"/>
      <c r="P685" s="54"/>
      <c r="Q685" s="52"/>
      <c r="R685" s="53"/>
      <c r="S685" s="57"/>
      <c r="T685" s="60"/>
      <c r="U685" s="61"/>
      <c r="V685" s="56"/>
      <c r="W685" s="54"/>
      <c r="X685" s="54"/>
      <c r="Y685" s="52"/>
      <c r="Z685" s="54"/>
      <c r="AA685" s="55"/>
      <c r="AB685" s="56"/>
      <c r="AC685" s="54"/>
      <c r="AD685" s="6">
        <f t="shared" si="37"/>
        <v>0</v>
      </c>
      <c r="AE685" s="49">
        <v>0</v>
      </c>
      <c r="AF685" s="5" t="s">
        <v>15</v>
      </c>
    </row>
    <row r="686" spans="1:32" ht="15.75" thickBot="1">
      <c r="A686" s="11">
        <v>44510</v>
      </c>
      <c r="B686" s="2">
        <f t="shared" si="35"/>
        <v>0</v>
      </c>
      <c r="C686" s="3"/>
      <c r="D686" s="4"/>
      <c r="E686" s="124"/>
      <c r="F686" s="10">
        <f t="shared" si="36"/>
        <v>0</v>
      </c>
      <c r="G686" s="3"/>
      <c r="H686" s="4"/>
      <c r="I686" s="52"/>
      <c r="J686" s="53"/>
      <c r="K686" s="54"/>
      <c r="L686" s="52"/>
      <c r="M686" s="53"/>
      <c r="N686" s="53"/>
      <c r="O686" s="52"/>
      <c r="P686" s="54"/>
      <c r="Q686" s="52"/>
      <c r="R686" s="53"/>
      <c r="S686" s="57"/>
      <c r="T686" s="60"/>
      <c r="U686" s="61"/>
      <c r="V686" s="56"/>
      <c r="W686" s="54"/>
      <c r="X686" s="54"/>
      <c r="Y686" s="52"/>
      <c r="Z686" s="54"/>
      <c r="AA686" s="55"/>
      <c r="AB686" s="56"/>
      <c r="AC686" s="54"/>
      <c r="AD686" s="6">
        <f t="shared" si="37"/>
        <v>0</v>
      </c>
      <c r="AE686" s="49">
        <v>0</v>
      </c>
      <c r="AF686" s="5" t="s">
        <v>15</v>
      </c>
    </row>
    <row r="687" spans="1:32" ht="15.75" thickBot="1">
      <c r="A687" s="11">
        <v>44511</v>
      </c>
      <c r="B687" s="2">
        <f t="shared" si="35"/>
        <v>0</v>
      </c>
      <c r="C687" s="3"/>
      <c r="D687" s="4"/>
      <c r="E687" s="124"/>
      <c r="F687" s="10">
        <f t="shared" si="36"/>
        <v>0</v>
      </c>
      <c r="G687" s="3"/>
      <c r="H687" s="4"/>
      <c r="I687" s="52"/>
      <c r="J687" s="53"/>
      <c r="K687" s="54"/>
      <c r="L687" s="52"/>
      <c r="M687" s="53"/>
      <c r="N687" s="53"/>
      <c r="O687" s="52"/>
      <c r="P687" s="54"/>
      <c r="Q687" s="52"/>
      <c r="R687" s="53"/>
      <c r="S687" s="57"/>
      <c r="T687" s="60"/>
      <c r="U687" s="61"/>
      <c r="V687" s="56"/>
      <c r="W687" s="54"/>
      <c r="X687" s="54"/>
      <c r="Y687" s="52"/>
      <c r="Z687" s="54"/>
      <c r="AA687" s="55"/>
      <c r="AB687" s="56"/>
      <c r="AC687" s="54"/>
      <c r="AD687" s="6">
        <f t="shared" si="37"/>
        <v>0</v>
      </c>
      <c r="AE687" s="49">
        <v>0</v>
      </c>
      <c r="AF687" s="5" t="s">
        <v>15</v>
      </c>
    </row>
    <row r="688" spans="1:32" ht="15.75" thickBot="1">
      <c r="A688" s="11">
        <v>44512</v>
      </c>
      <c r="B688" s="2">
        <f t="shared" si="35"/>
        <v>0</v>
      </c>
      <c r="C688" s="3"/>
      <c r="D688" s="4"/>
      <c r="E688" s="124"/>
      <c r="F688" s="10">
        <f t="shared" si="36"/>
        <v>0</v>
      </c>
      <c r="G688" s="3"/>
      <c r="H688" s="4"/>
      <c r="I688" s="52"/>
      <c r="J688" s="53"/>
      <c r="K688" s="54"/>
      <c r="L688" s="52"/>
      <c r="M688" s="53"/>
      <c r="N688" s="53"/>
      <c r="O688" s="52"/>
      <c r="P688" s="54"/>
      <c r="Q688" s="52"/>
      <c r="R688" s="53"/>
      <c r="S688" s="57"/>
      <c r="T688" s="60"/>
      <c r="U688" s="61"/>
      <c r="V688" s="56"/>
      <c r="W688" s="54"/>
      <c r="X688" s="54"/>
      <c r="Y688" s="52"/>
      <c r="Z688" s="54"/>
      <c r="AA688" s="55"/>
      <c r="AB688" s="56"/>
      <c r="AC688" s="54"/>
      <c r="AD688" s="6">
        <f t="shared" si="37"/>
        <v>0</v>
      </c>
      <c r="AE688" s="49">
        <v>0</v>
      </c>
      <c r="AF688" s="5" t="s">
        <v>15</v>
      </c>
    </row>
    <row r="689" spans="1:32" ht="15.75" thickBot="1">
      <c r="A689" s="11">
        <v>44513</v>
      </c>
      <c r="B689" s="2">
        <f t="shared" si="35"/>
        <v>0</v>
      </c>
      <c r="C689" s="3"/>
      <c r="D689" s="4"/>
      <c r="E689" s="124"/>
      <c r="F689" s="10">
        <f t="shared" si="36"/>
        <v>0</v>
      </c>
      <c r="G689" s="3"/>
      <c r="H689" s="4"/>
      <c r="I689" s="52"/>
      <c r="J689" s="53"/>
      <c r="K689" s="54"/>
      <c r="L689" s="52"/>
      <c r="M689" s="53"/>
      <c r="N689" s="53"/>
      <c r="O689" s="52"/>
      <c r="P689" s="54"/>
      <c r="Q689" s="52"/>
      <c r="R689" s="53"/>
      <c r="S689" s="57"/>
      <c r="T689" s="52"/>
      <c r="U689" s="54"/>
      <c r="V689" s="56"/>
      <c r="W689" s="54"/>
      <c r="X689" s="54"/>
      <c r="Y689" s="52"/>
      <c r="Z689" s="54"/>
      <c r="AA689" s="55"/>
      <c r="AB689" s="56"/>
      <c r="AC689" s="54"/>
      <c r="AD689" s="6">
        <f t="shared" si="37"/>
        <v>0</v>
      </c>
      <c r="AE689" s="49">
        <v>0</v>
      </c>
      <c r="AF689" s="5" t="s">
        <v>15</v>
      </c>
    </row>
    <row r="690" spans="1:32" ht="15.75" thickBot="1">
      <c r="A690" s="11">
        <v>44514</v>
      </c>
      <c r="B690" s="2">
        <f t="shared" si="35"/>
        <v>0</v>
      </c>
      <c r="C690" s="3"/>
      <c r="D690" s="4"/>
      <c r="E690" s="124"/>
      <c r="F690" s="10">
        <f t="shared" si="36"/>
        <v>0</v>
      </c>
      <c r="G690" s="3"/>
      <c r="H690" s="4"/>
      <c r="I690" s="52"/>
      <c r="J690" s="53"/>
      <c r="K690" s="54"/>
      <c r="L690" s="52"/>
      <c r="M690" s="53"/>
      <c r="N690" s="53"/>
      <c r="O690" s="52"/>
      <c r="P690" s="54"/>
      <c r="Q690" s="52"/>
      <c r="R690" s="53"/>
      <c r="S690" s="57"/>
      <c r="T690" s="60"/>
      <c r="U690" s="61"/>
      <c r="V690" s="56"/>
      <c r="W690" s="54"/>
      <c r="X690" s="54"/>
      <c r="Y690" s="52"/>
      <c r="Z690" s="54"/>
      <c r="AA690" s="55"/>
      <c r="AB690" s="56"/>
      <c r="AC690" s="54"/>
      <c r="AD690" s="6">
        <f t="shared" si="37"/>
        <v>0</v>
      </c>
      <c r="AE690" s="49">
        <v>0</v>
      </c>
      <c r="AF690" s="5" t="s">
        <v>15</v>
      </c>
    </row>
    <row r="691" spans="1:32" ht="15.75" thickBot="1">
      <c r="A691" s="11">
        <v>44515</v>
      </c>
      <c r="B691" s="2">
        <f t="shared" si="35"/>
        <v>0</v>
      </c>
      <c r="C691" s="3"/>
      <c r="D691" s="4"/>
      <c r="E691" s="124"/>
      <c r="F691" s="10">
        <f t="shared" si="36"/>
        <v>0</v>
      </c>
      <c r="G691" s="3"/>
      <c r="H691" s="4"/>
      <c r="I691" s="52"/>
      <c r="J691" s="53"/>
      <c r="K691" s="54"/>
      <c r="L691" s="52"/>
      <c r="M691" s="53"/>
      <c r="N691" s="53"/>
      <c r="O691" s="52"/>
      <c r="P691" s="54"/>
      <c r="Q691" s="52"/>
      <c r="R691" s="53"/>
      <c r="S691" s="57"/>
      <c r="T691" s="60"/>
      <c r="U691" s="61"/>
      <c r="V691" s="56"/>
      <c r="W691" s="54"/>
      <c r="X691" s="54"/>
      <c r="Y691" s="52"/>
      <c r="Z691" s="54"/>
      <c r="AA691" s="55"/>
      <c r="AB691" s="56"/>
      <c r="AC691" s="54"/>
      <c r="AD691" s="6">
        <f t="shared" si="37"/>
        <v>0</v>
      </c>
      <c r="AE691" s="49">
        <v>0</v>
      </c>
      <c r="AF691" s="5" t="s">
        <v>15</v>
      </c>
    </row>
    <row r="692" spans="1:32" ht="15.75" thickBot="1">
      <c r="A692" s="11">
        <v>44516</v>
      </c>
      <c r="B692" s="2">
        <f t="shared" si="35"/>
        <v>0</v>
      </c>
      <c r="C692" s="3"/>
      <c r="D692" s="4"/>
      <c r="E692" s="124"/>
      <c r="F692" s="10">
        <f t="shared" si="36"/>
        <v>0</v>
      </c>
      <c r="G692" s="3"/>
      <c r="H692" s="4"/>
      <c r="I692" s="52"/>
      <c r="J692" s="53"/>
      <c r="K692" s="54"/>
      <c r="L692" s="52"/>
      <c r="M692" s="53"/>
      <c r="N692" s="53"/>
      <c r="O692" s="52"/>
      <c r="P692" s="54"/>
      <c r="Q692" s="52"/>
      <c r="R692" s="53"/>
      <c r="S692" s="57"/>
      <c r="T692" s="60"/>
      <c r="U692" s="61"/>
      <c r="V692" s="56"/>
      <c r="W692" s="54"/>
      <c r="X692" s="54"/>
      <c r="Y692" s="52"/>
      <c r="Z692" s="54"/>
      <c r="AA692" s="55"/>
      <c r="AB692" s="56"/>
      <c r="AC692" s="54"/>
      <c r="AD692" s="6">
        <f t="shared" si="37"/>
        <v>0</v>
      </c>
      <c r="AE692" s="49">
        <v>0</v>
      </c>
      <c r="AF692" s="5" t="s">
        <v>15</v>
      </c>
    </row>
    <row r="693" spans="1:32" ht="15.75" thickBot="1">
      <c r="A693" s="11">
        <v>44517</v>
      </c>
      <c r="B693" s="2">
        <f t="shared" si="35"/>
        <v>0</v>
      </c>
      <c r="C693" s="3"/>
      <c r="D693" s="4"/>
      <c r="E693" s="124"/>
      <c r="F693" s="10">
        <f t="shared" si="36"/>
        <v>0</v>
      </c>
      <c r="G693" s="3"/>
      <c r="H693" s="4"/>
      <c r="I693" s="52"/>
      <c r="J693" s="53"/>
      <c r="K693" s="54"/>
      <c r="L693" s="52"/>
      <c r="M693" s="53"/>
      <c r="N693" s="53"/>
      <c r="O693" s="52"/>
      <c r="P693" s="54"/>
      <c r="Q693" s="52"/>
      <c r="R693" s="53"/>
      <c r="S693" s="57"/>
      <c r="T693" s="60"/>
      <c r="U693" s="61"/>
      <c r="V693" s="56"/>
      <c r="W693" s="54"/>
      <c r="X693" s="54"/>
      <c r="Y693" s="52"/>
      <c r="Z693" s="54"/>
      <c r="AA693" s="55"/>
      <c r="AB693" s="56"/>
      <c r="AC693" s="54"/>
      <c r="AD693" s="6">
        <f t="shared" si="37"/>
        <v>0</v>
      </c>
      <c r="AE693" s="49">
        <v>0</v>
      </c>
      <c r="AF693" s="5" t="s">
        <v>15</v>
      </c>
    </row>
    <row r="694" spans="1:32" ht="15.75" thickBot="1">
      <c r="A694" s="11">
        <v>44518</v>
      </c>
      <c r="B694" s="2">
        <f t="shared" si="35"/>
        <v>0</v>
      </c>
      <c r="C694" s="3"/>
      <c r="D694" s="4"/>
      <c r="E694" s="124"/>
      <c r="F694" s="10">
        <f t="shared" si="36"/>
        <v>0</v>
      </c>
      <c r="G694" s="3"/>
      <c r="H694" s="4"/>
      <c r="I694" s="52"/>
      <c r="J694" s="53"/>
      <c r="K694" s="54"/>
      <c r="L694" s="52"/>
      <c r="M694" s="53"/>
      <c r="N694" s="53"/>
      <c r="O694" s="52"/>
      <c r="P694" s="54"/>
      <c r="Q694" s="52"/>
      <c r="R694" s="53"/>
      <c r="S694" s="57"/>
      <c r="T694" s="60"/>
      <c r="U694" s="61"/>
      <c r="V694" s="56"/>
      <c r="W694" s="54"/>
      <c r="X694" s="54"/>
      <c r="Y694" s="52"/>
      <c r="Z694" s="54"/>
      <c r="AA694" s="55"/>
      <c r="AB694" s="56"/>
      <c r="AC694" s="54"/>
      <c r="AD694" s="6">
        <f t="shared" si="37"/>
        <v>0</v>
      </c>
      <c r="AE694" s="49">
        <v>0</v>
      </c>
      <c r="AF694" s="5" t="s">
        <v>15</v>
      </c>
    </row>
    <row r="1454" spans="2:2">
      <c r="B1454" s="126" t="s">
        <v>650</v>
      </c>
    </row>
  </sheetData>
  <sheetProtection formatCells="0" formatColumns="0" formatRows="0"/>
  <protectedRanges>
    <protectedRange password="CAE2" sqref="F6:F28 F30:F694" name="В т.ч. наличные"/>
    <protectedRange password="CAE2" sqref="F29" name="В т.ч. наличные_1"/>
  </protectedRanges>
  <mergeCells count="24">
    <mergeCell ref="AB3:AB5"/>
    <mergeCell ref="AC3:AC5"/>
    <mergeCell ref="G2:AA2"/>
    <mergeCell ref="Y3:AA4"/>
    <mergeCell ref="L3:N4"/>
    <mergeCell ref="T3:U4"/>
    <mergeCell ref="I3:K3"/>
    <mergeCell ref="K4:K5"/>
    <mergeCell ref="A1:AF1"/>
    <mergeCell ref="A2:A5"/>
    <mergeCell ref="B2:B5"/>
    <mergeCell ref="C2:C5"/>
    <mergeCell ref="D2:D5"/>
    <mergeCell ref="F2:F5"/>
    <mergeCell ref="O3:P4"/>
    <mergeCell ref="G3:H3"/>
    <mergeCell ref="G4:H4"/>
    <mergeCell ref="AF2:AF5"/>
    <mergeCell ref="AD2:AD5"/>
    <mergeCell ref="AE2:AE5"/>
    <mergeCell ref="AB2:AC2"/>
    <mergeCell ref="E2:E5"/>
    <mergeCell ref="V3:X4"/>
    <mergeCell ref="Q3:S4"/>
  </mergeCells>
  <dataValidations count="1">
    <dataValidation type="list" allowBlank="1" showInputMessage="1" showErrorMessage="1" sqref="AF6:AF694">
      <formula1>$AH$2:$AH$5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7" sqref="A7:XFD7"/>
    </sheetView>
  </sheetViews>
  <sheetFormatPr defaultRowHeight="15"/>
  <cols>
    <col min="1" max="1" width="33" customWidth="1"/>
    <col min="2" max="2" width="15.7109375" customWidth="1"/>
    <col min="3" max="3" width="22.5703125" style="18" customWidth="1"/>
    <col min="4" max="4" width="12" bestFit="1" customWidth="1"/>
  </cols>
  <sheetData>
    <row r="1" spans="1:4">
      <c r="A1" s="8" t="s">
        <v>20</v>
      </c>
      <c r="B1" s="8" t="s">
        <v>22</v>
      </c>
      <c r="C1" s="22" t="s">
        <v>69</v>
      </c>
      <c r="D1" s="22" t="s">
        <v>23</v>
      </c>
    </row>
    <row r="2" spans="1:4">
      <c r="A2" s="7" t="s">
        <v>21</v>
      </c>
      <c r="B2" s="9">
        <v>30289</v>
      </c>
      <c r="C2" s="9" t="s">
        <v>76</v>
      </c>
      <c r="D2" s="7">
        <v>89042729218</v>
      </c>
    </row>
    <row r="3" spans="1:4">
      <c r="A3" s="7" t="s">
        <v>26</v>
      </c>
      <c r="B3" s="9">
        <v>24597</v>
      </c>
      <c r="C3" s="9" t="s">
        <v>75</v>
      </c>
      <c r="D3" s="7">
        <v>89041017119</v>
      </c>
    </row>
    <row r="4" spans="1:4">
      <c r="A4" s="7" t="s">
        <v>27</v>
      </c>
      <c r="B4" s="9">
        <v>23571</v>
      </c>
      <c r="C4" s="9" t="s">
        <v>73</v>
      </c>
      <c r="D4" s="7">
        <v>89042702423</v>
      </c>
    </row>
    <row r="5" spans="1:4">
      <c r="A5" s="7" t="s">
        <v>28</v>
      </c>
      <c r="B5" s="9">
        <v>30562</v>
      </c>
      <c r="C5" s="9" t="s">
        <v>73</v>
      </c>
      <c r="D5" s="7">
        <v>89042358144</v>
      </c>
    </row>
    <row r="6" spans="1:4">
      <c r="A6" s="7" t="s">
        <v>29</v>
      </c>
      <c r="B6" s="9">
        <v>31868</v>
      </c>
      <c r="C6" s="9" t="s">
        <v>73</v>
      </c>
      <c r="D6" s="7">
        <v>89042043565</v>
      </c>
    </row>
    <row r="7" spans="1:4">
      <c r="A7" s="7" t="s">
        <v>96</v>
      </c>
      <c r="B7" s="9">
        <v>24289</v>
      </c>
      <c r="C7" s="9" t="s">
        <v>73</v>
      </c>
      <c r="D7" s="7">
        <v>89128687057</v>
      </c>
    </row>
    <row r="8" spans="1:4">
      <c r="A8" s="91" t="s">
        <v>94</v>
      </c>
      <c r="B8" s="9"/>
      <c r="C8" s="9"/>
      <c r="D8" s="7">
        <v>89042718499</v>
      </c>
    </row>
    <row r="9" spans="1:4">
      <c r="A9" s="7" t="s">
        <v>24</v>
      </c>
      <c r="B9" s="7"/>
      <c r="C9" s="19" t="s">
        <v>74</v>
      </c>
      <c r="D9" s="7">
        <v>89042258383</v>
      </c>
    </row>
    <row r="10" spans="1:4">
      <c r="A10" s="7" t="s">
        <v>34</v>
      </c>
      <c r="B10" s="7"/>
      <c r="C10" s="19" t="s">
        <v>70</v>
      </c>
      <c r="D10" s="7">
        <v>89505663562</v>
      </c>
    </row>
    <row r="11" spans="1:4" s="18" customFormat="1">
      <c r="A11" s="38" t="s">
        <v>90</v>
      </c>
      <c r="B11" s="19"/>
      <c r="C11" s="19" t="s">
        <v>70</v>
      </c>
      <c r="D11" s="39">
        <v>89087171227</v>
      </c>
    </row>
    <row r="12" spans="1:4" s="18" customFormat="1">
      <c r="A12" s="19" t="s">
        <v>92</v>
      </c>
      <c r="B12" s="19"/>
      <c r="C12" s="19" t="s">
        <v>93</v>
      </c>
      <c r="D12" s="19">
        <v>89042327202</v>
      </c>
    </row>
    <row r="13" spans="1:4" s="18" customFormat="1">
      <c r="A13" s="184" t="s">
        <v>77</v>
      </c>
      <c r="B13" s="185"/>
      <c r="C13" s="185"/>
      <c r="D13" s="186"/>
    </row>
    <row r="14" spans="1:4">
      <c r="A14" s="7" t="s">
        <v>64</v>
      </c>
      <c r="B14" s="7"/>
      <c r="C14" s="19" t="s">
        <v>71</v>
      </c>
      <c r="D14" s="7">
        <v>89225985553</v>
      </c>
    </row>
    <row r="15" spans="1:4">
      <c r="A15" s="7" t="s">
        <v>68</v>
      </c>
      <c r="B15" s="7"/>
      <c r="C15" s="19" t="s">
        <v>71</v>
      </c>
      <c r="D15" s="7">
        <v>89829549460</v>
      </c>
    </row>
    <row r="16" spans="1:4">
      <c r="A16" s="19" t="s">
        <v>30</v>
      </c>
      <c r="B16" s="19"/>
      <c r="C16" s="19" t="s">
        <v>72</v>
      </c>
      <c r="D16" s="19">
        <v>89042045609</v>
      </c>
    </row>
    <row r="17" spans="1:4">
      <c r="A17" s="19" t="s">
        <v>25</v>
      </c>
      <c r="B17" s="9">
        <v>27856</v>
      </c>
      <c r="C17" s="19" t="s">
        <v>71</v>
      </c>
      <c r="D17" s="19">
        <v>89042314344</v>
      </c>
    </row>
    <row r="18" spans="1:4">
      <c r="A18" s="19" t="s">
        <v>66</v>
      </c>
      <c r="B18" s="19"/>
      <c r="C18" s="19" t="s">
        <v>72</v>
      </c>
      <c r="D18" s="19">
        <v>89121927998</v>
      </c>
    </row>
    <row r="19" spans="1:4">
      <c r="A19" s="184" t="s">
        <v>78</v>
      </c>
      <c r="B19" s="185"/>
      <c r="C19" s="185"/>
      <c r="D19" s="186"/>
    </row>
    <row r="20" spans="1:4">
      <c r="A20" s="7" t="s">
        <v>79</v>
      </c>
      <c r="B20" s="7"/>
      <c r="C20" s="19" t="s">
        <v>80</v>
      </c>
      <c r="D20" s="7">
        <v>89125477446</v>
      </c>
    </row>
    <row r="21" spans="1:4">
      <c r="A21" s="7" t="s">
        <v>81</v>
      </c>
      <c r="B21" s="7"/>
      <c r="C21" s="19" t="s">
        <v>82</v>
      </c>
      <c r="D21" s="7" t="s">
        <v>83</v>
      </c>
    </row>
    <row r="22" spans="1:4">
      <c r="A22" s="7" t="s">
        <v>84</v>
      </c>
      <c r="B22" s="7"/>
      <c r="C22" s="19" t="s">
        <v>85</v>
      </c>
      <c r="D22" s="7">
        <v>89041078154</v>
      </c>
    </row>
    <row r="23" spans="1:4">
      <c r="A23" s="91" t="s">
        <v>86</v>
      </c>
      <c r="B23" s="7"/>
      <c r="C23" s="19" t="s">
        <v>65</v>
      </c>
      <c r="D23" s="7">
        <v>89042093711</v>
      </c>
    </row>
    <row r="24" spans="1:4">
      <c r="A24" s="7" t="s">
        <v>87</v>
      </c>
      <c r="B24" s="7"/>
      <c r="C24" s="19" t="s">
        <v>65</v>
      </c>
      <c r="D24" s="7" t="s">
        <v>88</v>
      </c>
    </row>
    <row r="25" spans="1:4" s="18" customFormat="1">
      <c r="A25" s="19" t="s">
        <v>671</v>
      </c>
      <c r="B25" s="19"/>
      <c r="C25" s="19" t="s">
        <v>89</v>
      </c>
      <c r="D25" s="19">
        <v>89658605987</v>
      </c>
    </row>
    <row r="26" spans="1:4" ht="16.5" customHeight="1">
      <c r="A26" s="91" t="s">
        <v>670</v>
      </c>
      <c r="B26" s="19"/>
      <c r="C26" s="37" t="s">
        <v>89</v>
      </c>
      <c r="D26" s="37">
        <v>89042010424</v>
      </c>
    </row>
    <row r="27" spans="1:4">
      <c r="A27" s="40" t="s">
        <v>97</v>
      </c>
      <c r="D27" s="40">
        <v>89042070046</v>
      </c>
    </row>
    <row r="28" spans="1:4">
      <c r="A28" s="19"/>
      <c r="B28" s="47" t="s">
        <v>103</v>
      </c>
      <c r="C28" s="19"/>
      <c r="D28" s="19"/>
    </row>
    <row r="29" spans="1:4">
      <c r="A29" s="19" t="s">
        <v>104</v>
      </c>
      <c r="B29" s="19"/>
      <c r="C29" s="37" t="s">
        <v>105</v>
      </c>
      <c r="D29" s="19" t="s">
        <v>107</v>
      </c>
    </row>
    <row r="30" spans="1:4">
      <c r="A30" s="19"/>
      <c r="B30" s="19"/>
      <c r="C30" s="37" t="s">
        <v>106</v>
      </c>
      <c r="D30" s="19"/>
    </row>
    <row r="31" spans="1:4">
      <c r="A31" s="19" t="s">
        <v>672</v>
      </c>
      <c r="B31" s="19"/>
      <c r="C31" s="19"/>
      <c r="D31" s="19">
        <v>89121020706</v>
      </c>
    </row>
    <row r="32" spans="1:4">
      <c r="A32" s="19"/>
      <c r="B32" s="19"/>
      <c r="C32" s="19"/>
      <c r="D32" s="19"/>
    </row>
    <row r="33" spans="1:4">
      <c r="A33" s="19"/>
      <c r="B33" s="19"/>
      <c r="C33" s="19"/>
      <c r="D33" s="19"/>
    </row>
    <row r="34" spans="1:4">
      <c r="A34" s="19"/>
      <c r="B34" s="19"/>
      <c r="C34" s="19"/>
      <c r="D34" s="19"/>
    </row>
  </sheetData>
  <mergeCells count="2">
    <mergeCell ref="A13:D13"/>
    <mergeCell ref="A19:D1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I28"/>
  <sheetViews>
    <sheetView zoomScale="90" zoomScaleNormal="90" zoomScaleSheetLayoutView="50" workbookViewId="0">
      <pane xSplit="1" topLeftCell="SA1" activePane="topRight" state="frozenSplit"/>
      <selection pane="topRight" activeCell="SG7" sqref="SG7"/>
    </sheetView>
  </sheetViews>
  <sheetFormatPr defaultRowHeight="15" outlineLevelCol="2"/>
  <cols>
    <col min="1" max="1" width="24.85546875" customWidth="1"/>
    <col min="2" max="32" width="9.140625" customWidth="1" outlineLevel="2"/>
    <col min="33" max="33" width="9.140625" style="29" customWidth="1" outlineLevel="2"/>
    <col min="34" max="34" width="9.140625" customWidth="1" outlineLevel="2" collapsed="1"/>
    <col min="35" max="63" width="9.140625" customWidth="1" outlineLevel="2"/>
    <col min="64" max="64" width="9.140625" style="18" customWidth="1" outlineLevel="2"/>
    <col min="65" max="95" width="9.140625" customWidth="1" outlineLevel="2"/>
    <col min="96" max="96" width="9.140625" style="29" customWidth="1" outlineLevel="2"/>
    <col min="97" max="283" width="9.140625" customWidth="1" outlineLevel="2"/>
    <col min="284" max="284" width="9.140625" style="18" customWidth="1" outlineLevel="2"/>
    <col min="285" max="309" width="9.140625" customWidth="1" outlineLevel="2"/>
    <col min="310" max="315" width="9.140625" customWidth="1" outlineLevel="1"/>
    <col min="316" max="316" width="5.5703125" customWidth="1" outlineLevel="1"/>
    <col min="317" max="407" width="9.140625" customWidth="1" outlineLevel="1"/>
    <col min="408" max="408" width="9.140625" style="18" customWidth="1" outlineLevel="1"/>
    <col min="409" max="409" width="9.140625" customWidth="1" outlineLevel="1"/>
    <col min="410" max="410" width="9.140625" style="18" customWidth="1" outlineLevel="1"/>
    <col min="411" max="411" width="9.140625" customWidth="1" outlineLevel="1"/>
    <col min="412" max="412" width="9.140625" style="18" customWidth="1" outlineLevel="1"/>
    <col min="413" max="413" width="9.140625" customWidth="1" outlineLevel="1"/>
    <col min="414" max="414" width="9.140625" style="18" customWidth="1" outlineLevel="1"/>
    <col min="415" max="459" width="9.140625" customWidth="1" outlineLevel="1"/>
    <col min="460" max="470" width="6.5703125" customWidth="1"/>
    <col min="471" max="471" width="8.42578125" customWidth="1"/>
    <col min="472" max="484" width="6.5703125" customWidth="1"/>
  </cols>
  <sheetData>
    <row r="1" spans="1:529">
      <c r="A1" s="19"/>
      <c r="B1" s="189" t="s">
        <v>35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H1" s="187">
        <v>43709</v>
      </c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34"/>
      <c r="BM1" s="187">
        <v>43739</v>
      </c>
      <c r="BN1" s="188"/>
      <c r="BO1" s="188"/>
      <c r="BP1" s="188"/>
      <c r="BQ1" s="188"/>
      <c r="BR1" s="188"/>
      <c r="BS1" s="188"/>
      <c r="BT1" s="188"/>
      <c r="BU1" s="188"/>
      <c r="BV1" s="188"/>
      <c r="BW1" s="188"/>
      <c r="BX1" s="188"/>
      <c r="BY1" s="188"/>
      <c r="BZ1" s="188"/>
      <c r="CA1" s="188"/>
      <c r="CB1" s="188"/>
      <c r="CC1" s="188"/>
      <c r="CD1" s="188"/>
      <c r="CE1" s="188"/>
      <c r="CF1" s="188"/>
      <c r="CG1" s="188"/>
      <c r="CH1" s="188"/>
      <c r="CI1" s="188"/>
      <c r="CJ1" s="188"/>
      <c r="CK1" s="188"/>
      <c r="CL1" s="188"/>
      <c r="CM1" s="188"/>
      <c r="CN1" s="188"/>
      <c r="CO1" s="188"/>
      <c r="CP1" s="188"/>
      <c r="CQ1" s="188"/>
      <c r="CS1" s="187">
        <v>43770</v>
      </c>
      <c r="CT1" s="188"/>
      <c r="CU1" s="188"/>
      <c r="CV1" s="188"/>
      <c r="CW1" s="188"/>
      <c r="CX1" s="188"/>
      <c r="CY1" s="188"/>
      <c r="CZ1" s="188"/>
      <c r="DA1" s="188"/>
      <c r="DB1" s="188"/>
      <c r="DC1" s="188"/>
      <c r="DD1" s="188"/>
      <c r="DE1" s="188"/>
      <c r="DF1" s="188"/>
      <c r="DG1" s="188"/>
      <c r="DH1" s="188"/>
      <c r="DI1" s="188"/>
      <c r="DJ1" s="188"/>
      <c r="DK1" s="188"/>
      <c r="DL1" s="188"/>
      <c r="DM1" s="188"/>
      <c r="DN1" s="188"/>
      <c r="DO1" s="188"/>
      <c r="DP1" s="188"/>
      <c r="DQ1" s="188"/>
      <c r="DR1" s="188"/>
      <c r="DS1" s="188"/>
      <c r="DT1" s="188"/>
      <c r="DU1" s="188"/>
      <c r="DV1" s="188"/>
      <c r="DW1" s="188"/>
      <c r="EG1" t="s">
        <v>101</v>
      </c>
      <c r="GI1" s="187">
        <v>43862</v>
      </c>
      <c r="GJ1" s="188"/>
      <c r="GK1" s="188"/>
      <c r="GL1" s="188"/>
      <c r="GM1" s="188"/>
      <c r="GN1" s="188"/>
      <c r="GO1" s="188"/>
      <c r="GP1" s="188"/>
      <c r="GQ1" s="188"/>
      <c r="GR1" s="188"/>
      <c r="GS1" s="188"/>
      <c r="GT1" s="188"/>
      <c r="GU1" s="188"/>
      <c r="GV1" s="188"/>
      <c r="GW1" s="188"/>
      <c r="GX1" s="188"/>
      <c r="GY1" s="188"/>
      <c r="GZ1" s="188"/>
      <c r="HA1" s="188"/>
      <c r="HB1" s="188"/>
      <c r="HC1" s="188"/>
      <c r="HD1" s="188"/>
      <c r="HE1" s="188"/>
      <c r="HF1" s="188"/>
      <c r="HG1" s="188"/>
      <c r="HH1" s="188"/>
      <c r="HI1" s="188"/>
      <c r="HJ1" s="188"/>
      <c r="HK1" s="188"/>
      <c r="HM1" s="188" t="s">
        <v>153</v>
      </c>
      <c r="HN1" s="188"/>
      <c r="HO1" s="188"/>
      <c r="HP1" s="188"/>
      <c r="HQ1" s="188"/>
      <c r="HR1" s="188"/>
      <c r="HS1" s="188"/>
      <c r="HT1" s="188"/>
      <c r="HU1" s="188"/>
      <c r="HV1" s="188"/>
      <c r="HW1" s="188"/>
      <c r="HX1" s="188"/>
      <c r="HY1" s="188"/>
      <c r="HZ1" s="188"/>
      <c r="IA1" s="188"/>
      <c r="IB1" s="188"/>
      <c r="IC1" s="188"/>
      <c r="ID1" s="188"/>
      <c r="IE1" s="188"/>
      <c r="IF1" s="188"/>
      <c r="IG1" s="188"/>
      <c r="IH1" s="188"/>
      <c r="II1" s="188"/>
      <c r="IJ1" s="188"/>
      <c r="IK1" s="188"/>
      <c r="IL1" s="188"/>
      <c r="IM1" s="188"/>
      <c r="IN1" s="188"/>
      <c r="IO1" s="188"/>
      <c r="IP1" s="188"/>
      <c r="IQ1" s="188"/>
      <c r="IS1" s="187">
        <v>44013</v>
      </c>
      <c r="IT1" s="188"/>
      <c r="IU1" s="188"/>
      <c r="IV1" s="188"/>
      <c r="IW1" s="188"/>
      <c r="IX1" s="188"/>
      <c r="IY1" s="188"/>
      <c r="IZ1" s="188"/>
      <c r="JA1" s="188"/>
      <c r="JB1" s="188"/>
      <c r="JC1" s="188"/>
      <c r="JD1" s="188"/>
      <c r="JE1" s="188"/>
      <c r="JF1" s="188"/>
      <c r="JG1" s="188"/>
      <c r="JH1" s="188"/>
      <c r="JI1" s="188"/>
      <c r="JJ1" s="188"/>
      <c r="JK1" s="188"/>
      <c r="JL1" s="188"/>
      <c r="JM1" s="188"/>
      <c r="JN1" s="188"/>
      <c r="JO1" s="188"/>
      <c r="JP1" s="188"/>
      <c r="JQ1" s="188"/>
      <c r="JR1" s="188"/>
      <c r="JS1" s="188"/>
      <c r="JT1" s="188"/>
      <c r="JU1" s="188"/>
      <c r="JV1" s="188"/>
      <c r="JW1" s="188"/>
      <c r="JX1" s="99"/>
      <c r="JY1" s="187">
        <v>44044</v>
      </c>
      <c r="JZ1" s="188"/>
      <c r="KA1" s="188"/>
      <c r="KB1" s="188"/>
      <c r="KC1" s="188"/>
      <c r="KD1" s="188"/>
      <c r="KE1" s="188"/>
      <c r="KF1" s="188"/>
      <c r="KG1" s="188"/>
      <c r="KH1" s="188"/>
      <c r="KI1" s="188"/>
      <c r="KJ1" s="188"/>
      <c r="KK1" s="188"/>
      <c r="KL1" s="188"/>
      <c r="KM1" s="188"/>
      <c r="KN1" s="188"/>
      <c r="KO1" s="188"/>
      <c r="KP1" s="188"/>
      <c r="KQ1" s="188"/>
      <c r="KR1" s="188"/>
      <c r="KS1" s="188"/>
      <c r="KT1" s="188"/>
      <c r="KU1" s="188"/>
      <c r="KV1" s="188"/>
      <c r="LE1" s="188" t="s">
        <v>340</v>
      </c>
      <c r="LF1" s="188"/>
      <c r="LG1" s="188"/>
      <c r="LH1" s="188"/>
      <c r="LI1" s="188"/>
      <c r="LJ1" s="188"/>
      <c r="LK1" s="188"/>
      <c r="LL1" s="188"/>
      <c r="LM1" s="188"/>
      <c r="LN1" s="188"/>
      <c r="LO1" s="188"/>
      <c r="LP1" s="188"/>
      <c r="LQ1" s="188"/>
      <c r="LR1" s="188"/>
      <c r="LS1" s="188"/>
      <c r="LT1" s="188"/>
      <c r="LU1" s="188"/>
      <c r="LV1" s="188"/>
      <c r="LW1" s="188"/>
      <c r="LX1" s="188"/>
      <c r="LY1" s="188"/>
      <c r="LZ1" s="188"/>
      <c r="MA1" s="188"/>
      <c r="MB1" s="188"/>
      <c r="MC1" s="188"/>
      <c r="MD1" s="188"/>
      <c r="ME1" s="188"/>
      <c r="MF1" s="188"/>
      <c r="MG1" s="188"/>
      <c r="MH1" s="188"/>
      <c r="MI1" s="188" t="s">
        <v>427</v>
      </c>
      <c r="MJ1" s="188"/>
      <c r="MK1" s="188"/>
      <c r="ML1" s="188"/>
      <c r="MM1" s="188"/>
      <c r="MN1" s="188"/>
      <c r="MO1" s="188"/>
      <c r="MP1" s="188"/>
      <c r="MQ1" s="188"/>
      <c r="MR1" s="188"/>
      <c r="MS1" s="188"/>
      <c r="MT1" s="188"/>
      <c r="MU1" s="188"/>
      <c r="MV1" s="188"/>
      <c r="MW1" s="188"/>
      <c r="MX1" s="188"/>
      <c r="MY1" s="188"/>
      <c r="MZ1" s="188"/>
      <c r="NA1" s="188"/>
      <c r="NB1" s="188"/>
      <c r="NC1" s="188"/>
      <c r="ND1" s="188"/>
      <c r="NE1" s="188"/>
      <c r="NF1" s="188"/>
      <c r="NG1" s="188"/>
      <c r="NH1" s="188"/>
      <c r="NI1" s="188"/>
      <c r="NJ1" s="188"/>
      <c r="NK1" s="188"/>
      <c r="NL1" s="188"/>
      <c r="NM1" s="188"/>
      <c r="NN1" s="187">
        <v>44136</v>
      </c>
      <c r="NO1" s="188"/>
      <c r="NP1" s="188"/>
      <c r="NQ1" s="188"/>
      <c r="NR1" s="188"/>
      <c r="NS1" s="188"/>
      <c r="NT1" s="188"/>
      <c r="NU1" s="188"/>
      <c r="NV1" s="188"/>
      <c r="NW1" s="188"/>
      <c r="NX1" s="188"/>
      <c r="NY1" s="188"/>
      <c r="NZ1" s="188"/>
      <c r="OA1" s="188"/>
      <c r="OB1" s="188"/>
      <c r="OC1" s="188"/>
      <c r="OD1" s="188"/>
      <c r="OE1" s="188"/>
      <c r="OF1" s="188"/>
      <c r="OG1" s="188"/>
      <c r="OH1" s="188"/>
      <c r="OI1" s="188"/>
      <c r="OJ1" s="188"/>
      <c r="OK1" s="188"/>
      <c r="OL1" s="188"/>
      <c r="OM1" s="188"/>
      <c r="ON1" s="188"/>
      <c r="OO1" s="188"/>
      <c r="OP1" s="188"/>
      <c r="OQ1" s="188"/>
      <c r="OR1" s="116"/>
      <c r="OS1" s="187">
        <v>44166</v>
      </c>
      <c r="OT1" s="187"/>
      <c r="OU1" s="188"/>
      <c r="OV1" s="188"/>
      <c r="OW1" s="188"/>
      <c r="OX1" s="188"/>
      <c r="OY1" s="188"/>
      <c r="OZ1" s="188"/>
      <c r="PA1" s="188"/>
      <c r="PB1" s="188"/>
      <c r="PC1" s="188"/>
      <c r="PD1" s="188"/>
      <c r="PE1" s="188"/>
      <c r="PF1" s="188"/>
      <c r="PG1" s="188"/>
      <c r="PH1" s="188"/>
      <c r="PI1" s="188"/>
      <c r="PJ1" s="188"/>
      <c r="PK1" s="188"/>
      <c r="PL1" s="188"/>
      <c r="PM1" s="188"/>
      <c r="PN1" s="188"/>
      <c r="PO1" s="188"/>
      <c r="PP1" s="188"/>
      <c r="PQ1" s="188"/>
      <c r="PR1" s="188"/>
      <c r="PS1" s="188"/>
      <c r="PT1" s="188"/>
      <c r="PU1" s="188"/>
      <c r="PV1" s="188"/>
      <c r="PW1" s="188"/>
      <c r="PY1" s="187">
        <v>44197</v>
      </c>
      <c r="PZ1" s="188"/>
      <c r="QA1" s="188"/>
      <c r="QB1" s="188"/>
      <c r="QC1" s="188"/>
      <c r="QD1" s="188"/>
      <c r="QE1" s="188"/>
      <c r="QF1" s="188"/>
      <c r="QG1" s="188"/>
      <c r="QH1" s="188"/>
      <c r="QI1" s="188"/>
      <c r="QJ1" s="188"/>
      <c r="QK1" s="188"/>
      <c r="QL1" s="188"/>
      <c r="QM1" s="188"/>
      <c r="QN1" s="188"/>
      <c r="QO1" s="188"/>
      <c r="QP1" s="188"/>
      <c r="QQ1" s="188"/>
      <c r="QR1" s="188"/>
      <c r="QS1" s="188"/>
      <c r="QT1" s="188"/>
      <c r="QU1" s="188"/>
      <c r="QV1" s="188"/>
      <c r="QW1" s="188"/>
      <c r="QX1" s="188"/>
      <c r="QY1" s="188"/>
      <c r="QZ1" s="188"/>
      <c r="RA1" s="188"/>
      <c r="RB1" s="188"/>
      <c r="RC1" s="187">
        <v>44228</v>
      </c>
      <c r="RD1" s="188"/>
      <c r="RE1" s="188"/>
      <c r="RF1" s="188"/>
      <c r="RG1" s="188"/>
      <c r="RH1" s="188"/>
      <c r="RI1" s="188"/>
      <c r="RJ1" s="188"/>
      <c r="RK1" s="188"/>
      <c r="RL1" s="188"/>
      <c r="RM1" s="188"/>
      <c r="RN1" s="188"/>
      <c r="RO1" s="188"/>
      <c r="RP1" s="188"/>
      <c r="RQ1" s="188"/>
      <c r="RR1" s="188"/>
      <c r="RS1" s="188"/>
      <c r="RT1" s="188"/>
      <c r="RU1" s="188"/>
      <c r="RV1" s="188"/>
      <c r="RW1" s="188"/>
      <c r="RX1" s="188"/>
      <c r="RY1" s="188"/>
      <c r="RZ1" s="188"/>
      <c r="SA1" s="188"/>
      <c r="SB1" s="188"/>
      <c r="SC1" s="188"/>
      <c r="SD1" s="188"/>
    </row>
    <row r="2" spans="1:529">
      <c r="A2" s="21" t="s">
        <v>36</v>
      </c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  <c r="N2" s="22">
        <v>13</v>
      </c>
      <c r="O2" s="22">
        <v>14</v>
      </c>
      <c r="P2" s="22">
        <v>15</v>
      </c>
      <c r="Q2" s="22">
        <v>16</v>
      </c>
      <c r="R2" s="22">
        <v>17</v>
      </c>
      <c r="S2" s="22">
        <v>18</v>
      </c>
      <c r="T2" s="22">
        <v>19</v>
      </c>
      <c r="U2" s="22">
        <v>20</v>
      </c>
      <c r="V2" s="22">
        <v>21</v>
      </c>
      <c r="W2" s="22">
        <v>22</v>
      </c>
      <c r="X2" s="22">
        <v>23</v>
      </c>
      <c r="Y2" s="22">
        <v>24</v>
      </c>
      <c r="Z2" s="22">
        <v>25</v>
      </c>
      <c r="AA2" s="22">
        <v>26</v>
      </c>
      <c r="AB2" s="22">
        <v>27</v>
      </c>
      <c r="AC2" s="22">
        <v>28</v>
      </c>
      <c r="AD2" s="22">
        <v>29</v>
      </c>
      <c r="AE2" s="22">
        <v>30</v>
      </c>
      <c r="AF2" s="22">
        <v>31</v>
      </c>
      <c r="AG2" s="31" t="s">
        <v>54</v>
      </c>
      <c r="AH2" s="22">
        <v>1</v>
      </c>
      <c r="AI2" s="22">
        <v>2</v>
      </c>
      <c r="AJ2" s="22">
        <v>3</v>
      </c>
      <c r="AK2" s="22">
        <v>4</v>
      </c>
      <c r="AL2" s="22">
        <v>5</v>
      </c>
      <c r="AM2" s="22">
        <v>6</v>
      </c>
      <c r="AN2" s="22">
        <v>7</v>
      </c>
      <c r="AO2" s="22">
        <v>8</v>
      </c>
      <c r="AP2" s="22">
        <v>9</v>
      </c>
      <c r="AQ2" s="22">
        <v>10</v>
      </c>
      <c r="AR2" s="22">
        <v>11</v>
      </c>
      <c r="AS2" s="22">
        <v>12</v>
      </c>
      <c r="AT2" s="22">
        <v>13</v>
      </c>
      <c r="AU2" s="22">
        <v>14</v>
      </c>
      <c r="AV2" s="22">
        <v>15</v>
      </c>
      <c r="AW2" s="22">
        <v>16</v>
      </c>
      <c r="AX2" s="22">
        <v>17</v>
      </c>
      <c r="AY2" s="22">
        <v>18</v>
      </c>
      <c r="AZ2" s="22">
        <v>19</v>
      </c>
      <c r="BA2" s="22">
        <v>20</v>
      </c>
      <c r="BB2" s="22">
        <v>21</v>
      </c>
      <c r="BC2" s="22">
        <v>22</v>
      </c>
      <c r="BD2" s="22">
        <v>23</v>
      </c>
      <c r="BE2" s="22">
        <v>24</v>
      </c>
      <c r="BF2" s="22">
        <v>25</v>
      </c>
      <c r="BG2" s="22">
        <v>26</v>
      </c>
      <c r="BH2" s="22">
        <v>27</v>
      </c>
      <c r="BI2" s="22">
        <v>28</v>
      </c>
      <c r="BJ2" s="22">
        <v>29</v>
      </c>
      <c r="BK2" s="22">
        <v>30</v>
      </c>
      <c r="BL2" s="22" t="s">
        <v>54</v>
      </c>
      <c r="BM2" s="22">
        <v>1</v>
      </c>
      <c r="BN2" s="22">
        <v>2</v>
      </c>
      <c r="BO2" s="22">
        <v>3</v>
      </c>
      <c r="BP2" s="22">
        <v>4</v>
      </c>
      <c r="BQ2" s="22">
        <v>5</v>
      </c>
      <c r="BR2" s="22">
        <v>6</v>
      </c>
      <c r="BS2" s="22">
        <v>7</v>
      </c>
      <c r="BT2" s="22">
        <v>8</v>
      </c>
      <c r="BU2" s="22">
        <v>9</v>
      </c>
      <c r="BV2" s="22">
        <v>10</v>
      </c>
      <c r="BW2" s="22">
        <v>11</v>
      </c>
      <c r="BX2" s="22">
        <v>12</v>
      </c>
      <c r="BY2" s="22">
        <v>13</v>
      </c>
      <c r="BZ2" s="22">
        <v>14</v>
      </c>
      <c r="CA2" s="22">
        <v>15</v>
      </c>
      <c r="CB2" s="22">
        <v>16</v>
      </c>
      <c r="CC2" s="22">
        <v>17</v>
      </c>
      <c r="CD2" s="22">
        <v>18</v>
      </c>
      <c r="CE2" s="22">
        <v>19</v>
      </c>
      <c r="CF2" s="22">
        <v>20</v>
      </c>
      <c r="CG2" s="22">
        <v>21</v>
      </c>
      <c r="CH2" s="22">
        <v>22</v>
      </c>
      <c r="CI2" s="22">
        <v>23</v>
      </c>
      <c r="CJ2" s="22">
        <v>24</v>
      </c>
      <c r="CK2" s="22">
        <v>25</v>
      </c>
      <c r="CL2" s="22">
        <v>26</v>
      </c>
      <c r="CM2" s="22">
        <v>27</v>
      </c>
      <c r="CN2" s="22">
        <v>28</v>
      </c>
      <c r="CO2" s="22">
        <v>29</v>
      </c>
      <c r="CP2" s="22">
        <v>30</v>
      </c>
      <c r="CQ2" s="22">
        <v>31</v>
      </c>
      <c r="CR2" s="30" t="s">
        <v>54</v>
      </c>
      <c r="CS2" s="22">
        <v>1</v>
      </c>
      <c r="CT2" s="22">
        <v>2</v>
      </c>
      <c r="CU2" s="22">
        <v>3</v>
      </c>
      <c r="CV2" s="22">
        <v>4</v>
      </c>
      <c r="CW2" s="22">
        <v>5</v>
      </c>
      <c r="CX2" s="22">
        <v>6</v>
      </c>
      <c r="CY2" s="22">
        <v>7</v>
      </c>
      <c r="CZ2" s="22">
        <v>8</v>
      </c>
      <c r="DA2" s="22">
        <v>9</v>
      </c>
      <c r="DB2" s="22">
        <v>10</v>
      </c>
      <c r="DC2" s="22">
        <v>11</v>
      </c>
      <c r="DD2" s="22">
        <v>12</v>
      </c>
      <c r="DE2" s="22">
        <v>13</v>
      </c>
      <c r="DF2" s="22">
        <v>14</v>
      </c>
      <c r="DG2" s="22">
        <v>15</v>
      </c>
      <c r="DH2" s="22">
        <v>16</v>
      </c>
      <c r="DI2" s="22">
        <v>17</v>
      </c>
      <c r="DJ2" s="22">
        <v>18</v>
      </c>
      <c r="DK2" s="22">
        <v>19</v>
      </c>
      <c r="DL2" s="22">
        <v>20</v>
      </c>
      <c r="DM2" s="22">
        <v>21</v>
      </c>
      <c r="DN2" s="22">
        <v>22</v>
      </c>
      <c r="DO2" s="22">
        <v>23</v>
      </c>
      <c r="DP2" s="22">
        <v>24</v>
      </c>
      <c r="DQ2" s="22">
        <v>25</v>
      </c>
      <c r="DR2" s="22">
        <v>26</v>
      </c>
      <c r="DS2" s="22">
        <v>27</v>
      </c>
      <c r="DT2" s="22">
        <v>28</v>
      </c>
      <c r="DU2" s="22">
        <v>29</v>
      </c>
      <c r="DV2" s="22">
        <v>30</v>
      </c>
      <c r="DW2" s="31" t="s">
        <v>100</v>
      </c>
      <c r="DX2" s="22">
        <v>1</v>
      </c>
      <c r="DY2" s="22">
        <v>2</v>
      </c>
      <c r="DZ2" s="22">
        <v>3</v>
      </c>
      <c r="EA2" s="22">
        <v>4</v>
      </c>
      <c r="EB2" s="22">
        <v>5</v>
      </c>
      <c r="EC2" s="22">
        <v>6</v>
      </c>
      <c r="ED2" s="22">
        <v>7</v>
      </c>
      <c r="EE2" s="22">
        <v>8</v>
      </c>
      <c r="EF2" s="22">
        <v>9</v>
      </c>
      <c r="EG2" s="22">
        <v>10</v>
      </c>
      <c r="EH2" s="22">
        <v>11</v>
      </c>
      <c r="EI2" s="22">
        <v>12</v>
      </c>
      <c r="EJ2" s="22">
        <v>13</v>
      </c>
      <c r="EK2" s="22">
        <v>14</v>
      </c>
      <c r="EL2" s="22">
        <v>15</v>
      </c>
      <c r="EM2" s="22">
        <v>16</v>
      </c>
      <c r="EN2" s="22">
        <v>17</v>
      </c>
      <c r="EO2" s="22">
        <v>18</v>
      </c>
      <c r="EP2" s="22">
        <v>19</v>
      </c>
      <c r="EQ2" s="22">
        <v>20</v>
      </c>
      <c r="ER2" s="22">
        <v>21</v>
      </c>
      <c r="ES2" s="22">
        <v>22</v>
      </c>
      <c r="ET2" s="22">
        <v>23</v>
      </c>
      <c r="EU2" s="22">
        <v>24</v>
      </c>
      <c r="EV2" s="22">
        <v>25</v>
      </c>
      <c r="EW2" s="22">
        <v>26</v>
      </c>
      <c r="EX2" s="22">
        <v>27</v>
      </c>
      <c r="EY2" s="22">
        <v>28</v>
      </c>
      <c r="EZ2" s="22">
        <v>29</v>
      </c>
      <c r="FA2" s="46">
        <v>30</v>
      </c>
      <c r="FB2" s="22">
        <v>31</v>
      </c>
      <c r="FC2" s="31" t="s">
        <v>101</v>
      </c>
      <c r="FD2" s="22">
        <v>2</v>
      </c>
      <c r="FE2" s="22">
        <v>3</v>
      </c>
      <c r="FF2" s="22">
        <v>4</v>
      </c>
      <c r="FG2" s="22">
        <v>5</v>
      </c>
      <c r="FH2" s="22">
        <v>6</v>
      </c>
      <c r="FI2" s="22">
        <v>7</v>
      </c>
      <c r="FJ2" s="22">
        <v>8</v>
      </c>
      <c r="FK2" s="22">
        <v>9</v>
      </c>
      <c r="FL2" s="22">
        <v>10</v>
      </c>
      <c r="FM2" s="22">
        <v>11</v>
      </c>
      <c r="FN2" s="22">
        <v>12</v>
      </c>
      <c r="FO2" s="22">
        <v>13</v>
      </c>
      <c r="FP2" s="22">
        <v>14</v>
      </c>
      <c r="FQ2" s="22">
        <v>15</v>
      </c>
      <c r="FR2" s="22">
        <v>16</v>
      </c>
      <c r="FS2" s="22">
        <v>17</v>
      </c>
      <c r="FT2" s="22">
        <v>18</v>
      </c>
      <c r="FU2" s="22">
        <v>19</v>
      </c>
      <c r="FV2" s="22">
        <v>20</v>
      </c>
      <c r="FW2" s="22">
        <v>21</v>
      </c>
      <c r="FX2" s="22">
        <v>22</v>
      </c>
      <c r="FY2" s="22">
        <v>23</v>
      </c>
      <c r="FZ2" s="22">
        <v>24</v>
      </c>
      <c r="GA2" s="22">
        <v>25</v>
      </c>
      <c r="GB2" s="22">
        <v>26</v>
      </c>
      <c r="GC2" s="22">
        <v>27</v>
      </c>
      <c r="GD2" s="22">
        <v>28</v>
      </c>
      <c r="GE2" s="22">
        <v>29</v>
      </c>
      <c r="GF2" s="46">
        <v>30</v>
      </c>
      <c r="GG2" s="22">
        <v>31</v>
      </c>
      <c r="GH2" s="19" t="s">
        <v>102</v>
      </c>
      <c r="GI2" s="22">
        <v>1</v>
      </c>
      <c r="GJ2" s="22">
        <v>2</v>
      </c>
      <c r="GK2" s="22">
        <v>3</v>
      </c>
      <c r="GL2" s="46">
        <v>4</v>
      </c>
      <c r="GM2" s="22">
        <v>5</v>
      </c>
      <c r="GN2" s="22">
        <v>6</v>
      </c>
      <c r="GO2" s="22">
        <v>7</v>
      </c>
      <c r="GP2" s="22">
        <v>8</v>
      </c>
      <c r="GQ2" s="46">
        <v>9</v>
      </c>
      <c r="GR2" s="22">
        <v>10</v>
      </c>
      <c r="GS2" s="22">
        <v>11</v>
      </c>
      <c r="GT2" s="22">
        <v>12</v>
      </c>
      <c r="GU2" s="22">
        <v>13</v>
      </c>
      <c r="GV2" s="46">
        <v>14</v>
      </c>
      <c r="GW2" s="22">
        <v>15</v>
      </c>
      <c r="GX2" s="22">
        <v>16</v>
      </c>
      <c r="GY2" s="22">
        <v>17</v>
      </c>
      <c r="GZ2" s="22">
        <v>18</v>
      </c>
      <c r="HA2" s="46">
        <v>19</v>
      </c>
      <c r="HB2" s="22">
        <v>20</v>
      </c>
      <c r="HC2" s="22">
        <v>21</v>
      </c>
      <c r="HD2" s="22">
        <v>22</v>
      </c>
      <c r="HE2" s="22">
        <v>23</v>
      </c>
      <c r="HF2" s="46">
        <v>24</v>
      </c>
      <c r="HG2" s="22">
        <v>25</v>
      </c>
      <c r="HH2" s="22">
        <v>26</v>
      </c>
      <c r="HI2" s="22">
        <v>27</v>
      </c>
      <c r="HJ2" s="22">
        <v>28</v>
      </c>
      <c r="HK2" s="46">
        <v>29</v>
      </c>
      <c r="HL2" s="86" t="s">
        <v>152</v>
      </c>
      <c r="HM2" s="22">
        <v>1</v>
      </c>
      <c r="HN2" s="22">
        <v>2</v>
      </c>
      <c r="HO2" s="22">
        <v>3</v>
      </c>
      <c r="HP2" s="22">
        <v>4</v>
      </c>
      <c r="HQ2" s="22">
        <v>5</v>
      </c>
      <c r="HR2" s="22">
        <v>6</v>
      </c>
      <c r="HS2" s="22">
        <v>7</v>
      </c>
      <c r="HT2" s="22">
        <v>8</v>
      </c>
      <c r="HU2" s="22">
        <v>9</v>
      </c>
      <c r="HV2" s="22">
        <v>10</v>
      </c>
      <c r="HW2" s="22">
        <v>11</v>
      </c>
      <c r="HX2" s="22">
        <v>12</v>
      </c>
      <c r="HY2" s="22">
        <v>13</v>
      </c>
      <c r="HZ2" s="22">
        <v>14</v>
      </c>
      <c r="IA2" s="22">
        <v>15</v>
      </c>
      <c r="IB2" s="22">
        <v>16</v>
      </c>
      <c r="IC2" s="22">
        <v>17</v>
      </c>
      <c r="ID2" s="22">
        <v>18</v>
      </c>
      <c r="IE2" s="22">
        <v>19</v>
      </c>
      <c r="IF2" s="22">
        <v>20</v>
      </c>
      <c r="IG2" s="22">
        <v>21</v>
      </c>
      <c r="IH2" s="22">
        <v>22</v>
      </c>
      <c r="II2" s="22">
        <v>23</v>
      </c>
      <c r="IJ2" s="22">
        <v>24</v>
      </c>
      <c r="IK2" s="22">
        <v>25</v>
      </c>
      <c r="IL2" s="22">
        <v>26</v>
      </c>
      <c r="IM2" s="22">
        <v>27</v>
      </c>
      <c r="IN2" s="22">
        <v>28</v>
      </c>
      <c r="IO2" s="22">
        <v>29</v>
      </c>
      <c r="IP2" s="46">
        <v>30</v>
      </c>
      <c r="IQ2" s="22">
        <v>31</v>
      </c>
      <c r="IR2" s="74" t="s">
        <v>152</v>
      </c>
      <c r="IS2" s="22">
        <v>1</v>
      </c>
      <c r="IT2" s="46">
        <v>2</v>
      </c>
      <c r="IU2" s="22">
        <v>3</v>
      </c>
      <c r="IV2" s="22">
        <v>4</v>
      </c>
      <c r="IW2" s="46">
        <v>5</v>
      </c>
      <c r="IX2" s="22">
        <v>6</v>
      </c>
      <c r="IY2" s="22">
        <v>7</v>
      </c>
      <c r="IZ2" s="46">
        <v>8</v>
      </c>
      <c r="JA2" s="22">
        <v>9</v>
      </c>
      <c r="JB2" s="22">
        <v>10</v>
      </c>
      <c r="JC2" s="46">
        <v>11</v>
      </c>
      <c r="JD2" s="22">
        <v>12</v>
      </c>
      <c r="JE2" s="22">
        <v>13</v>
      </c>
      <c r="JF2" s="46">
        <v>14</v>
      </c>
      <c r="JG2" s="22">
        <v>15</v>
      </c>
      <c r="JH2" s="22">
        <v>16</v>
      </c>
      <c r="JI2" s="46">
        <v>17</v>
      </c>
      <c r="JJ2" s="22">
        <v>18</v>
      </c>
      <c r="JK2" s="22">
        <v>19</v>
      </c>
      <c r="JL2" s="46">
        <v>20</v>
      </c>
      <c r="JM2" s="22">
        <v>21</v>
      </c>
      <c r="JN2" s="22">
        <v>22</v>
      </c>
      <c r="JO2" s="46">
        <v>23</v>
      </c>
      <c r="JP2" s="22">
        <v>24</v>
      </c>
      <c r="JQ2" s="22">
        <v>25</v>
      </c>
      <c r="JR2" s="46">
        <v>26</v>
      </c>
      <c r="JS2" s="22">
        <v>27</v>
      </c>
      <c r="JT2" s="22">
        <v>28</v>
      </c>
      <c r="JU2" s="46">
        <v>29</v>
      </c>
      <c r="JV2" s="22">
        <v>30</v>
      </c>
      <c r="JW2" s="22">
        <v>31</v>
      </c>
      <c r="JX2" s="46" t="s">
        <v>102</v>
      </c>
      <c r="JY2" s="46">
        <v>1</v>
      </c>
      <c r="JZ2" s="46">
        <v>2</v>
      </c>
      <c r="KA2" s="46">
        <v>3</v>
      </c>
      <c r="KB2" s="46">
        <v>4</v>
      </c>
      <c r="KC2" s="46">
        <v>5</v>
      </c>
      <c r="KD2" s="46">
        <v>6</v>
      </c>
      <c r="KE2" s="46">
        <v>7</v>
      </c>
      <c r="KF2" s="22">
        <v>8</v>
      </c>
      <c r="KG2" s="22">
        <v>9</v>
      </c>
      <c r="KH2" s="46">
        <v>10</v>
      </c>
      <c r="KI2" s="22">
        <v>11</v>
      </c>
      <c r="KJ2" s="22">
        <v>12</v>
      </c>
      <c r="KK2" s="46">
        <v>13</v>
      </c>
      <c r="KL2" s="22">
        <v>14</v>
      </c>
      <c r="KM2" s="22">
        <v>15</v>
      </c>
      <c r="KN2" s="46">
        <v>16</v>
      </c>
      <c r="KO2" s="22">
        <v>17</v>
      </c>
      <c r="KP2" s="22">
        <v>18</v>
      </c>
      <c r="KQ2" s="46">
        <v>19</v>
      </c>
      <c r="KR2" s="22">
        <v>20</v>
      </c>
      <c r="KS2" s="22">
        <v>21</v>
      </c>
      <c r="KT2" s="46">
        <v>22</v>
      </c>
      <c r="KU2" s="22">
        <v>23</v>
      </c>
      <c r="KV2" s="46">
        <v>24</v>
      </c>
      <c r="KW2" s="22">
        <v>25</v>
      </c>
      <c r="KX2" s="22">
        <v>26</v>
      </c>
      <c r="KY2" s="22">
        <v>27</v>
      </c>
      <c r="KZ2" s="22">
        <v>28</v>
      </c>
      <c r="LA2" s="22">
        <v>29</v>
      </c>
      <c r="LB2" s="22">
        <v>30</v>
      </c>
      <c r="LC2" s="22">
        <v>31</v>
      </c>
      <c r="LD2" s="19" t="s">
        <v>102</v>
      </c>
      <c r="LE2" s="22">
        <v>1</v>
      </c>
      <c r="LF2" s="22">
        <v>2</v>
      </c>
      <c r="LG2" s="22">
        <v>3</v>
      </c>
      <c r="LH2" s="22">
        <v>4</v>
      </c>
      <c r="LI2" s="22">
        <v>5</v>
      </c>
      <c r="LJ2" s="22">
        <v>6</v>
      </c>
      <c r="LK2" s="22">
        <v>7</v>
      </c>
      <c r="LL2" s="22">
        <v>8</v>
      </c>
      <c r="LM2" s="22">
        <v>9</v>
      </c>
      <c r="LN2" s="22">
        <v>10</v>
      </c>
      <c r="LO2" s="22">
        <v>11</v>
      </c>
      <c r="LP2" s="22">
        <v>12</v>
      </c>
      <c r="LQ2" s="22">
        <v>13</v>
      </c>
      <c r="LR2" s="22">
        <v>14</v>
      </c>
      <c r="LS2" s="22">
        <v>15</v>
      </c>
      <c r="LT2" s="22">
        <v>16</v>
      </c>
      <c r="LU2" s="22">
        <v>17</v>
      </c>
      <c r="LV2" s="22">
        <v>18</v>
      </c>
      <c r="LW2" s="22">
        <v>19</v>
      </c>
      <c r="LX2" s="22">
        <v>20</v>
      </c>
      <c r="LY2" s="22">
        <v>21</v>
      </c>
      <c r="LZ2" s="22">
        <v>22</v>
      </c>
      <c r="MA2" s="22">
        <v>23</v>
      </c>
      <c r="MB2" s="22">
        <v>24</v>
      </c>
      <c r="MC2" s="22">
        <v>25</v>
      </c>
      <c r="MD2" s="22">
        <v>26</v>
      </c>
      <c r="ME2" s="22">
        <v>27</v>
      </c>
      <c r="MF2" s="22">
        <v>28</v>
      </c>
      <c r="MG2" s="22">
        <v>29</v>
      </c>
      <c r="MH2" s="22">
        <v>30</v>
      </c>
      <c r="MI2" s="22">
        <v>1</v>
      </c>
      <c r="MJ2" s="22">
        <v>2</v>
      </c>
      <c r="MK2" s="22">
        <v>3</v>
      </c>
      <c r="ML2" s="22">
        <v>4</v>
      </c>
      <c r="MM2" s="22">
        <v>5</v>
      </c>
      <c r="MN2" s="22">
        <v>6</v>
      </c>
      <c r="MO2" s="22">
        <v>7</v>
      </c>
      <c r="MP2" s="22">
        <v>8</v>
      </c>
      <c r="MQ2" s="22">
        <v>9</v>
      </c>
      <c r="MR2" s="22">
        <v>10</v>
      </c>
      <c r="MS2" s="22">
        <v>11</v>
      </c>
      <c r="MT2" s="22">
        <v>12</v>
      </c>
      <c r="MU2" s="22">
        <v>13</v>
      </c>
      <c r="MV2" s="22">
        <v>14</v>
      </c>
      <c r="MW2" s="22">
        <v>15</v>
      </c>
      <c r="MX2" s="22">
        <v>16</v>
      </c>
      <c r="MY2" s="22">
        <v>17</v>
      </c>
      <c r="MZ2" s="22">
        <v>18</v>
      </c>
      <c r="NA2" s="22">
        <v>19</v>
      </c>
      <c r="NB2" s="22">
        <v>20</v>
      </c>
      <c r="NC2" s="22">
        <v>21</v>
      </c>
      <c r="ND2" s="22">
        <v>22</v>
      </c>
      <c r="NE2" s="22">
        <v>23</v>
      </c>
      <c r="NF2" s="22">
        <v>24</v>
      </c>
      <c r="NG2" s="22">
        <v>25</v>
      </c>
      <c r="NH2" s="22">
        <v>26</v>
      </c>
      <c r="NI2" s="22">
        <v>27</v>
      </c>
      <c r="NJ2" s="22">
        <v>28</v>
      </c>
      <c r="NK2" s="22">
        <v>29</v>
      </c>
      <c r="NL2" s="22">
        <v>30</v>
      </c>
      <c r="NM2" s="22">
        <v>31</v>
      </c>
      <c r="NN2" s="22">
        <v>1</v>
      </c>
      <c r="NO2" s="22">
        <v>2</v>
      </c>
      <c r="NP2" s="22">
        <v>3</v>
      </c>
      <c r="NQ2" s="22">
        <v>4</v>
      </c>
      <c r="NR2" s="22">
        <v>5</v>
      </c>
      <c r="NS2" s="22">
        <v>6</v>
      </c>
      <c r="NT2" s="22">
        <v>7</v>
      </c>
      <c r="NU2" s="22">
        <v>8</v>
      </c>
      <c r="NV2" s="22">
        <v>9</v>
      </c>
      <c r="NW2" s="22">
        <v>10</v>
      </c>
      <c r="NX2" s="22">
        <v>11</v>
      </c>
      <c r="NY2" s="22">
        <v>12</v>
      </c>
      <c r="NZ2" s="22">
        <v>13</v>
      </c>
      <c r="OA2" s="22">
        <v>14</v>
      </c>
      <c r="OB2" s="22">
        <v>15</v>
      </c>
      <c r="OC2" s="22">
        <v>16</v>
      </c>
      <c r="OD2" s="22">
        <v>17</v>
      </c>
      <c r="OE2" s="22">
        <v>18</v>
      </c>
      <c r="OF2" s="22">
        <v>19</v>
      </c>
      <c r="OG2" s="22">
        <v>20</v>
      </c>
      <c r="OH2" s="22">
        <v>21</v>
      </c>
      <c r="OI2" s="22">
        <v>22</v>
      </c>
      <c r="OJ2" s="22">
        <v>23</v>
      </c>
      <c r="OK2" s="22">
        <v>24</v>
      </c>
      <c r="OL2" s="22">
        <v>25</v>
      </c>
      <c r="OM2" s="22">
        <v>26</v>
      </c>
      <c r="ON2" s="22">
        <v>27</v>
      </c>
      <c r="OO2" s="22">
        <v>28</v>
      </c>
      <c r="OP2" s="22">
        <v>29</v>
      </c>
      <c r="OQ2" s="46">
        <v>30</v>
      </c>
      <c r="OR2" s="46"/>
      <c r="OS2" s="22">
        <v>1</v>
      </c>
      <c r="OT2" s="22">
        <v>2</v>
      </c>
      <c r="OU2" s="22">
        <v>3</v>
      </c>
      <c r="OV2" s="22">
        <v>4</v>
      </c>
      <c r="OW2" s="22">
        <v>5</v>
      </c>
      <c r="OX2" s="22">
        <v>6</v>
      </c>
      <c r="OY2" s="22">
        <v>7</v>
      </c>
      <c r="OZ2" s="22">
        <v>8</v>
      </c>
      <c r="PA2" s="22">
        <v>9</v>
      </c>
      <c r="PB2" s="22">
        <v>10</v>
      </c>
      <c r="PC2" s="22">
        <v>11</v>
      </c>
      <c r="PD2" s="22">
        <v>12</v>
      </c>
      <c r="PE2" s="22">
        <v>13</v>
      </c>
      <c r="PF2" s="22">
        <v>14</v>
      </c>
      <c r="PG2" s="22">
        <v>15</v>
      </c>
      <c r="PH2" s="22">
        <v>16</v>
      </c>
      <c r="PI2" s="22">
        <v>17</v>
      </c>
      <c r="PJ2" s="22">
        <v>18</v>
      </c>
      <c r="PK2" s="22">
        <v>19</v>
      </c>
      <c r="PL2" s="22">
        <v>20</v>
      </c>
      <c r="PM2" s="22">
        <v>21</v>
      </c>
      <c r="PN2" s="22">
        <v>22</v>
      </c>
      <c r="PO2" s="22">
        <v>23</v>
      </c>
      <c r="PP2" s="22">
        <v>24</v>
      </c>
      <c r="PQ2" s="22">
        <v>25</v>
      </c>
      <c r="PR2" s="22">
        <v>26</v>
      </c>
      <c r="PS2" s="22">
        <v>27</v>
      </c>
      <c r="PT2" s="22">
        <v>28</v>
      </c>
      <c r="PU2" s="22">
        <v>29</v>
      </c>
      <c r="PV2" s="22">
        <v>30</v>
      </c>
      <c r="PW2" s="22">
        <v>31</v>
      </c>
      <c r="PX2" s="109" t="s">
        <v>633</v>
      </c>
      <c r="PY2" s="22">
        <v>2</v>
      </c>
      <c r="PZ2" s="22">
        <v>3</v>
      </c>
      <c r="QA2" s="22">
        <v>4</v>
      </c>
      <c r="QB2" s="22">
        <v>5</v>
      </c>
      <c r="QC2" s="22">
        <v>6</v>
      </c>
      <c r="QD2" s="22">
        <v>7</v>
      </c>
      <c r="QE2" s="22">
        <v>8</v>
      </c>
      <c r="QF2" s="22">
        <v>9</v>
      </c>
      <c r="QG2" s="22">
        <v>10</v>
      </c>
      <c r="QH2" s="22">
        <v>11</v>
      </c>
      <c r="QI2" s="22">
        <v>12</v>
      </c>
      <c r="QJ2" s="22">
        <v>13</v>
      </c>
      <c r="QK2" s="22">
        <v>14</v>
      </c>
      <c r="QL2" s="22">
        <v>15</v>
      </c>
      <c r="QM2" s="22">
        <v>16</v>
      </c>
      <c r="QN2" s="22">
        <v>17</v>
      </c>
      <c r="QO2" s="22">
        <v>18</v>
      </c>
      <c r="QP2" s="22">
        <v>19</v>
      </c>
      <c r="QQ2" s="22">
        <v>20</v>
      </c>
      <c r="QR2" s="22">
        <v>21</v>
      </c>
      <c r="QS2" s="22">
        <v>22</v>
      </c>
      <c r="QT2" s="22">
        <v>23</v>
      </c>
      <c r="QU2" s="22">
        <v>24</v>
      </c>
      <c r="QV2" s="22">
        <v>25</v>
      </c>
      <c r="QW2" s="22">
        <v>26</v>
      </c>
      <c r="QX2" s="22">
        <v>27</v>
      </c>
      <c r="QY2" s="22">
        <v>28</v>
      </c>
      <c r="QZ2" s="22">
        <v>29</v>
      </c>
      <c r="RA2" s="22">
        <v>30</v>
      </c>
      <c r="RB2" s="22">
        <v>31</v>
      </c>
      <c r="RC2" s="22">
        <v>1</v>
      </c>
      <c r="RD2" s="22">
        <v>2</v>
      </c>
      <c r="RE2" s="22">
        <v>3</v>
      </c>
      <c r="RF2" s="22">
        <v>4</v>
      </c>
      <c r="RG2" s="22">
        <v>5</v>
      </c>
      <c r="RH2" s="22">
        <v>6</v>
      </c>
      <c r="RI2" s="22">
        <v>7</v>
      </c>
      <c r="RJ2" s="22">
        <v>8</v>
      </c>
      <c r="RK2" s="22">
        <v>9</v>
      </c>
      <c r="RL2" s="22">
        <v>10</v>
      </c>
      <c r="RM2" s="22">
        <v>11</v>
      </c>
      <c r="RN2" s="22">
        <v>12</v>
      </c>
      <c r="RO2" s="22">
        <v>13</v>
      </c>
      <c r="RP2" s="22">
        <v>14</v>
      </c>
      <c r="RQ2" s="22">
        <v>15</v>
      </c>
      <c r="RR2" s="22">
        <v>16</v>
      </c>
      <c r="RS2" s="22">
        <v>17</v>
      </c>
      <c r="RT2" s="22">
        <v>18</v>
      </c>
      <c r="RU2" s="22">
        <v>19</v>
      </c>
      <c r="RV2" s="22">
        <v>20</v>
      </c>
      <c r="RW2" s="22">
        <v>21</v>
      </c>
      <c r="RX2" s="22">
        <v>22</v>
      </c>
      <c r="RY2" s="22">
        <v>23</v>
      </c>
      <c r="RZ2" s="22">
        <v>24</v>
      </c>
      <c r="SA2" s="22">
        <v>25</v>
      </c>
      <c r="SB2" s="22">
        <v>26</v>
      </c>
      <c r="SC2" s="22">
        <v>27</v>
      </c>
      <c r="SD2" s="46">
        <v>28</v>
      </c>
      <c r="SE2" s="22">
        <v>1</v>
      </c>
      <c r="SF2" s="22">
        <v>2</v>
      </c>
      <c r="SG2" s="22">
        <v>3</v>
      </c>
      <c r="SH2" s="22">
        <v>4</v>
      </c>
      <c r="SI2" s="22">
        <v>5</v>
      </c>
      <c r="SJ2" s="22">
        <v>6</v>
      </c>
      <c r="SK2" s="22">
        <v>7</v>
      </c>
      <c r="SL2" s="22">
        <v>8</v>
      </c>
      <c r="SM2" s="22">
        <v>9</v>
      </c>
      <c r="SN2" s="22">
        <v>10</v>
      </c>
      <c r="SO2" s="22">
        <v>11</v>
      </c>
      <c r="SP2" s="22">
        <v>12</v>
      </c>
      <c r="SQ2" s="22">
        <v>13</v>
      </c>
      <c r="SR2" s="22">
        <v>14</v>
      </c>
      <c r="SS2" s="22">
        <v>15</v>
      </c>
      <c r="ST2" s="22">
        <v>16</v>
      </c>
      <c r="SU2" s="22">
        <v>17</v>
      </c>
      <c r="SV2" s="22">
        <v>18</v>
      </c>
      <c r="SW2" s="22">
        <v>19</v>
      </c>
      <c r="SX2" s="22">
        <v>20</v>
      </c>
      <c r="SY2" s="22">
        <v>21</v>
      </c>
      <c r="SZ2" s="22">
        <v>22</v>
      </c>
      <c r="TA2" s="22">
        <v>23</v>
      </c>
      <c r="TB2" s="22">
        <v>24</v>
      </c>
      <c r="TC2" s="22">
        <v>25</v>
      </c>
      <c r="TD2" s="22">
        <v>26</v>
      </c>
      <c r="TE2" s="22">
        <v>27</v>
      </c>
      <c r="TF2" s="22">
        <v>28</v>
      </c>
      <c r="TG2" s="22">
        <v>29</v>
      </c>
      <c r="TH2" s="22">
        <v>30</v>
      </c>
      <c r="TI2" s="22">
        <v>31</v>
      </c>
    </row>
    <row r="3" spans="1:529">
      <c r="A3" s="21" t="s">
        <v>37</v>
      </c>
      <c r="B3" s="22" t="s">
        <v>38</v>
      </c>
      <c r="C3" s="22" t="s">
        <v>39</v>
      </c>
      <c r="D3" s="22" t="s">
        <v>40</v>
      </c>
      <c r="E3" s="22" t="s">
        <v>41</v>
      </c>
      <c r="F3" s="22" t="s">
        <v>42</v>
      </c>
      <c r="G3" s="22" t="s">
        <v>43</v>
      </c>
      <c r="H3" s="22" t="s">
        <v>44</v>
      </c>
      <c r="I3" s="22" t="s">
        <v>38</v>
      </c>
      <c r="J3" s="22" t="s">
        <v>39</v>
      </c>
      <c r="K3" s="22" t="s">
        <v>40</v>
      </c>
      <c r="L3" s="22" t="s">
        <v>41</v>
      </c>
      <c r="M3" s="22" t="s">
        <v>42</v>
      </c>
      <c r="N3" s="22" t="s">
        <v>43</v>
      </c>
      <c r="O3" s="22" t="s">
        <v>44</v>
      </c>
      <c r="P3" s="22" t="s">
        <v>38</v>
      </c>
      <c r="Q3" s="22" t="s">
        <v>39</v>
      </c>
      <c r="R3" s="22" t="s">
        <v>40</v>
      </c>
      <c r="S3" s="22" t="s">
        <v>41</v>
      </c>
      <c r="T3" s="22" t="s">
        <v>42</v>
      </c>
      <c r="U3" s="22" t="s">
        <v>43</v>
      </c>
      <c r="V3" s="22" t="s">
        <v>44</v>
      </c>
      <c r="W3" s="22" t="s">
        <v>38</v>
      </c>
      <c r="X3" s="22" t="s">
        <v>39</v>
      </c>
      <c r="Y3" s="22" t="s">
        <v>40</v>
      </c>
      <c r="Z3" s="22" t="s">
        <v>41</v>
      </c>
      <c r="AA3" s="22" t="s">
        <v>42</v>
      </c>
      <c r="AB3" s="22" t="s">
        <v>43</v>
      </c>
      <c r="AC3" s="22" t="s">
        <v>44</v>
      </c>
      <c r="AD3" s="22" t="s">
        <v>38</v>
      </c>
      <c r="AE3" s="22" t="s">
        <v>39</v>
      </c>
      <c r="AF3" s="22" t="s">
        <v>40</v>
      </c>
      <c r="AG3" s="30"/>
      <c r="AH3" s="22" t="s">
        <v>41</v>
      </c>
      <c r="AI3" s="22" t="s">
        <v>42</v>
      </c>
      <c r="AJ3" s="22" t="s">
        <v>43</v>
      </c>
      <c r="AK3" s="22" t="s">
        <v>44</v>
      </c>
      <c r="AL3" s="22" t="s">
        <v>38</v>
      </c>
      <c r="AM3" s="22" t="s">
        <v>39</v>
      </c>
      <c r="AN3" s="22" t="s">
        <v>40</v>
      </c>
      <c r="AO3" s="22" t="s">
        <v>41</v>
      </c>
      <c r="AP3" s="22" t="s">
        <v>42</v>
      </c>
      <c r="AQ3" s="22" t="s">
        <v>43</v>
      </c>
      <c r="AR3" s="22" t="s">
        <v>44</v>
      </c>
      <c r="AS3" s="22" t="s">
        <v>38</v>
      </c>
      <c r="AT3" s="22" t="s">
        <v>39</v>
      </c>
      <c r="AU3" s="22" t="s">
        <v>40</v>
      </c>
      <c r="AV3" s="22" t="s">
        <v>41</v>
      </c>
      <c r="AW3" s="22" t="s">
        <v>42</v>
      </c>
      <c r="AX3" s="22" t="s">
        <v>43</v>
      </c>
      <c r="AY3" s="22" t="s">
        <v>44</v>
      </c>
      <c r="AZ3" s="22" t="s">
        <v>38</v>
      </c>
      <c r="BA3" s="22" t="s">
        <v>39</v>
      </c>
      <c r="BB3" s="22" t="s">
        <v>40</v>
      </c>
      <c r="BC3" s="22" t="s">
        <v>41</v>
      </c>
      <c r="BD3" s="22" t="s">
        <v>42</v>
      </c>
      <c r="BE3" s="22" t="s">
        <v>43</v>
      </c>
      <c r="BF3" s="22" t="s">
        <v>44</v>
      </c>
      <c r="BG3" s="22" t="s">
        <v>38</v>
      </c>
      <c r="BH3" s="22" t="s">
        <v>39</v>
      </c>
      <c r="BI3" s="22" t="s">
        <v>40</v>
      </c>
      <c r="BJ3" s="22" t="s">
        <v>41</v>
      </c>
      <c r="BK3" s="22" t="s">
        <v>42</v>
      </c>
      <c r="BL3" s="35">
        <v>43709</v>
      </c>
      <c r="BM3" s="22" t="s">
        <v>43</v>
      </c>
      <c r="BN3" s="22" t="s">
        <v>44</v>
      </c>
      <c r="BO3" s="22" t="s">
        <v>38</v>
      </c>
      <c r="BP3" s="22" t="s">
        <v>39</v>
      </c>
      <c r="BQ3" s="22" t="s">
        <v>40</v>
      </c>
      <c r="BR3" s="22" t="s">
        <v>41</v>
      </c>
      <c r="BS3" s="22" t="s">
        <v>42</v>
      </c>
      <c r="BT3" s="22" t="s">
        <v>43</v>
      </c>
      <c r="BU3" s="22" t="s">
        <v>44</v>
      </c>
      <c r="BV3" s="22" t="s">
        <v>38</v>
      </c>
      <c r="BW3" s="22" t="s">
        <v>39</v>
      </c>
      <c r="BX3" s="22" t="s">
        <v>40</v>
      </c>
      <c r="BY3" s="22" t="s">
        <v>41</v>
      </c>
      <c r="BZ3" s="22" t="s">
        <v>42</v>
      </c>
      <c r="CA3" s="22" t="s">
        <v>43</v>
      </c>
      <c r="CB3" s="22" t="s">
        <v>44</v>
      </c>
      <c r="CC3" s="22" t="s">
        <v>38</v>
      </c>
      <c r="CD3" s="22" t="s">
        <v>39</v>
      </c>
      <c r="CE3" s="22" t="s">
        <v>40</v>
      </c>
      <c r="CF3" s="22" t="s">
        <v>41</v>
      </c>
      <c r="CG3" s="22" t="s">
        <v>42</v>
      </c>
      <c r="CH3" s="22" t="s">
        <v>43</v>
      </c>
      <c r="CI3" s="22" t="s">
        <v>44</v>
      </c>
      <c r="CJ3" s="22" t="s">
        <v>38</v>
      </c>
      <c r="CK3" s="22" t="s">
        <v>39</v>
      </c>
      <c r="CL3" s="22" t="s">
        <v>40</v>
      </c>
      <c r="CM3" s="22" t="s">
        <v>41</v>
      </c>
      <c r="CN3" s="22" t="s">
        <v>42</v>
      </c>
      <c r="CO3" s="22" t="s">
        <v>43</v>
      </c>
      <c r="CP3" s="22" t="s">
        <v>44</v>
      </c>
      <c r="CQ3" s="22" t="s">
        <v>38</v>
      </c>
      <c r="CR3" s="30" t="s">
        <v>95</v>
      </c>
      <c r="CS3" s="22" t="s">
        <v>39</v>
      </c>
      <c r="CT3" s="22" t="s">
        <v>40</v>
      </c>
      <c r="CU3" s="22" t="s">
        <v>41</v>
      </c>
      <c r="CV3" s="22" t="s">
        <v>42</v>
      </c>
      <c r="CW3" s="22" t="s">
        <v>43</v>
      </c>
      <c r="CX3" s="22" t="s">
        <v>44</v>
      </c>
      <c r="CY3" s="22" t="s">
        <v>38</v>
      </c>
      <c r="CZ3" s="22" t="s">
        <v>39</v>
      </c>
      <c r="DA3" s="22" t="s">
        <v>40</v>
      </c>
      <c r="DB3" s="22" t="s">
        <v>41</v>
      </c>
      <c r="DC3" s="22" t="s">
        <v>42</v>
      </c>
      <c r="DD3" s="22" t="s">
        <v>43</v>
      </c>
      <c r="DE3" s="22" t="s">
        <v>44</v>
      </c>
      <c r="DF3" s="22" t="s">
        <v>38</v>
      </c>
      <c r="DG3" s="22" t="s">
        <v>39</v>
      </c>
      <c r="DH3" s="22" t="s">
        <v>40</v>
      </c>
      <c r="DI3" s="22" t="s">
        <v>41</v>
      </c>
      <c r="DJ3" s="22" t="s">
        <v>42</v>
      </c>
      <c r="DK3" s="22" t="s">
        <v>43</v>
      </c>
      <c r="DL3" s="22" t="s">
        <v>44</v>
      </c>
      <c r="DM3" s="22" t="s">
        <v>38</v>
      </c>
      <c r="DN3" s="22" t="s">
        <v>39</v>
      </c>
      <c r="DO3" s="22" t="s">
        <v>40</v>
      </c>
      <c r="DP3" s="22" t="s">
        <v>41</v>
      </c>
      <c r="DQ3" s="22" t="s">
        <v>42</v>
      </c>
      <c r="DR3" s="22" t="s">
        <v>43</v>
      </c>
      <c r="DS3" s="22" t="s">
        <v>44</v>
      </c>
      <c r="DT3" s="22" t="s">
        <v>38</v>
      </c>
      <c r="DU3" s="22" t="s">
        <v>39</v>
      </c>
      <c r="DV3" s="22" t="s">
        <v>40</v>
      </c>
      <c r="DW3" s="31" t="s">
        <v>54</v>
      </c>
      <c r="DX3" s="22" t="s">
        <v>41</v>
      </c>
      <c r="DY3" s="22" t="s">
        <v>42</v>
      </c>
      <c r="DZ3" s="22" t="s">
        <v>43</v>
      </c>
      <c r="EA3" s="22" t="s">
        <v>44</v>
      </c>
      <c r="EB3" s="22" t="s">
        <v>38</v>
      </c>
      <c r="EC3" s="22" t="s">
        <v>39</v>
      </c>
      <c r="ED3" s="22" t="s">
        <v>40</v>
      </c>
      <c r="EE3" s="22" t="s">
        <v>41</v>
      </c>
      <c r="EF3" s="22" t="s">
        <v>42</v>
      </c>
      <c r="EG3" s="22" t="s">
        <v>43</v>
      </c>
      <c r="EH3" s="22" t="s">
        <v>44</v>
      </c>
      <c r="EI3" s="22" t="s">
        <v>38</v>
      </c>
      <c r="EJ3" s="22" t="s">
        <v>39</v>
      </c>
      <c r="EK3" s="22" t="s">
        <v>40</v>
      </c>
      <c r="EL3" s="22" t="s">
        <v>41</v>
      </c>
      <c r="EM3" s="22" t="s">
        <v>42</v>
      </c>
      <c r="EN3" s="22" t="s">
        <v>43</v>
      </c>
      <c r="EO3" s="22" t="s">
        <v>44</v>
      </c>
      <c r="EP3" s="22" t="s">
        <v>38</v>
      </c>
      <c r="EQ3" s="22" t="s">
        <v>39</v>
      </c>
      <c r="ER3" s="22" t="s">
        <v>40</v>
      </c>
      <c r="ES3" s="22" t="s">
        <v>41</v>
      </c>
      <c r="ET3" s="22" t="s">
        <v>42</v>
      </c>
      <c r="EU3" s="22" t="s">
        <v>43</v>
      </c>
      <c r="EV3" s="22" t="s">
        <v>44</v>
      </c>
      <c r="EW3" s="22" t="s">
        <v>38</v>
      </c>
      <c r="EX3" s="22" t="s">
        <v>39</v>
      </c>
      <c r="EY3" s="22" t="s">
        <v>40</v>
      </c>
      <c r="EZ3" s="22" t="s">
        <v>41</v>
      </c>
      <c r="FA3" s="46" t="s">
        <v>42</v>
      </c>
      <c r="FB3" s="22" t="s">
        <v>43</v>
      </c>
      <c r="FC3" s="50" t="s">
        <v>102</v>
      </c>
      <c r="FD3" s="22" t="s">
        <v>38</v>
      </c>
      <c r="FE3" s="22" t="s">
        <v>39</v>
      </c>
      <c r="FF3" s="22" t="s">
        <v>40</v>
      </c>
      <c r="FG3" s="22" t="s">
        <v>41</v>
      </c>
      <c r="FH3" s="22" t="s">
        <v>42</v>
      </c>
      <c r="FI3" s="22" t="s">
        <v>43</v>
      </c>
      <c r="FJ3" s="22" t="s">
        <v>44</v>
      </c>
      <c r="FK3" s="22" t="s">
        <v>38</v>
      </c>
      <c r="FL3" s="22" t="s">
        <v>39</v>
      </c>
      <c r="FM3" s="22" t="s">
        <v>40</v>
      </c>
      <c r="FN3" s="22" t="s">
        <v>41</v>
      </c>
      <c r="FO3" s="22" t="s">
        <v>42</v>
      </c>
      <c r="FP3" s="22" t="s">
        <v>43</v>
      </c>
      <c r="FQ3" s="22" t="s">
        <v>44</v>
      </c>
      <c r="FR3" s="22" t="s">
        <v>38</v>
      </c>
      <c r="FS3" s="22" t="s">
        <v>39</v>
      </c>
      <c r="FT3" s="22" t="s">
        <v>40</v>
      </c>
      <c r="FU3" s="22" t="s">
        <v>41</v>
      </c>
      <c r="FV3" s="22" t="s">
        <v>42</v>
      </c>
      <c r="FW3" s="22" t="s">
        <v>43</v>
      </c>
      <c r="FX3" s="22" t="s">
        <v>44</v>
      </c>
      <c r="FY3" s="22" t="s">
        <v>38</v>
      </c>
      <c r="FZ3" s="22" t="s">
        <v>39</v>
      </c>
      <c r="GA3" s="22" t="s">
        <v>40</v>
      </c>
      <c r="GB3" s="22" t="s">
        <v>41</v>
      </c>
      <c r="GC3" s="22" t="s">
        <v>42</v>
      </c>
      <c r="GD3" s="22" t="s">
        <v>43</v>
      </c>
      <c r="GE3" s="22" t="s">
        <v>44</v>
      </c>
      <c r="GF3" s="22" t="s">
        <v>38</v>
      </c>
      <c r="GG3" s="22" t="s">
        <v>39</v>
      </c>
      <c r="GH3" s="22" t="s">
        <v>147</v>
      </c>
      <c r="GI3" s="22" t="s">
        <v>40</v>
      </c>
      <c r="GJ3" s="22" t="s">
        <v>41</v>
      </c>
      <c r="GK3" s="22" t="s">
        <v>42</v>
      </c>
      <c r="GL3" s="22" t="s">
        <v>43</v>
      </c>
      <c r="GM3" s="22" t="s">
        <v>44</v>
      </c>
      <c r="GN3" s="22" t="s">
        <v>38</v>
      </c>
      <c r="GO3" s="22" t="s">
        <v>39</v>
      </c>
      <c r="GP3" s="22" t="s">
        <v>40</v>
      </c>
      <c r="GQ3" s="22" t="s">
        <v>41</v>
      </c>
      <c r="GR3" s="22" t="s">
        <v>42</v>
      </c>
      <c r="GS3" s="22" t="s">
        <v>43</v>
      </c>
      <c r="GT3" s="22" t="s">
        <v>44</v>
      </c>
      <c r="GU3" s="22" t="s">
        <v>38</v>
      </c>
      <c r="GV3" s="22" t="s">
        <v>39</v>
      </c>
      <c r="GW3" s="22" t="s">
        <v>40</v>
      </c>
      <c r="GX3" s="22" t="s">
        <v>41</v>
      </c>
      <c r="GY3" s="22" t="s">
        <v>42</v>
      </c>
      <c r="GZ3" s="22" t="s">
        <v>43</v>
      </c>
      <c r="HA3" s="22" t="s">
        <v>44</v>
      </c>
      <c r="HB3" s="22" t="s">
        <v>38</v>
      </c>
      <c r="HC3" s="22" t="s">
        <v>39</v>
      </c>
      <c r="HD3" s="22" t="s">
        <v>40</v>
      </c>
      <c r="HE3" s="22" t="s">
        <v>41</v>
      </c>
      <c r="HF3" s="22" t="s">
        <v>42</v>
      </c>
      <c r="HG3" s="22" t="s">
        <v>43</v>
      </c>
      <c r="HH3" s="22" t="s">
        <v>44</v>
      </c>
      <c r="HI3" s="22" t="s">
        <v>38</v>
      </c>
      <c r="HJ3" s="22" t="s">
        <v>39</v>
      </c>
      <c r="HK3" s="22" t="s">
        <v>40</v>
      </c>
      <c r="HL3" s="86"/>
      <c r="HM3" s="22" t="s">
        <v>41</v>
      </c>
      <c r="HN3" s="22" t="s">
        <v>42</v>
      </c>
      <c r="HO3" s="22" t="s">
        <v>43</v>
      </c>
      <c r="HP3" s="22" t="s">
        <v>44</v>
      </c>
      <c r="HQ3" s="22" t="s">
        <v>38</v>
      </c>
      <c r="HR3" s="22" t="s">
        <v>39</v>
      </c>
      <c r="HS3" s="22" t="s">
        <v>40</v>
      </c>
      <c r="HT3" s="22" t="s">
        <v>41</v>
      </c>
      <c r="HU3" s="22" t="s">
        <v>42</v>
      </c>
      <c r="HV3" s="22" t="s">
        <v>43</v>
      </c>
      <c r="HW3" s="22" t="s">
        <v>44</v>
      </c>
      <c r="HX3" s="22" t="s">
        <v>38</v>
      </c>
      <c r="HY3" s="22" t="s">
        <v>39</v>
      </c>
      <c r="HZ3" s="22" t="s">
        <v>40</v>
      </c>
      <c r="IA3" s="22" t="s">
        <v>41</v>
      </c>
      <c r="IB3" s="22" t="s">
        <v>42</v>
      </c>
      <c r="IC3" s="22" t="s">
        <v>43</v>
      </c>
      <c r="ID3" s="22" t="s">
        <v>44</v>
      </c>
      <c r="IE3" s="22" t="s">
        <v>38</v>
      </c>
      <c r="IF3" s="22" t="s">
        <v>39</v>
      </c>
      <c r="IG3" s="22" t="s">
        <v>40</v>
      </c>
      <c r="IH3" s="22" t="s">
        <v>41</v>
      </c>
      <c r="II3" s="22" t="s">
        <v>42</v>
      </c>
      <c r="IJ3" s="22" t="s">
        <v>43</v>
      </c>
      <c r="IK3" s="22" t="s">
        <v>44</v>
      </c>
      <c r="IL3" s="22" t="s">
        <v>38</v>
      </c>
      <c r="IM3" s="22" t="s">
        <v>39</v>
      </c>
      <c r="IN3" s="22" t="s">
        <v>40</v>
      </c>
      <c r="IO3" s="22" t="s">
        <v>41</v>
      </c>
      <c r="IP3" s="22" t="s">
        <v>42</v>
      </c>
      <c r="IQ3" s="22" t="s">
        <v>43</v>
      </c>
      <c r="IR3" s="46" t="s">
        <v>153</v>
      </c>
      <c r="IS3" s="22" t="s">
        <v>44</v>
      </c>
      <c r="IT3" s="22" t="s">
        <v>38</v>
      </c>
      <c r="IU3" s="22" t="s">
        <v>39</v>
      </c>
      <c r="IV3" s="22" t="s">
        <v>40</v>
      </c>
      <c r="IW3" s="22" t="s">
        <v>41</v>
      </c>
      <c r="IX3" s="22" t="s">
        <v>42</v>
      </c>
      <c r="IY3" s="22" t="s">
        <v>43</v>
      </c>
      <c r="IZ3" s="22" t="s">
        <v>44</v>
      </c>
      <c r="JA3" s="22" t="s">
        <v>38</v>
      </c>
      <c r="JB3" s="22" t="s">
        <v>39</v>
      </c>
      <c r="JC3" s="22" t="s">
        <v>40</v>
      </c>
      <c r="JD3" s="22" t="s">
        <v>41</v>
      </c>
      <c r="JE3" s="22" t="s">
        <v>42</v>
      </c>
      <c r="JF3" s="22" t="s">
        <v>43</v>
      </c>
      <c r="JG3" s="22" t="s">
        <v>44</v>
      </c>
      <c r="JH3" s="22" t="s">
        <v>38</v>
      </c>
      <c r="JI3" s="22" t="s">
        <v>39</v>
      </c>
      <c r="JJ3" s="22" t="s">
        <v>40</v>
      </c>
      <c r="JK3" s="22" t="s">
        <v>41</v>
      </c>
      <c r="JL3" s="22" t="s">
        <v>42</v>
      </c>
      <c r="JM3" s="22" t="s">
        <v>43</v>
      </c>
      <c r="JN3" s="22" t="s">
        <v>44</v>
      </c>
      <c r="JO3" s="22" t="s">
        <v>38</v>
      </c>
      <c r="JP3" s="22" t="s">
        <v>39</v>
      </c>
      <c r="JQ3" s="22" t="s">
        <v>40</v>
      </c>
      <c r="JR3" s="22" t="s">
        <v>41</v>
      </c>
      <c r="JS3" s="22" t="s">
        <v>42</v>
      </c>
      <c r="JT3" s="22" t="s">
        <v>43</v>
      </c>
      <c r="JU3" s="22" t="s">
        <v>44</v>
      </c>
      <c r="JV3" s="22" t="s">
        <v>38</v>
      </c>
      <c r="JW3" s="22" t="s">
        <v>39</v>
      </c>
      <c r="JX3" s="22"/>
      <c r="JY3" s="22" t="s">
        <v>40</v>
      </c>
      <c r="JZ3" s="22" t="s">
        <v>41</v>
      </c>
      <c r="KA3" s="22" t="s">
        <v>42</v>
      </c>
      <c r="KB3" s="22" t="s">
        <v>43</v>
      </c>
      <c r="KC3" s="22" t="s">
        <v>44</v>
      </c>
      <c r="KD3" s="22" t="s">
        <v>38</v>
      </c>
      <c r="KE3" s="22" t="s">
        <v>39</v>
      </c>
      <c r="KF3" s="22" t="s">
        <v>40</v>
      </c>
      <c r="KG3" s="22" t="s">
        <v>41</v>
      </c>
      <c r="KH3" s="22" t="s">
        <v>42</v>
      </c>
      <c r="KI3" s="22" t="s">
        <v>43</v>
      </c>
      <c r="KJ3" s="22" t="s">
        <v>44</v>
      </c>
      <c r="KK3" s="22" t="s">
        <v>38</v>
      </c>
      <c r="KL3" s="22" t="s">
        <v>39</v>
      </c>
      <c r="KM3" s="22" t="s">
        <v>40</v>
      </c>
      <c r="KN3" s="22" t="s">
        <v>41</v>
      </c>
      <c r="KO3" s="22" t="s">
        <v>42</v>
      </c>
      <c r="KP3" s="22" t="s">
        <v>43</v>
      </c>
      <c r="KQ3" s="22" t="s">
        <v>44</v>
      </c>
      <c r="KR3" s="22" t="s">
        <v>38</v>
      </c>
      <c r="KS3" s="22" t="s">
        <v>39</v>
      </c>
      <c r="KT3" s="22" t="s">
        <v>40</v>
      </c>
      <c r="KU3" s="22" t="s">
        <v>41</v>
      </c>
      <c r="KV3" s="46" t="s">
        <v>42</v>
      </c>
      <c r="KW3" s="22" t="s">
        <v>43</v>
      </c>
      <c r="KX3" s="22" t="s">
        <v>44</v>
      </c>
      <c r="KY3" s="22" t="s">
        <v>38</v>
      </c>
      <c r="KZ3" s="22" t="s">
        <v>39</v>
      </c>
      <c r="LA3" s="22" t="s">
        <v>40</v>
      </c>
      <c r="LB3" s="22" t="s">
        <v>41</v>
      </c>
      <c r="LC3" s="22" t="s">
        <v>42</v>
      </c>
      <c r="LD3" s="19"/>
      <c r="LE3" s="22" t="s">
        <v>43</v>
      </c>
      <c r="LF3" s="22" t="s">
        <v>44</v>
      </c>
      <c r="LG3" s="22" t="s">
        <v>38</v>
      </c>
      <c r="LH3" s="22" t="s">
        <v>39</v>
      </c>
      <c r="LI3" s="22" t="s">
        <v>40</v>
      </c>
      <c r="LJ3" s="22" t="s">
        <v>41</v>
      </c>
      <c r="LK3" s="22" t="s">
        <v>42</v>
      </c>
      <c r="LL3" s="22" t="s">
        <v>43</v>
      </c>
      <c r="LM3" s="22" t="s">
        <v>44</v>
      </c>
      <c r="LN3" s="22" t="s">
        <v>38</v>
      </c>
      <c r="LO3" s="22" t="s">
        <v>39</v>
      </c>
      <c r="LP3" s="22" t="s">
        <v>40</v>
      </c>
      <c r="LQ3" s="22" t="s">
        <v>41</v>
      </c>
      <c r="LR3" s="22" t="s">
        <v>42</v>
      </c>
      <c r="LS3" s="22" t="s">
        <v>43</v>
      </c>
      <c r="LT3" s="22" t="s">
        <v>44</v>
      </c>
      <c r="LU3" s="22" t="s">
        <v>38</v>
      </c>
      <c r="LV3" s="22" t="s">
        <v>39</v>
      </c>
      <c r="LW3" s="22" t="s">
        <v>40</v>
      </c>
      <c r="LX3" s="22" t="s">
        <v>41</v>
      </c>
      <c r="LY3" s="22" t="s">
        <v>42</v>
      </c>
      <c r="LZ3" s="22" t="s">
        <v>43</v>
      </c>
      <c r="MA3" s="22" t="s">
        <v>44</v>
      </c>
      <c r="MB3" s="22" t="s">
        <v>38</v>
      </c>
      <c r="MC3" s="22" t="s">
        <v>39</v>
      </c>
      <c r="MD3" s="22" t="s">
        <v>40</v>
      </c>
      <c r="ME3" s="22" t="s">
        <v>41</v>
      </c>
      <c r="MF3" s="22" t="s">
        <v>42</v>
      </c>
      <c r="MG3" s="22" t="s">
        <v>43</v>
      </c>
      <c r="MH3" s="22" t="s">
        <v>44</v>
      </c>
      <c r="MI3" s="22" t="s">
        <v>38</v>
      </c>
      <c r="MJ3" s="22" t="s">
        <v>39</v>
      </c>
      <c r="MK3" s="22" t="s">
        <v>40</v>
      </c>
      <c r="ML3" s="22" t="s">
        <v>41</v>
      </c>
      <c r="MM3" s="22" t="s">
        <v>42</v>
      </c>
      <c r="MN3" s="22" t="s">
        <v>43</v>
      </c>
      <c r="MO3" s="22" t="s">
        <v>44</v>
      </c>
      <c r="MP3" s="22" t="s">
        <v>38</v>
      </c>
      <c r="MQ3" s="22" t="s">
        <v>39</v>
      </c>
      <c r="MR3" s="22" t="s">
        <v>40</v>
      </c>
      <c r="MS3" s="22" t="s">
        <v>41</v>
      </c>
      <c r="MT3" s="22" t="s">
        <v>42</v>
      </c>
      <c r="MU3" s="22" t="s">
        <v>43</v>
      </c>
      <c r="MV3" s="22" t="s">
        <v>44</v>
      </c>
      <c r="MW3" s="22" t="s">
        <v>38</v>
      </c>
      <c r="MX3" s="22" t="s">
        <v>39</v>
      </c>
      <c r="MY3" s="22" t="s">
        <v>40</v>
      </c>
      <c r="MZ3" s="22" t="s">
        <v>41</v>
      </c>
      <c r="NA3" s="22" t="s">
        <v>42</v>
      </c>
      <c r="NB3" s="22" t="s">
        <v>43</v>
      </c>
      <c r="NC3" s="22" t="s">
        <v>44</v>
      </c>
      <c r="ND3" s="22" t="s">
        <v>38</v>
      </c>
      <c r="NE3" s="22" t="s">
        <v>39</v>
      </c>
      <c r="NF3" s="22" t="s">
        <v>40</v>
      </c>
      <c r="NG3" s="22" t="s">
        <v>41</v>
      </c>
      <c r="NH3" s="22" t="s">
        <v>42</v>
      </c>
      <c r="NI3" s="22" t="s">
        <v>43</v>
      </c>
      <c r="NJ3" s="22" t="s">
        <v>44</v>
      </c>
      <c r="NK3" s="22" t="s">
        <v>38</v>
      </c>
      <c r="NL3" s="22" t="s">
        <v>39</v>
      </c>
      <c r="NM3" s="22" t="s">
        <v>40</v>
      </c>
      <c r="NN3" s="22" t="s">
        <v>41</v>
      </c>
      <c r="NO3" s="22" t="s">
        <v>42</v>
      </c>
      <c r="NP3" s="22" t="s">
        <v>43</v>
      </c>
      <c r="NQ3" s="22" t="s">
        <v>44</v>
      </c>
      <c r="NR3" s="22" t="s">
        <v>38</v>
      </c>
      <c r="NS3" s="22" t="s">
        <v>39</v>
      </c>
      <c r="NT3" s="22" t="s">
        <v>40</v>
      </c>
      <c r="NU3" s="22" t="s">
        <v>41</v>
      </c>
      <c r="NV3" s="22" t="s">
        <v>42</v>
      </c>
      <c r="NW3" s="22" t="s">
        <v>43</v>
      </c>
      <c r="NX3" s="22" t="s">
        <v>44</v>
      </c>
      <c r="NY3" s="22" t="s">
        <v>38</v>
      </c>
      <c r="NZ3" s="22" t="s">
        <v>39</v>
      </c>
      <c r="OA3" s="22" t="s">
        <v>40</v>
      </c>
      <c r="OB3" s="22" t="s">
        <v>41</v>
      </c>
      <c r="OC3" s="22" t="s">
        <v>42</v>
      </c>
      <c r="OD3" s="22" t="s">
        <v>43</v>
      </c>
      <c r="OE3" s="22" t="s">
        <v>44</v>
      </c>
      <c r="OF3" s="22" t="s">
        <v>38</v>
      </c>
      <c r="OG3" s="22" t="s">
        <v>39</v>
      </c>
      <c r="OH3" s="22" t="s">
        <v>40</v>
      </c>
      <c r="OI3" s="22" t="s">
        <v>41</v>
      </c>
      <c r="OJ3" s="22" t="s">
        <v>42</v>
      </c>
      <c r="OK3" s="22" t="s">
        <v>43</v>
      </c>
      <c r="OL3" s="22" t="s">
        <v>44</v>
      </c>
      <c r="OM3" s="22" t="s">
        <v>38</v>
      </c>
      <c r="ON3" s="22" t="s">
        <v>39</v>
      </c>
      <c r="OO3" s="22" t="s">
        <v>40</v>
      </c>
      <c r="OP3" s="22" t="s">
        <v>41</v>
      </c>
      <c r="OQ3" s="46" t="s">
        <v>42</v>
      </c>
      <c r="OR3" s="46"/>
      <c r="OS3" s="22" t="s">
        <v>43</v>
      </c>
      <c r="OT3" s="22" t="s">
        <v>44</v>
      </c>
      <c r="OU3" s="22" t="s">
        <v>38</v>
      </c>
      <c r="OV3" s="22" t="s">
        <v>39</v>
      </c>
      <c r="OW3" s="22" t="s">
        <v>40</v>
      </c>
      <c r="OX3" s="22" t="s">
        <v>41</v>
      </c>
      <c r="OY3" s="46" t="s">
        <v>42</v>
      </c>
      <c r="OZ3" s="22" t="s">
        <v>43</v>
      </c>
      <c r="PA3" s="22" t="s">
        <v>44</v>
      </c>
      <c r="PB3" s="22" t="s">
        <v>38</v>
      </c>
      <c r="PC3" s="22" t="s">
        <v>39</v>
      </c>
      <c r="PD3" s="22" t="s">
        <v>40</v>
      </c>
      <c r="PE3" s="22" t="s">
        <v>41</v>
      </c>
      <c r="PF3" s="46" t="s">
        <v>42</v>
      </c>
      <c r="PG3" s="22" t="s">
        <v>43</v>
      </c>
      <c r="PH3" s="22" t="s">
        <v>44</v>
      </c>
      <c r="PI3" s="22" t="s">
        <v>38</v>
      </c>
      <c r="PJ3" s="22" t="s">
        <v>39</v>
      </c>
      <c r="PK3" s="22" t="s">
        <v>40</v>
      </c>
      <c r="PL3" s="22" t="s">
        <v>41</v>
      </c>
      <c r="PM3" s="46" t="s">
        <v>42</v>
      </c>
      <c r="PN3" s="22" t="s">
        <v>43</v>
      </c>
      <c r="PO3" s="22" t="s">
        <v>44</v>
      </c>
      <c r="PP3" s="22" t="s">
        <v>38</v>
      </c>
      <c r="PQ3" s="22" t="s">
        <v>39</v>
      </c>
      <c r="PR3" s="22" t="s">
        <v>40</v>
      </c>
      <c r="PS3" s="22" t="s">
        <v>41</v>
      </c>
      <c r="PT3" s="46" t="s">
        <v>42</v>
      </c>
      <c r="PU3" s="22" t="s">
        <v>43</v>
      </c>
      <c r="PV3" s="22" t="s">
        <v>44</v>
      </c>
      <c r="PW3" s="22" t="s">
        <v>38</v>
      </c>
      <c r="PX3" s="109"/>
      <c r="PY3" s="22" t="s">
        <v>40</v>
      </c>
      <c r="PZ3" s="22" t="s">
        <v>41</v>
      </c>
      <c r="QA3" s="22" t="s">
        <v>42</v>
      </c>
      <c r="QB3" s="22" t="s">
        <v>43</v>
      </c>
      <c r="QC3" s="22" t="s">
        <v>44</v>
      </c>
      <c r="QD3" s="22" t="s">
        <v>38</v>
      </c>
      <c r="QE3" s="22" t="s">
        <v>39</v>
      </c>
      <c r="QF3" s="22" t="s">
        <v>40</v>
      </c>
      <c r="QG3" s="22" t="s">
        <v>41</v>
      </c>
      <c r="QH3" s="22" t="s">
        <v>42</v>
      </c>
      <c r="QI3" s="22" t="s">
        <v>43</v>
      </c>
      <c r="QJ3" s="22" t="s">
        <v>44</v>
      </c>
      <c r="QK3" s="22" t="s">
        <v>38</v>
      </c>
      <c r="QL3" s="22" t="s">
        <v>39</v>
      </c>
      <c r="QM3" s="22" t="s">
        <v>40</v>
      </c>
      <c r="QN3" s="22" t="s">
        <v>41</v>
      </c>
      <c r="QO3" s="22" t="s">
        <v>42</v>
      </c>
      <c r="QP3" s="22" t="s">
        <v>43</v>
      </c>
      <c r="QQ3" s="22" t="s">
        <v>44</v>
      </c>
      <c r="QR3" s="22" t="s">
        <v>38</v>
      </c>
      <c r="QS3" s="22" t="s">
        <v>39</v>
      </c>
      <c r="QT3" s="22" t="s">
        <v>40</v>
      </c>
      <c r="QU3" s="22" t="s">
        <v>41</v>
      </c>
      <c r="QV3" s="22" t="s">
        <v>42</v>
      </c>
      <c r="QW3" s="22" t="s">
        <v>43</v>
      </c>
      <c r="QX3" s="22" t="s">
        <v>44</v>
      </c>
      <c r="QY3" s="22" t="s">
        <v>38</v>
      </c>
      <c r="QZ3" s="22" t="s">
        <v>39</v>
      </c>
      <c r="RA3" s="22" t="s">
        <v>40</v>
      </c>
      <c r="RB3" s="22" t="s">
        <v>41</v>
      </c>
      <c r="RC3" s="22" t="s">
        <v>42</v>
      </c>
      <c r="RD3" s="22" t="s">
        <v>43</v>
      </c>
      <c r="RE3" s="22" t="s">
        <v>44</v>
      </c>
      <c r="RF3" s="22" t="s">
        <v>38</v>
      </c>
      <c r="RG3" s="22" t="s">
        <v>39</v>
      </c>
      <c r="RH3" s="22" t="s">
        <v>40</v>
      </c>
      <c r="RI3" s="22" t="s">
        <v>41</v>
      </c>
      <c r="RJ3" s="22" t="s">
        <v>42</v>
      </c>
      <c r="RK3" s="22" t="s">
        <v>43</v>
      </c>
      <c r="RL3" s="22" t="s">
        <v>44</v>
      </c>
      <c r="RM3" s="22" t="s">
        <v>38</v>
      </c>
      <c r="RN3" s="22" t="s">
        <v>39</v>
      </c>
      <c r="RO3" s="22" t="s">
        <v>40</v>
      </c>
      <c r="RP3" s="22" t="s">
        <v>41</v>
      </c>
      <c r="RQ3" s="22" t="s">
        <v>42</v>
      </c>
      <c r="RR3" s="22" t="s">
        <v>43</v>
      </c>
      <c r="RS3" s="22" t="s">
        <v>44</v>
      </c>
      <c r="RT3" s="22" t="s">
        <v>38</v>
      </c>
      <c r="RU3" s="22" t="s">
        <v>39</v>
      </c>
      <c r="RV3" s="22" t="s">
        <v>40</v>
      </c>
      <c r="RW3" s="22" t="s">
        <v>41</v>
      </c>
      <c r="RX3" s="22" t="s">
        <v>42</v>
      </c>
      <c r="RY3" s="22" t="s">
        <v>43</v>
      </c>
      <c r="RZ3" s="22" t="s">
        <v>44</v>
      </c>
      <c r="SA3" s="22" t="s">
        <v>38</v>
      </c>
      <c r="SB3" s="22" t="s">
        <v>39</v>
      </c>
      <c r="SC3" s="22" t="s">
        <v>40</v>
      </c>
      <c r="SD3" s="46" t="s">
        <v>41</v>
      </c>
      <c r="SE3" s="22" t="s">
        <v>42</v>
      </c>
      <c r="SF3" s="22" t="s">
        <v>43</v>
      </c>
      <c r="SG3" s="22" t="s">
        <v>44</v>
      </c>
      <c r="SH3" s="22" t="s">
        <v>38</v>
      </c>
      <c r="SI3" s="22" t="s">
        <v>39</v>
      </c>
      <c r="SJ3" s="22" t="s">
        <v>40</v>
      </c>
      <c r="SK3" s="22" t="s">
        <v>41</v>
      </c>
      <c r="SL3" s="22" t="s">
        <v>42</v>
      </c>
      <c r="SM3" s="22" t="s">
        <v>43</v>
      </c>
      <c r="SN3" s="22" t="s">
        <v>44</v>
      </c>
      <c r="SO3" s="22" t="s">
        <v>38</v>
      </c>
      <c r="SP3" s="22" t="s">
        <v>39</v>
      </c>
      <c r="SQ3" s="22" t="s">
        <v>40</v>
      </c>
      <c r="SR3" s="22" t="s">
        <v>41</v>
      </c>
      <c r="SS3" s="22" t="s">
        <v>42</v>
      </c>
      <c r="ST3" s="22" t="s">
        <v>43</v>
      </c>
      <c r="SU3" s="22" t="s">
        <v>44</v>
      </c>
      <c r="SV3" s="22" t="s">
        <v>38</v>
      </c>
      <c r="SW3" s="22" t="s">
        <v>39</v>
      </c>
      <c r="SX3" s="22" t="s">
        <v>40</v>
      </c>
      <c r="SY3" s="22" t="s">
        <v>41</v>
      </c>
      <c r="SZ3" s="22" t="s">
        <v>42</v>
      </c>
      <c r="TA3" s="22" t="s">
        <v>43</v>
      </c>
      <c r="TB3" s="22" t="s">
        <v>44</v>
      </c>
      <c r="TC3" s="22" t="s">
        <v>38</v>
      </c>
      <c r="TD3" s="22" t="s">
        <v>39</v>
      </c>
      <c r="TE3" s="22" t="s">
        <v>40</v>
      </c>
      <c r="TF3" s="22" t="s">
        <v>41</v>
      </c>
      <c r="TG3" s="22" t="s">
        <v>42</v>
      </c>
      <c r="TH3" s="22" t="s">
        <v>43</v>
      </c>
      <c r="TI3" s="22" t="s">
        <v>44</v>
      </c>
    </row>
    <row r="4" spans="1:529" hidden="1">
      <c r="A4" s="21" t="s">
        <v>14</v>
      </c>
      <c r="B4" s="20" t="s">
        <v>52</v>
      </c>
      <c r="C4" s="20" t="s">
        <v>52</v>
      </c>
      <c r="D4" s="20" t="s">
        <v>52</v>
      </c>
      <c r="E4" s="20" t="s">
        <v>52</v>
      </c>
      <c r="F4" s="20" t="s">
        <v>52</v>
      </c>
      <c r="G4" s="20" t="s">
        <v>52</v>
      </c>
      <c r="H4" s="20" t="s">
        <v>52</v>
      </c>
      <c r="I4" s="20" t="s">
        <v>52</v>
      </c>
      <c r="J4" s="20" t="s">
        <v>52</v>
      </c>
      <c r="K4" s="20" t="s">
        <v>52</v>
      </c>
      <c r="L4" s="20" t="s">
        <v>52</v>
      </c>
      <c r="M4" s="22">
        <v>12</v>
      </c>
      <c r="N4" s="20"/>
      <c r="O4" s="22">
        <v>13</v>
      </c>
      <c r="P4" s="20" t="s">
        <v>45</v>
      </c>
      <c r="Q4" s="22">
        <v>7</v>
      </c>
      <c r="R4" s="23"/>
      <c r="S4" s="22">
        <v>6</v>
      </c>
      <c r="T4" s="22">
        <v>12</v>
      </c>
      <c r="U4" s="20"/>
      <c r="V4" s="22">
        <v>12</v>
      </c>
      <c r="W4" s="20"/>
      <c r="X4" s="22">
        <v>13</v>
      </c>
      <c r="Y4" s="20"/>
      <c r="Z4" s="20"/>
      <c r="AA4" s="22">
        <v>12</v>
      </c>
      <c r="AB4" s="20"/>
      <c r="AC4" s="22">
        <v>13</v>
      </c>
      <c r="AD4" s="20"/>
      <c r="AE4" s="22">
        <v>12</v>
      </c>
      <c r="AF4" s="20"/>
      <c r="AG4" s="31">
        <f>M4+O4+Q4+S4+T4+V4+X4+AA4+AC4+AE4</f>
        <v>112</v>
      </c>
      <c r="AH4" s="20"/>
      <c r="AI4" s="22">
        <v>12</v>
      </c>
      <c r="AJ4" s="20"/>
      <c r="AK4" s="25">
        <v>13</v>
      </c>
      <c r="AL4" s="20"/>
      <c r="AM4" s="20">
        <v>12</v>
      </c>
      <c r="AN4" s="20"/>
      <c r="AO4" s="20"/>
      <c r="AP4" s="20">
        <v>13</v>
      </c>
      <c r="AQ4" s="20"/>
      <c r="AR4" s="20">
        <v>13</v>
      </c>
      <c r="AS4" s="20"/>
      <c r="AT4" s="20">
        <v>6</v>
      </c>
      <c r="AU4" s="20"/>
      <c r="AV4" s="20">
        <v>5</v>
      </c>
      <c r="AW4" s="20">
        <v>12</v>
      </c>
      <c r="AX4" s="20"/>
      <c r="AY4" s="20">
        <v>13</v>
      </c>
      <c r="AZ4" s="20"/>
      <c r="BA4" s="20">
        <v>13</v>
      </c>
      <c r="BB4" s="20"/>
      <c r="BC4" s="20"/>
      <c r="BD4" s="20">
        <v>12</v>
      </c>
      <c r="BE4" s="20"/>
      <c r="BF4" s="20">
        <v>13</v>
      </c>
      <c r="BG4" s="20"/>
      <c r="BH4" s="20">
        <v>6</v>
      </c>
      <c r="BI4" s="20"/>
      <c r="BJ4" s="20">
        <v>6</v>
      </c>
      <c r="BK4" s="20">
        <v>12</v>
      </c>
      <c r="BL4" s="28">
        <f>AI4+AK4+AM4+AP4+AR4+AT4+AV4+AW4+AY4+BA4+BD4+BF4+BH4+BJ4+BK4</f>
        <v>161</v>
      </c>
      <c r="BM4" s="20"/>
      <c r="BN4" s="20">
        <v>12</v>
      </c>
      <c r="BO4" s="20"/>
      <c r="BP4" s="20">
        <v>13</v>
      </c>
      <c r="BQ4" s="20"/>
      <c r="BR4" s="20"/>
      <c r="BS4" s="20"/>
      <c r="BT4" s="20">
        <v>12</v>
      </c>
      <c r="BU4" s="20">
        <v>12</v>
      </c>
      <c r="BV4" s="20"/>
      <c r="BW4" s="20">
        <v>12</v>
      </c>
      <c r="BX4" s="20">
        <v>10</v>
      </c>
      <c r="BY4" s="20"/>
      <c r="BZ4" s="20"/>
      <c r="CA4" s="20">
        <v>12</v>
      </c>
      <c r="CB4" s="20">
        <v>13</v>
      </c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30">
        <f>SUM(BM4:CQ4)</f>
        <v>96</v>
      </c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30"/>
      <c r="FB4" s="19"/>
      <c r="FC4" s="51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87"/>
      <c r="HM4" s="19"/>
      <c r="HN4" s="19"/>
      <c r="HO4" s="19"/>
      <c r="HP4" s="19"/>
      <c r="HQ4" s="19"/>
      <c r="HR4" s="19"/>
      <c r="HS4" s="19"/>
      <c r="HT4" s="19"/>
      <c r="HU4" s="19"/>
      <c r="IR4" s="74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9"/>
      <c r="KX4" s="19"/>
      <c r="KY4" s="19"/>
      <c r="KZ4" s="19"/>
      <c r="LA4" s="19"/>
      <c r="LB4" s="19"/>
      <c r="LC4" s="19"/>
      <c r="LD4" s="19"/>
      <c r="LE4" s="19"/>
      <c r="LF4" s="19"/>
      <c r="LG4" s="19"/>
      <c r="LH4" s="19"/>
      <c r="LI4" s="19"/>
      <c r="MI4" s="18"/>
      <c r="MJ4" s="18"/>
      <c r="MK4" s="18"/>
      <c r="ML4" s="18"/>
      <c r="MM4" s="18"/>
      <c r="MN4" s="18"/>
      <c r="MO4" s="18"/>
      <c r="MP4" s="18"/>
      <c r="MQ4" s="18"/>
      <c r="MR4" s="18"/>
      <c r="OS4" s="19"/>
      <c r="OT4" s="19"/>
      <c r="OU4" s="19"/>
      <c r="OV4" s="19"/>
      <c r="OW4" s="19"/>
      <c r="OX4" s="19"/>
      <c r="OY4" s="19"/>
      <c r="OZ4" s="19"/>
      <c r="PA4" s="19"/>
      <c r="PB4" s="19"/>
      <c r="PC4" s="19"/>
      <c r="PD4" s="19"/>
      <c r="PE4" s="19"/>
      <c r="PF4" s="19"/>
      <c r="PG4" s="19"/>
      <c r="PH4" s="19"/>
      <c r="PI4" s="19"/>
      <c r="PJ4" s="19"/>
      <c r="PK4" s="19"/>
      <c r="PL4" s="19"/>
      <c r="PM4" s="19"/>
      <c r="PN4" s="19"/>
      <c r="PO4" s="19"/>
      <c r="PP4" s="19"/>
      <c r="PQ4" s="19"/>
      <c r="PR4" s="19"/>
      <c r="PS4" s="19"/>
      <c r="PT4" s="19"/>
      <c r="PU4" s="19"/>
      <c r="PV4" s="19"/>
      <c r="PW4" s="19"/>
      <c r="PX4" s="19"/>
      <c r="PY4" s="19"/>
      <c r="PZ4" s="19"/>
      <c r="QA4" s="19"/>
      <c r="QB4" s="19"/>
      <c r="QC4" s="19"/>
      <c r="QD4" s="19"/>
      <c r="QE4" s="19"/>
      <c r="QF4" s="19"/>
      <c r="QG4" s="19"/>
      <c r="QH4" s="19"/>
      <c r="QI4" s="19"/>
      <c r="QJ4" s="19"/>
      <c r="QK4" s="19"/>
      <c r="QL4" s="19"/>
      <c r="QM4" s="19"/>
      <c r="QN4" s="19"/>
      <c r="QO4" s="19"/>
      <c r="QP4" s="19"/>
      <c r="QQ4" s="19"/>
      <c r="QR4" s="19"/>
      <c r="QS4" s="19"/>
      <c r="QT4" s="19"/>
      <c r="QU4" s="19"/>
      <c r="QV4" s="19"/>
      <c r="QW4" s="19"/>
      <c r="QX4" s="19"/>
      <c r="QY4" s="19"/>
      <c r="QZ4" s="19"/>
      <c r="RA4" s="19"/>
      <c r="RB4" s="19"/>
      <c r="RC4" s="19"/>
      <c r="RD4" s="19"/>
      <c r="RE4" s="19"/>
      <c r="RF4" s="19"/>
      <c r="RG4" s="19"/>
      <c r="RH4" s="19"/>
      <c r="RI4" s="19"/>
      <c r="SE4" s="19"/>
      <c r="SF4" s="19"/>
      <c r="SG4" s="19"/>
      <c r="SH4" s="19"/>
      <c r="SI4" s="19"/>
      <c r="SJ4" s="19"/>
      <c r="SK4" s="19"/>
      <c r="SL4" s="19"/>
      <c r="SM4" s="19"/>
      <c r="SN4" s="19"/>
      <c r="SO4" s="19"/>
      <c r="SP4" s="19"/>
      <c r="SQ4" s="19"/>
      <c r="SR4" s="19"/>
      <c r="SS4" s="19"/>
      <c r="ST4" s="19"/>
      <c r="SU4" s="19"/>
      <c r="SV4" s="19"/>
      <c r="SW4" s="19"/>
      <c r="SX4" s="19"/>
      <c r="SY4" s="19"/>
      <c r="SZ4" s="19"/>
      <c r="TA4" s="19"/>
      <c r="TB4" s="19"/>
      <c r="TC4" s="19"/>
      <c r="TD4" s="19"/>
      <c r="TE4" s="19"/>
      <c r="TF4" s="19"/>
      <c r="TG4" s="19"/>
      <c r="TH4" s="19"/>
      <c r="TI4" s="19"/>
    </row>
    <row r="5" spans="1:529" hidden="1">
      <c r="A5" s="21" t="s">
        <v>17</v>
      </c>
      <c r="B5" s="22">
        <v>6</v>
      </c>
      <c r="C5" s="22">
        <v>6</v>
      </c>
      <c r="D5" s="22">
        <v>9</v>
      </c>
      <c r="E5" s="20" t="s">
        <v>45</v>
      </c>
      <c r="F5" s="22">
        <v>12</v>
      </c>
      <c r="G5" s="22">
        <v>9</v>
      </c>
      <c r="H5" s="22">
        <v>12</v>
      </c>
      <c r="I5" s="22">
        <v>9</v>
      </c>
      <c r="J5" s="22">
        <v>6</v>
      </c>
      <c r="K5" s="22">
        <v>6</v>
      </c>
      <c r="L5" s="20" t="s">
        <v>45</v>
      </c>
      <c r="M5" s="20"/>
      <c r="N5" s="22">
        <v>12</v>
      </c>
      <c r="O5" s="20" t="s">
        <v>45</v>
      </c>
      <c r="P5" s="22">
        <v>13</v>
      </c>
      <c r="Q5" s="20"/>
      <c r="R5" s="22">
        <v>11</v>
      </c>
      <c r="S5" s="20"/>
      <c r="T5" s="20"/>
      <c r="U5" s="22">
        <v>12</v>
      </c>
      <c r="V5" s="20"/>
      <c r="W5" s="22">
        <v>6</v>
      </c>
      <c r="X5" s="20"/>
      <c r="Y5" s="22">
        <v>11</v>
      </c>
      <c r="Z5" s="22">
        <v>5</v>
      </c>
      <c r="AA5" s="20"/>
      <c r="AB5" s="22">
        <v>12</v>
      </c>
      <c r="AC5" s="20"/>
      <c r="AD5" s="22">
        <v>12</v>
      </c>
      <c r="AE5" s="20"/>
      <c r="AF5" s="22">
        <v>11</v>
      </c>
      <c r="AG5" s="31">
        <f>B5+C5+D5+F5+G5+H5+I5+J5+K5+N5+P5+R5+U5+W5+Y5+Z5+AB5+AD5+AF5</f>
        <v>180</v>
      </c>
      <c r="AH5" s="23"/>
      <c r="AI5" s="23"/>
      <c r="AJ5" s="22">
        <v>12</v>
      </c>
      <c r="AK5" s="23"/>
      <c r="AL5" s="25">
        <v>6</v>
      </c>
      <c r="AM5" s="23"/>
      <c r="AN5" s="22">
        <v>11</v>
      </c>
      <c r="AO5" s="25">
        <v>6</v>
      </c>
      <c r="AP5" s="23"/>
      <c r="AQ5" s="22">
        <v>12</v>
      </c>
      <c r="AR5" s="23"/>
      <c r="AS5" s="22">
        <v>12</v>
      </c>
      <c r="AT5" s="23"/>
      <c r="AU5" s="22">
        <v>11</v>
      </c>
      <c r="AV5" s="23"/>
      <c r="AW5" s="23"/>
      <c r="AX5" s="22">
        <v>12</v>
      </c>
      <c r="AY5" s="23"/>
      <c r="AZ5" s="25">
        <v>6</v>
      </c>
      <c r="BA5" s="23"/>
      <c r="BB5" s="22">
        <v>11</v>
      </c>
      <c r="BC5" s="25">
        <v>6</v>
      </c>
      <c r="BD5" s="23"/>
      <c r="BE5" s="22">
        <v>12</v>
      </c>
      <c r="BF5" s="23"/>
      <c r="BG5" s="22">
        <v>12</v>
      </c>
      <c r="BH5" s="23"/>
      <c r="BI5" s="22">
        <v>11</v>
      </c>
      <c r="BJ5" s="23"/>
      <c r="BK5" s="23"/>
      <c r="BL5" s="28">
        <f>AJ5+AL5+AN5+AO5+AQ5+AS5+AU5+AX5+AZ5+BB5+BC5+BE5+BG5+BI5</f>
        <v>140</v>
      </c>
      <c r="BM5" s="22">
        <v>12</v>
      </c>
      <c r="BN5" s="23"/>
      <c r="BO5" s="25">
        <v>6</v>
      </c>
      <c r="BP5" s="23"/>
      <c r="BQ5" s="22">
        <v>10</v>
      </c>
      <c r="BR5" s="22">
        <v>5</v>
      </c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30">
        <f>SUM(BM5:CQ5)</f>
        <v>33</v>
      </c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30"/>
      <c r="FB5" s="19"/>
      <c r="FC5" s="51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87"/>
      <c r="HM5" s="19"/>
      <c r="HN5" s="19"/>
      <c r="HO5" s="19"/>
      <c r="HP5" s="19"/>
      <c r="HQ5" s="19"/>
      <c r="HR5" s="19"/>
      <c r="HS5" s="19"/>
      <c r="HT5" s="19"/>
      <c r="HU5" s="19"/>
      <c r="IR5" s="74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MI5" s="18"/>
      <c r="MJ5" s="18"/>
      <c r="MK5" s="18"/>
      <c r="ML5" s="18"/>
      <c r="MM5" s="18"/>
      <c r="MN5" s="18"/>
      <c r="MO5" s="18"/>
      <c r="MP5" s="18"/>
      <c r="MQ5" s="18"/>
      <c r="MR5" s="18"/>
      <c r="OS5" s="19"/>
      <c r="OT5" s="19"/>
      <c r="OU5" s="19"/>
      <c r="OV5" s="19"/>
      <c r="OW5" s="19"/>
      <c r="OX5" s="19"/>
      <c r="OY5" s="19"/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/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/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/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/>
      <c r="TH5" s="19"/>
      <c r="TI5" s="19"/>
    </row>
    <row r="6" spans="1:529" hidden="1">
      <c r="A6" s="21" t="s">
        <v>150</v>
      </c>
      <c r="B6" s="22">
        <v>6</v>
      </c>
      <c r="C6" s="22">
        <v>6</v>
      </c>
      <c r="D6" s="23" t="s">
        <v>45</v>
      </c>
      <c r="E6" s="22">
        <v>6</v>
      </c>
      <c r="F6" s="22">
        <v>6</v>
      </c>
      <c r="G6" s="22">
        <v>6</v>
      </c>
      <c r="H6" s="23" t="s">
        <v>45</v>
      </c>
      <c r="I6" s="22">
        <v>6</v>
      </c>
      <c r="J6" s="22">
        <v>6</v>
      </c>
      <c r="K6" s="22" t="s">
        <v>45</v>
      </c>
      <c r="L6" s="22">
        <v>6</v>
      </c>
      <c r="M6" s="22">
        <v>6</v>
      </c>
      <c r="N6" s="22">
        <v>6</v>
      </c>
      <c r="O6" s="20" t="s">
        <v>45</v>
      </c>
      <c r="P6" s="22">
        <v>6</v>
      </c>
      <c r="Q6" s="20"/>
      <c r="R6" s="20"/>
      <c r="S6" s="20"/>
      <c r="T6" s="20"/>
      <c r="U6" s="22">
        <v>5</v>
      </c>
      <c r="V6" s="20"/>
      <c r="W6" s="22">
        <v>5</v>
      </c>
      <c r="X6" s="20"/>
      <c r="Y6" s="20"/>
      <c r="Z6" s="25">
        <v>6</v>
      </c>
      <c r="AA6" s="20"/>
      <c r="AB6" s="22">
        <v>5</v>
      </c>
      <c r="AC6" s="20"/>
      <c r="AD6" s="22">
        <v>5</v>
      </c>
      <c r="AE6" s="20"/>
      <c r="AF6" s="20"/>
      <c r="AG6" s="31">
        <f>B6+C6+E6+F6+G6+I6+J6+L6+M6+N6+P6+U6+W6+Z6+AB6+AD6</f>
        <v>92</v>
      </c>
      <c r="AH6" s="22">
        <v>6</v>
      </c>
      <c r="AI6" s="23"/>
      <c r="AJ6" s="22">
        <v>5</v>
      </c>
      <c r="AK6" s="23"/>
      <c r="AL6" s="22">
        <v>5</v>
      </c>
      <c r="AM6" s="23"/>
      <c r="AN6" s="23"/>
      <c r="AO6" s="23" t="s">
        <v>46</v>
      </c>
      <c r="AP6" s="23"/>
      <c r="AQ6" s="22">
        <v>5</v>
      </c>
      <c r="AR6" s="23"/>
      <c r="AS6" s="22">
        <v>5</v>
      </c>
      <c r="AT6" s="23"/>
      <c r="AU6" s="23"/>
      <c r="AV6" s="23"/>
      <c r="AW6" s="23"/>
      <c r="AX6" s="22">
        <v>5</v>
      </c>
      <c r="AY6" s="23"/>
      <c r="AZ6" s="22">
        <v>5</v>
      </c>
      <c r="BA6" s="23"/>
      <c r="BB6" s="23"/>
      <c r="BC6" s="23"/>
      <c r="BD6" s="23">
        <v>5</v>
      </c>
      <c r="BE6" s="22">
        <v>5</v>
      </c>
      <c r="BF6" s="23"/>
      <c r="BG6" s="22">
        <v>5</v>
      </c>
      <c r="BH6" s="23"/>
      <c r="BI6" s="23"/>
      <c r="BJ6" s="23"/>
      <c r="BK6" s="23">
        <v>5</v>
      </c>
      <c r="BL6" s="36">
        <f>AH6+AJ6+AL6+AQ6+AS6+AX6+AZ6+BD6+BE6+BG6+BK6</f>
        <v>56</v>
      </c>
      <c r="BM6" s="22">
        <v>5</v>
      </c>
      <c r="BN6" s="23"/>
      <c r="BO6" s="22">
        <v>5</v>
      </c>
      <c r="BP6" s="23"/>
      <c r="BQ6" s="23"/>
      <c r="BR6" s="22">
        <v>6</v>
      </c>
      <c r="BS6" s="23">
        <v>5</v>
      </c>
      <c r="BT6" s="23">
        <v>5</v>
      </c>
      <c r="BU6" s="23"/>
      <c r="BV6" s="23">
        <v>5</v>
      </c>
      <c r="BW6" s="23"/>
      <c r="BX6" s="23">
        <v>3</v>
      </c>
      <c r="BY6" s="23">
        <v>6</v>
      </c>
      <c r="BZ6" s="23"/>
      <c r="CA6" s="23">
        <v>5</v>
      </c>
      <c r="CB6" s="23"/>
      <c r="CC6" s="23">
        <v>5</v>
      </c>
      <c r="CD6" s="23"/>
      <c r="CE6" s="23"/>
      <c r="CF6" s="23">
        <v>6</v>
      </c>
      <c r="CG6" s="23"/>
      <c r="CH6" s="23">
        <v>5</v>
      </c>
      <c r="CI6" s="23"/>
      <c r="CJ6" s="23">
        <v>5</v>
      </c>
      <c r="CK6" s="23"/>
      <c r="CL6" s="23"/>
      <c r="CM6" s="23"/>
      <c r="CN6" s="23"/>
      <c r="CO6" s="23">
        <v>3</v>
      </c>
      <c r="CP6" s="23"/>
      <c r="CQ6" s="23">
        <v>5</v>
      </c>
      <c r="CR6" s="30">
        <f>SUM(BM6:CQ6)</f>
        <v>74</v>
      </c>
      <c r="CS6" s="19"/>
      <c r="CT6" s="19"/>
      <c r="CU6" s="19"/>
      <c r="CV6" s="19"/>
      <c r="CW6" s="19" t="s">
        <v>46</v>
      </c>
      <c r="CX6" s="19"/>
      <c r="CY6" s="19">
        <v>5</v>
      </c>
      <c r="CZ6" s="19"/>
      <c r="DA6" s="19"/>
      <c r="DB6" s="19"/>
      <c r="DC6" s="19"/>
      <c r="DD6" s="19">
        <v>5</v>
      </c>
      <c r="DE6" s="19"/>
      <c r="DF6" s="19"/>
      <c r="DG6" s="19"/>
      <c r="DH6" s="19">
        <v>3</v>
      </c>
      <c r="DI6" s="19"/>
      <c r="DJ6" s="19"/>
      <c r="DK6" s="19">
        <v>5</v>
      </c>
      <c r="DL6" s="19"/>
      <c r="DM6" s="19">
        <v>5</v>
      </c>
      <c r="DN6" s="19"/>
      <c r="DO6" s="19"/>
      <c r="DP6" s="19"/>
      <c r="DQ6" s="19"/>
      <c r="DR6" s="19">
        <v>5</v>
      </c>
      <c r="DS6" s="19"/>
      <c r="DT6" s="19">
        <v>5</v>
      </c>
      <c r="DU6" s="19"/>
      <c r="DV6" s="19"/>
      <c r="DW6" s="30">
        <f>SUM(CS6:DV6)</f>
        <v>33</v>
      </c>
      <c r="DX6" s="19"/>
      <c r="DY6" s="19"/>
      <c r="DZ6" s="19">
        <v>5</v>
      </c>
      <c r="EA6" s="19"/>
      <c r="EB6" s="19">
        <v>5</v>
      </c>
      <c r="EC6" s="19"/>
      <c r="ED6" s="19">
        <v>3</v>
      </c>
      <c r="EE6" s="19"/>
      <c r="EF6" s="19"/>
      <c r="EG6" s="19">
        <v>5</v>
      </c>
      <c r="EH6" s="19"/>
      <c r="EI6" s="19">
        <v>5</v>
      </c>
      <c r="EJ6" s="19"/>
      <c r="EK6" s="19"/>
      <c r="EL6" s="19"/>
      <c r="EM6" s="19"/>
      <c r="EN6" s="19">
        <v>5</v>
      </c>
      <c r="EO6" s="19"/>
      <c r="EP6" s="19">
        <v>7</v>
      </c>
      <c r="EQ6" s="19"/>
      <c r="ER6" s="19"/>
      <c r="ES6" s="19">
        <v>12.5</v>
      </c>
      <c r="ET6" s="19"/>
      <c r="EU6" s="19">
        <v>5</v>
      </c>
      <c r="EV6" s="19"/>
      <c r="EW6" s="19">
        <v>5</v>
      </c>
      <c r="EX6" s="19"/>
      <c r="EY6" s="19"/>
      <c r="EZ6" s="19"/>
      <c r="FA6" s="38"/>
      <c r="FB6" s="19">
        <v>0</v>
      </c>
      <c r="FC6" s="51">
        <f>SUM(DX6:ER6)+EU6+EW6</f>
        <v>45</v>
      </c>
      <c r="FD6" s="19">
        <v>5</v>
      </c>
      <c r="FE6" s="19">
        <v>14.5</v>
      </c>
      <c r="FF6" s="19"/>
      <c r="FG6" s="19"/>
      <c r="FH6" s="19"/>
      <c r="FI6" s="19"/>
      <c r="FJ6" s="19"/>
      <c r="FK6" s="19">
        <v>5</v>
      </c>
      <c r="FL6" s="19"/>
      <c r="FM6" s="19"/>
      <c r="FN6" s="19"/>
      <c r="FO6" s="19"/>
      <c r="FP6" s="19">
        <v>5</v>
      </c>
      <c r="FQ6" s="19"/>
      <c r="FR6" s="19">
        <v>5</v>
      </c>
      <c r="FS6" s="19"/>
      <c r="FT6" s="19"/>
      <c r="FU6" s="19"/>
      <c r="FV6" s="19"/>
      <c r="FW6" s="19">
        <v>5</v>
      </c>
      <c r="FX6" s="19"/>
      <c r="FY6" s="19">
        <v>5</v>
      </c>
      <c r="FZ6" s="19">
        <v>4</v>
      </c>
      <c r="GA6" s="19"/>
      <c r="GB6" s="19"/>
      <c r="GC6" s="19"/>
      <c r="GD6" s="19">
        <v>5</v>
      </c>
      <c r="GE6" s="19"/>
      <c r="GF6" s="19">
        <v>5</v>
      </c>
      <c r="GG6" s="19"/>
      <c r="GH6" s="19">
        <f>SUM(FD6:GG6)</f>
        <v>58.5</v>
      </c>
      <c r="GI6" s="19"/>
      <c r="GJ6" s="19"/>
      <c r="GK6" s="19"/>
      <c r="GL6" s="19">
        <v>5</v>
      </c>
      <c r="GM6" s="19"/>
      <c r="GN6" s="19">
        <v>5</v>
      </c>
      <c r="GO6" s="19"/>
      <c r="GP6" s="19"/>
      <c r="GQ6" s="19"/>
      <c r="GR6" s="19"/>
      <c r="GS6" s="19">
        <v>5</v>
      </c>
      <c r="GT6" s="19"/>
      <c r="GU6" s="19"/>
      <c r="GV6" s="19"/>
      <c r="GW6" s="19"/>
      <c r="GX6" s="19"/>
      <c r="GY6" s="19"/>
      <c r="GZ6" s="19"/>
      <c r="HA6" s="19"/>
      <c r="HB6" s="19">
        <v>5</v>
      </c>
      <c r="HC6" s="19"/>
      <c r="HD6" s="19"/>
      <c r="HE6" s="19"/>
      <c r="HF6" s="19"/>
      <c r="HG6" s="19">
        <v>5</v>
      </c>
      <c r="HH6" s="19"/>
      <c r="HI6" s="19">
        <v>5</v>
      </c>
      <c r="HJ6" s="19"/>
      <c r="HK6" s="84"/>
      <c r="HL6" s="87">
        <f>SUM(GI6:HK6)</f>
        <v>30</v>
      </c>
      <c r="HM6" s="19"/>
      <c r="HN6" s="19"/>
      <c r="HO6" s="19">
        <v>5</v>
      </c>
      <c r="HP6" s="19"/>
      <c r="HQ6" s="19">
        <v>5</v>
      </c>
      <c r="HR6" s="19"/>
      <c r="HS6" s="19"/>
      <c r="HT6" s="19"/>
      <c r="HU6" s="19"/>
      <c r="HV6" s="19">
        <v>5</v>
      </c>
      <c r="HW6" s="19"/>
      <c r="HX6" s="19">
        <v>5</v>
      </c>
      <c r="HY6" s="19"/>
      <c r="HZ6" s="19"/>
      <c r="IA6" s="19"/>
      <c r="IB6" s="19"/>
      <c r="IC6" s="19">
        <v>5</v>
      </c>
      <c r="ID6" s="19"/>
      <c r="IE6" s="83">
        <v>5</v>
      </c>
      <c r="IF6" s="19"/>
      <c r="IG6" s="19"/>
      <c r="IH6" s="19"/>
      <c r="II6" s="19"/>
      <c r="IJ6" s="19">
        <v>5</v>
      </c>
      <c r="IK6" s="19"/>
      <c r="IL6" s="19">
        <v>5</v>
      </c>
      <c r="IM6" s="19"/>
      <c r="IN6" s="19"/>
      <c r="IO6" s="19"/>
      <c r="IP6" s="19"/>
      <c r="IQ6" s="19"/>
      <c r="IR6" s="90">
        <f>SUM(HM6:IQ6)</f>
        <v>40</v>
      </c>
      <c r="IS6" s="19"/>
      <c r="IT6" s="19"/>
      <c r="IU6" s="19"/>
      <c r="IV6" s="19"/>
      <c r="IW6" s="19"/>
      <c r="IX6" s="19"/>
      <c r="IY6" s="19"/>
      <c r="IZ6" s="19"/>
      <c r="JA6" s="19"/>
      <c r="JB6" s="19"/>
      <c r="JC6" s="19"/>
      <c r="JD6" s="19"/>
      <c r="JE6" s="19"/>
      <c r="JF6" s="19"/>
      <c r="JG6" s="19"/>
      <c r="JH6" s="19"/>
      <c r="JI6" s="19"/>
      <c r="JJ6" s="19"/>
      <c r="JK6" s="19"/>
      <c r="JL6" s="19"/>
      <c r="JM6" s="19"/>
      <c r="JN6" s="19"/>
      <c r="JO6" s="19"/>
      <c r="JP6" s="19"/>
      <c r="JQ6" s="19"/>
      <c r="JR6" s="19"/>
      <c r="JS6" s="19"/>
      <c r="JT6" s="19"/>
      <c r="JU6" s="19"/>
      <c r="JV6" s="19"/>
      <c r="JW6" s="19"/>
      <c r="JX6" s="19"/>
      <c r="JY6" s="19"/>
      <c r="JZ6" s="19"/>
      <c r="KA6" s="19"/>
      <c r="KB6" s="19"/>
      <c r="KC6" s="19"/>
      <c r="KD6" s="19"/>
      <c r="KE6" s="19"/>
      <c r="KF6" s="19"/>
      <c r="KG6" s="19"/>
      <c r="KH6" s="19"/>
      <c r="KI6" s="19"/>
      <c r="KJ6" s="19"/>
      <c r="KK6" s="19"/>
      <c r="KL6" s="19"/>
      <c r="KM6" s="19"/>
      <c r="KN6" s="19"/>
      <c r="KO6" s="19"/>
      <c r="KP6" s="19"/>
      <c r="KQ6" s="19"/>
      <c r="KR6" s="19"/>
      <c r="KS6" s="19"/>
      <c r="KT6" s="19"/>
      <c r="KU6" s="19"/>
      <c r="KV6" s="38"/>
      <c r="KW6" s="19"/>
      <c r="KX6" s="19"/>
      <c r="KY6" s="100"/>
      <c r="KZ6" s="100"/>
      <c r="LA6" s="100"/>
      <c r="LB6" s="100"/>
      <c r="LC6" s="100"/>
      <c r="LD6" s="19"/>
      <c r="LE6" s="21"/>
      <c r="LF6" s="21"/>
      <c r="LG6" s="21"/>
      <c r="LH6" s="21"/>
      <c r="LI6" s="21"/>
      <c r="LJ6" s="48"/>
      <c r="LK6" s="48"/>
      <c r="LL6" s="48"/>
      <c r="LM6" s="48"/>
      <c r="LN6" s="48"/>
      <c r="LO6" s="48"/>
      <c r="LP6" s="48"/>
      <c r="LQ6" s="48"/>
      <c r="LR6" s="48"/>
      <c r="LS6" s="48"/>
      <c r="LT6" s="48"/>
      <c r="LU6" s="48"/>
      <c r="LV6" s="48"/>
      <c r="LW6" s="48"/>
      <c r="LX6" s="48"/>
      <c r="LY6" s="48"/>
      <c r="LZ6" s="48"/>
      <c r="MA6" s="48"/>
      <c r="MB6" s="48"/>
      <c r="MC6" s="48"/>
      <c r="MD6" s="48"/>
      <c r="ME6" s="48"/>
      <c r="MF6" s="48"/>
      <c r="MG6" s="48"/>
      <c r="MH6" s="48"/>
      <c r="MI6" s="48"/>
      <c r="MJ6" s="48"/>
      <c r="MK6" s="48"/>
      <c r="ML6" s="48"/>
      <c r="MM6" s="48"/>
      <c r="MN6" s="48"/>
      <c r="MO6" s="48"/>
      <c r="MP6" s="48"/>
      <c r="MQ6" s="48"/>
      <c r="MR6" s="48"/>
      <c r="MS6" s="48"/>
      <c r="MT6" s="48"/>
      <c r="MU6" s="48"/>
      <c r="MV6" s="113"/>
      <c r="MW6" s="113"/>
      <c r="MX6" s="113"/>
      <c r="MY6" s="113"/>
      <c r="MZ6" s="113"/>
      <c r="NA6" s="113"/>
      <c r="NB6" s="113"/>
      <c r="NC6" s="113"/>
      <c r="ND6" s="113"/>
      <c r="NE6" s="113"/>
      <c r="NF6" s="113"/>
      <c r="NG6" s="113"/>
      <c r="NH6" s="113"/>
      <c r="NI6" s="113"/>
      <c r="NJ6" s="113"/>
      <c r="NK6" s="113"/>
      <c r="NL6" s="113"/>
      <c r="NM6" s="113"/>
      <c r="NN6" s="113"/>
      <c r="NO6" s="113"/>
      <c r="NP6" s="113"/>
      <c r="NQ6" s="113"/>
      <c r="NR6" s="113"/>
      <c r="NS6" s="113"/>
      <c r="NT6" s="113"/>
      <c r="NU6" s="113"/>
      <c r="NV6" s="113"/>
      <c r="NW6" s="113"/>
      <c r="NX6" s="113"/>
      <c r="NY6" s="113"/>
      <c r="NZ6" s="113"/>
      <c r="OA6" s="113"/>
      <c r="OB6" s="113"/>
      <c r="OC6" s="113"/>
      <c r="OD6" s="113"/>
      <c r="OE6" s="113"/>
      <c r="OF6" s="113"/>
      <c r="OG6" s="113"/>
      <c r="OH6" s="113"/>
      <c r="OI6" s="113"/>
      <c r="OJ6" s="113"/>
      <c r="OK6" s="113"/>
      <c r="OL6" s="113"/>
      <c r="OM6" s="113"/>
      <c r="ON6" s="113"/>
      <c r="OO6" s="113"/>
      <c r="OP6" s="113"/>
      <c r="OQ6" s="118"/>
      <c r="OR6" s="118"/>
      <c r="OS6" s="19"/>
      <c r="OT6" s="19"/>
      <c r="OU6" s="19"/>
      <c r="OV6" s="19"/>
      <c r="OW6" s="19"/>
      <c r="OX6" s="19"/>
      <c r="OY6" s="19"/>
      <c r="OZ6" s="19"/>
      <c r="PA6" s="19"/>
      <c r="PB6" s="19"/>
      <c r="PC6" s="19"/>
      <c r="PD6" s="19"/>
      <c r="PE6" s="19"/>
      <c r="PF6" s="19"/>
      <c r="PG6" s="19"/>
      <c r="PH6" s="19"/>
      <c r="PI6" s="19"/>
      <c r="PJ6" s="19"/>
      <c r="PK6" s="19"/>
      <c r="PL6" s="19"/>
      <c r="PM6" s="19"/>
      <c r="PN6" s="19"/>
      <c r="PO6" s="19"/>
      <c r="PP6" s="19"/>
      <c r="PQ6" s="19"/>
      <c r="PR6" s="19"/>
      <c r="PS6" s="19"/>
      <c r="PT6" s="19"/>
      <c r="PU6" s="19"/>
      <c r="PV6" s="19"/>
      <c r="PW6" s="19"/>
      <c r="PX6" s="19"/>
      <c r="PY6" s="19"/>
      <c r="PZ6" s="19"/>
      <c r="QA6" s="19"/>
      <c r="QB6" s="19"/>
      <c r="QC6" s="19"/>
      <c r="QD6" s="19"/>
      <c r="QE6" s="19"/>
      <c r="QF6" s="19"/>
      <c r="QG6" s="19"/>
      <c r="QH6" s="19"/>
      <c r="QI6" s="19"/>
      <c r="QJ6" s="19"/>
      <c r="QK6" s="19"/>
      <c r="QL6" s="19"/>
      <c r="QM6" s="19"/>
      <c r="QN6" s="19"/>
      <c r="QO6" s="19"/>
      <c r="QP6" s="19"/>
      <c r="QQ6" s="19"/>
      <c r="QR6" s="19"/>
      <c r="QS6" s="19"/>
      <c r="QT6" s="19"/>
      <c r="QU6" s="19"/>
      <c r="QV6" s="19"/>
      <c r="QW6" s="19"/>
      <c r="QX6" s="19"/>
      <c r="QY6" s="19"/>
      <c r="QZ6" s="19"/>
      <c r="RA6" s="19"/>
      <c r="RB6" s="19"/>
      <c r="RC6" s="19"/>
      <c r="RD6" s="19"/>
      <c r="RE6" s="19"/>
      <c r="RF6" s="19"/>
      <c r="RG6" s="19"/>
      <c r="RH6" s="19"/>
      <c r="RI6" s="19"/>
      <c r="RJ6" s="19"/>
      <c r="RK6" s="19"/>
      <c r="RL6" s="19"/>
      <c r="RM6" s="19"/>
      <c r="RN6" s="19"/>
      <c r="RO6" s="19"/>
      <c r="RP6" s="19"/>
      <c r="RQ6" s="19"/>
      <c r="RR6" s="19"/>
      <c r="RS6" s="19"/>
      <c r="RT6" s="19"/>
      <c r="RU6" s="19"/>
      <c r="RV6" s="19"/>
      <c r="RW6" s="19"/>
      <c r="RX6" s="19"/>
      <c r="RY6" s="19"/>
      <c r="RZ6" s="19"/>
      <c r="SA6" s="19"/>
      <c r="SB6" s="19"/>
      <c r="SC6" s="19"/>
      <c r="SD6" s="38"/>
      <c r="SE6" s="19"/>
      <c r="SF6" s="19"/>
      <c r="SG6" s="19"/>
      <c r="SH6" s="19"/>
      <c r="SI6" s="19"/>
      <c r="SJ6" s="19"/>
      <c r="SK6" s="19"/>
      <c r="SL6" s="19"/>
      <c r="SM6" s="19"/>
      <c r="SN6" s="19"/>
      <c r="SO6" s="19"/>
      <c r="SP6" s="19"/>
      <c r="SQ6" s="19"/>
      <c r="SR6" s="19"/>
      <c r="SS6" s="19"/>
      <c r="ST6" s="19"/>
      <c r="SU6" s="19"/>
      <c r="SV6" s="19"/>
      <c r="SW6" s="19"/>
      <c r="SX6" s="19"/>
      <c r="SY6" s="19"/>
      <c r="SZ6" s="19"/>
      <c r="TA6" s="19"/>
      <c r="TB6" s="19"/>
      <c r="TC6" s="19"/>
      <c r="TD6" s="19"/>
      <c r="TE6" s="19"/>
      <c r="TF6" s="19"/>
      <c r="TG6" s="19"/>
      <c r="TH6" s="19"/>
      <c r="TI6" s="19"/>
    </row>
    <row r="7" spans="1:529" s="18" customFormat="1">
      <c r="A7" s="21" t="s">
        <v>151</v>
      </c>
      <c r="B7" s="22"/>
      <c r="C7" s="22"/>
      <c r="D7" s="23"/>
      <c r="E7" s="22"/>
      <c r="F7" s="22"/>
      <c r="G7" s="22"/>
      <c r="H7" s="23"/>
      <c r="I7" s="22"/>
      <c r="J7" s="22"/>
      <c r="K7" s="22"/>
      <c r="L7" s="22"/>
      <c r="M7" s="22"/>
      <c r="N7" s="22"/>
      <c r="O7" s="20"/>
      <c r="P7" s="22"/>
      <c r="Q7" s="20"/>
      <c r="R7" s="20"/>
      <c r="S7" s="20"/>
      <c r="T7" s="20"/>
      <c r="U7" s="22"/>
      <c r="V7" s="20"/>
      <c r="W7" s="22"/>
      <c r="X7" s="20"/>
      <c r="Y7" s="20"/>
      <c r="Z7" s="25"/>
      <c r="AA7" s="20"/>
      <c r="AB7" s="22"/>
      <c r="AC7" s="20"/>
      <c r="AD7" s="22"/>
      <c r="AE7" s="20"/>
      <c r="AF7" s="20"/>
      <c r="AG7" s="31"/>
      <c r="AH7" s="22"/>
      <c r="AI7" s="23"/>
      <c r="AJ7" s="22"/>
      <c r="AK7" s="23"/>
      <c r="AL7" s="22"/>
      <c r="AM7" s="23"/>
      <c r="AN7" s="23"/>
      <c r="AO7" s="23"/>
      <c r="AP7" s="23"/>
      <c r="AQ7" s="22"/>
      <c r="AR7" s="23"/>
      <c r="AS7" s="22"/>
      <c r="AT7" s="23"/>
      <c r="AU7" s="23"/>
      <c r="AV7" s="23"/>
      <c r="AW7" s="23"/>
      <c r="AX7" s="22"/>
      <c r="AY7" s="23"/>
      <c r="AZ7" s="22"/>
      <c r="BA7" s="23"/>
      <c r="BB7" s="23"/>
      <c r="BC7" s="23"/>
      <c r="BD7" s="23"/>
      <c r="BE7" s="22"/>
      <c r="BF7" s="23"/>
      <c r="BG7" s="22"/>
      <c r="BH7" s="23"/>
      <c r="BI7" s="23"/>
      <c r="BJ7" s="23"/>
      <c r="BK7" s="23"/>
      <c r="BL7" s="36"/>
      <c r="BM7" s="22"/>
      <c r="BN7" s="23"/>
      <c r="BO7" s="22"/>
      <c r="BP7" s="23"/>
      <c r="BQ7" s="23"/>
      <c r="BR7" s="22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30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30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38"/>
      <c r="FB7" s="19"/>
      <c r="FC7" s="51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>
        <v>9</v>
      </c>
      <c r="GJ7" s="19"/>
      <c r="GK7" s="19"/>
      <c r="GL7" s="19"/>
      <c r="GM7" s="19"/>
      <c r="GN7" s="19"/>
      <c r="GO7" s="19"/>
      <c r="GP7" s="19"/>
      <c r="GQ7" s="19">
        <v>3</v>
      </c>
      <c r="GR7" s="19"/>
      <c r="GS7" s="19"/>
      <c r="GT7" s="19"/>
      <c r="GU7" s="19">
        <v>14.5</v>
      </c>
      <c r="GV7" s="19"/>
      <c r="GW7" s="19">
        <v>8</v>
      </c>
      <c r="GX7" s="19"/>
      <c r="GY7" s="19">
        <v>10.5</v>
      </c>
      <c r="GZ7" s="19">
        <v>14.5</v>
      </c>
      <c r="HA7" s="19">
        <v>3.5</v>
      </c>
      <c r="HB7" s="19"/>
      <c r="HC7" s="19"/>
      <c r="HD7" s="19"/>
      <c r="HE7" s="19"/>
      <c r="HF7" s="19"/>
      <c r="HG7" s="19"/>
      <c r="HH7" s="19"/>
      <c r="HI7" s="19"/>
      <c r="HJ7" s="19"/>
      <c r="HK7" s="84"/>
      <c r="HL7" s="87">
        <f>SUM(GI7:HK7)</f>
        <v>63</v>
      </c>
      <c r="HM7" s="19"/>
      <c r="HN7" s="19"/>
      <c r="HO7" s="19"/>
      <c r="HP7" s="19"/>
      <c r="HQ7" s="19">
        <v>4.5</v>
      </c>
      <c r="HR7" s="19"/>
      <c r="HS7" s="19"/>
      <c r="HT7" s="19"/>
      <c r="HU7" s="19"/>
      <c r="HV7" s="19"/>
      <c r="HW7" s="19"/>
      <c r="HX7" s="19"/>
      <c r="HY7" s="19"/>
      <c r="HZ7" s="19">
        <v>8</v>
      </c>
      <c r="IA7" s="19"/>
      <c r="IB7" s="19"/>
      <c r="IC7" s="19"/>
      <c r="ID7" s="19"/>
      <c r="IE7" s="19">
        <v>4.5</v>
      </c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90">
        <f>SUM(HM7:IQ7)</f>
        <v>17</v>
      </c>
      <c r="IS7" s="19"/>
      <c r="IT7" s="19"/>
      <c r="IU7" s="19"/>
      <c r="IV7" s="19"/>
      <c r="IW7" s="19"/>
      <c r="IX7" s="19"/>
      <c r="IY7" s="19"/>
      <c r="IZ7" s="19"/>
      <c r="JA7" s="19"/>
      <c r="JB7" s="19"/>
      <c r="JC7" s="19"/>
      <c r="JD7" s="19"/>
      <c r="JE7" s="19"/>
      <c r="JF7" s="19"/>
      <c r="JG7" s="19"/>
      <c r="JH7" s="19"/>
      <c r="JI7" s="19"/>
      <c r="JJ7" s="19">
        <v>10</v>
      </c>
      <c r="JK7" s="19"/>
      <c r="JL7" s="19"/>
      <c r="JM7" s="19"/>
      <c r="JN7" s="19"/>
      <c r="JO7" s="19"/>
      <c r="JP7" s="19"/>
      <c r="JQ7" s="19">
        <v>10</v>
      </c>
      <c r="JR7" s="19"/>
      <c r="JS7" s="19"/>
      <c r="JT7" s="19"/>
      <c r="JU7" s="19"/>
      <c r="JV7" s="19"/>
      <c r="JW7" s="19"/>
      <c r="JX7" s="19"/>
      <c r="JY7" s="19"/>
      <c r="JZ7" s="19"/>
      <c r="KA7" s="19"/>
      <c r="KB7" s="19"/>
      <c r="KC7" s="19"/>
      <c r="KD7" s="19"/>
      <c r="KE7" s="19"/>
      <c r="KF7" s="19"/>
      <c r="KG7" s="19"/>
      <c r="KH7" s="19"/>
      <c r="KI7" s="19"/>
      <c r="KJ7" s="19"/>
      <c r="KK7" s="19"/>
      <c r="KL7" s="19"/>
      <c r="KM7" s="19"/>
      <c r="KN7" s="19"/>
      <c r="KO7" s="19"/>
      <c r="KP7" s="19"/>
      <c r="KQ7" s="19"/>
      <c r="KR7" s="19"/>
      <c r="KS7" s="19"/>
      <c r="KT7" s="19"/>
      <c r="KU7" s="19"/>
      <c r="KV7" s="38"/>
      <c r="KW7" s="19"/>
      <c r="KX7" s="19"/>
      <c r="KY7" s="100"/>
      <c r="KZ7" s="100"/>
      <c r="LA7" s="100">
        <v>10</v>
      </c>
      <c r="LB7" s="100">
        <v>10</v>
      </c>
      <c r="LC7" s="100"/>
      <c r="LD7" s="19">
        <v>20</v>
      </c>
      <c r="LE7" s="21">
        <v>12</v>
      </c>
      <c r="LF7" s="21">
        <v>3</v>
      </c>
      <c r="LG7" s="21">
        <v>12</v>
      </c>
      <c r="LH7" s="21"/>
      <c r="LI7" s="21">
        <v>10</v>
      </c>
      <c r="LJ7" s="48"/>
      <c r="LK7" s="48">
        <v>1.5</v>
      </c>
      <c r="LL7" s="48"/>
      <c r="LM7" s="48">
        <v>1.5</v>
      </c>
      <c r="LN7" s="48"/>
      <c r="LO7" s="48">
        <v>1.5</v>
      </c>
      <c r="LP7" s="48">
        <v>10</v>
      </c>
      <c r="LQ7" s="48"/>
      <c r="LR7" s="48">
        <v>1.5</v>
      </c>
      <c r="LS7" s="48"/>
      <c r="LT7" s="48">
        <v>1.5</v>
      </c>
      <c r="LU7" s="109">
        <v>2</v>
      </c>
      <c r="LV7" s="109">
        <f>1.5+2</f>
        <v>3.5</v>
      </c>
      <c r="LW7" s="109">
        <v>10</v>
      </c>
      <c r="LX7" s="109">
        <v>7</v>
      </c>
      <c r="LY7" s="109">
        <v>3.5</v>
      </c>
      <c r="LZ7" s="109">
        <v>12</v>
      </c>
      <c r="MA7" s="109">
        <v>4.5</v>
      </c>
      <c r="MB7" s="109">
        <v>12</v>
      </c>
      <c r="MC7" s="110">
        <v>3.5</v>
      </c>
      <c r="MD7" s="110">
        <v>10</v>
      </c>
      <c r="ME7" s="110"/>
      <c r="MF7" s="110">
        <v>3.5</v>
      </c>
      <c r="MG7" s="111">
        <v>12</v>
      </c>
      <c r="MH7" s="112" t="s">
        <v>428</v>
      </c>
      <c r="MI7" s="110"/>
      <c r="MJ7" s="111">
        <v>2</v>
      </c>
      <c r="MK7" s="112" t="s">
        <v>429</v>
      </c>
      <c r="ML7" s="110"/>
      <c r="MM7" s="111">
        <v>3.5</v>
      </c>
      <c r="MN7" s="112"/>
      <c r="MO7" s="110">
        <v>2.5</v>
      </c>
      <c r="MP7" s="111"/>
      <c r="MQ7" s="112" t="s">
        <v>448</v>
      </c>
      <c r="MR7" s="110">
        <v>10</v>
      </c>
      <c r="MS7" s="110"/>
      <c r="MT7" s="110">
        <v>3.5</v>
      </c>
      <c r="MU7" s="110"/>
      <c r="MV7" s="110">
        <v>14.5</v>
      </c>
      <c r="MW7" s="110"/>
      <c r="MX7" s="110">
        <v>14.5</v>
      </c>
      <c r="MY7" s="110">
        <v>5</v>
      </c>
      <c r="MZ7" s="110"/>
      <c r="NA7" s="110">
        <v>14.5</v>
      </c>
      <c r="NB7" s="110"/>
      <c r="NC7" s="110">
        <v>3</v>
      </c>
      <c r="ND7" s="110"/>
      <c r="NE7" s="110">
        <v>4</v>
      </c>
      <c r="NF7" s="110">
        <v>10</v>
      </c>
      <c r="NG7" s="110"/>
      <c r="NH7" s="110">
        <v>4</v>
      </c>
      <c r="NI7" s="110"/>
      <c r="NJ7" s="110">
        <v>3</v>
      </c>
      <c r="NK7" s="110"/>
      <c r="NL7" s="110"/>
      <c r="NM7" s="110"/>
      <c r="NN7" s="110"/>
      <c r="NO7" s="110">
        <v>14.5</v>
      </c>
      <c r="NP7" s="110"/>
      <c r="NQ7" s="110">
        <v>3</v>
      </c>
      <c r="NR7" s="110"/>
      <c r="NS7" s="110">
        <v>5</v>
      </c>
      <c r="NT7" s="110">
        <v>10</v>
      </c>
      <c r="NU7" s="110">
        <v>10</v>
      </c>
      <c r="NV7" s="110">
        <v>3.5</v>
      </c>
      <c r="NW7" s="110">
        <v>11</v>
      </c>
      <c r="NX7" s="110">
        <v>3</v>
      </c>
      <c r="NY7" s="110">
        <v>11</v>
      </c>
      <c r="NZ7" s="110">
        <v>4</v>
      </c>
      <c r="OA7" s="110">
        <v>10</v>
      </c>
      <c r="OB7" s="110">
        <v>10</v>
      </c>
      <c r="OC7" s="115">
        <v>2.5</v>
      </c>
      <c r="OD7" s="110">
        <v>12</v>
      </c>
      <c r="OE7" s="110">
        <v>3.5</v>
      </c>
      <c r="OF7" s="110">
        <v>1.5</v>
      </c>
      <c r="OG7" s="110">
        <v>4.5</v>
      </c>
      <c r="OH7" s="110">
        <v>10</v>
      </c>
      <c r="OI7" s="110">
        <v>10</v>
      </c>
      <c r="OJ7" s="110">
        <v>14.5</v>
      </c>
      <c r="OK7" s="110"/>
      <c r="OL7" s="110">
        <v>4.5</v>
      </c>
      <c r="OM7" s="110"/>
      <c r="ON7" s="110">
        <v>4.5</v>
      </c>
      <c r="OO7" s="110">
        <v>10</v>
      </c>
      <c r="OP7" s="110"/>
      <c r="OQ7" s="119">
        <v>3</v>
      </c>
      <c r="OR7" s="119">
        <f>SUM(NN7:OQ7)</f>
        <v>175.5</v>
      </c>
      <c r="OS7" s="19"/>
      <c r="OT7" s="19">
        <v>3</v>
      </c>
      <c r="OU7" s="19"/>
      <c r="OV7" s="19"/>
      <c r="OW7" s="19">
        <v>10</v>
      </c>
      <c r="OX7" s="19"/>
      <c r="OY7" s="19">
        <v>4</v>
      </c>
      <c r="OZ7" s="19"/>
      <c r="PA7" s="19">
        <v>12.5</v>
      </c>
      <c r="PB7" s="19"/>
      <c r="PC7" s="19">
        <v>14.5</v>
      </c>
      <c r="PD7" s="19">
        <v>10</v>
      </c>
      <c r="PE7" s="19"/>
      <c r="PF7" s="19">
        <v>4.5</v>
      </c>
      <c r="PG7" s="19"/>
      <c r="PH7" s="19">
        <v>3</v>
      </c>
      <c r="PI7" s="19"/>
      <c r="PJ7" s="19">
        <f>1.5+1</f>
        <v>2.5</v>
      </c>
      <c r="PK7" s="19">
        <v>10</v>
      </c>
      <c r="PL7" s="19"/>
      <c r="PM7" s="19">
        <v>14.5</v>
      </c>
      <c r="PN7" s="19"/>
      <c r="PO7" s="19">
        <v>2.5</v>
      </c>
      <c r="PP7" s="19"/>
      <c r="PQ7" s="19">
        <v>2.5</v>
      </c>
      <c r="PR7" s="19">
        <v>10</v>
      </c>
      <c r="PS7" s="19"/>
      <c r="PT7" s="19">
        <v>6.5</v>
      </c>
      <c r="PU7" s="19"/>
      <c r="PV7" s="19">
        <v>3.5</v>
      </c>
      <c r="PW7" s="19"/>
      <c r="PX7" s="19">
        <f>SUM(OS7:PW7)</f>
        <v>113.5</v>
      </c>
      <c r="PY7" s="19">
        <v>8</v>
      </c>
      <c r="PZ7" s="19"/>
      <c r="QA7" s="19">
        <v>3</v>
      </c>
      <c r="QB7" s="19">
        <v>6</v>
      </c>
      <c r="QC7" s="19">
        <v>4</v>
      </c>
      <c r="QD7" s="19" t="s">
        <v>644</v>
      </c>
      <c r="QE7" s="19">
        <v>3</v>
      </c>
      <c r="QF7" s="19">
        <v>10</v>
      </c>
      <c r="QG7" s="19"/>
      <c r="QH7" s="19">
        <v>14.5</v>
      </c>
      <c r="QI7" s="19"/>
      <c r="QJ7" s="19">
        <v>14.5</v>
      </c>
      <c r="QK7" s="19"/>
      <c r="QL7" s="19">
        <v>3.5</v>
      </c>
      <c r="QM7" s="19">
        <v>10</v>
      </c>
      <c r="QN7" s="19"/>
      <c r="QO7" s="19">
        <v>2</v>
      </c>
      <c r="QP7" s="19"/>
      <c r="QQ7" s="19">
        <v>2.5</v>
      </c>
      <c r="QR7" s="19"/>
      <c r="QS7" s="127" t="s">
        <v>681</v>
      </c>
      <c r="QT7" s="19">
        <v>10</v>
      </c>
      <c r="QU7" s="19"/>
      <c r="QV7" s="19">
        <v>14.5</v>
      </c>
      <c r="QW7" s="19"/>
      <c r="QX7" s="19">
        <v>14.5</v>
      </c>
      <c r="QY7" s="19">
        <v>3</v>
      </c>
      <c r="QZ7" s="127" t="s">
        <v>701</v>
      </c>
      <c r="RA7" s="19">
        <v>10</v>
      </c>
      <c r="RB7" s="19"/>
      <c r="RC7" s="19">
        <v>14.5</v>
      </c>
      <c r="RD7" s="19"/>
      <c r="RE7" s="19">
        <v>14.5</v>
      </c>
      <c r="RF7" s="19">
        <v>1.5</v>
      </c>
      <c r="RG7" s="19" t="s">
        <v>681</v>
      </c>
      <c r="RH7" s="19">
        <v>5</v>
      </c>
      <c r="RI7" s="19"/>
      <c r="RJ7" s="127" t="s">
        <v>720</v>
      </c>
      <c r="RK7" s="19" t="s">
        <v>727</v>
      </c>
      <c r="RL7" s="19" t="s">
        <v>681</v>
      </c>
      <c r="RM7" s="19"/>
      <c r="RN7" s="19">
        <v>1.5</v>
      </c>
      <c r="RO7" s="19">
        <v>10</v>
      </c>
      <c r="RP7" s="19"/>
      <c r="RQ7" s="19">
        <v>2.5</v>
      </c>
      <c r="RR7" s="19">
        <v>2.5</v>
      </c>
      <c r="RS7" s="19">
        <v>2.5</v>
      </c>
      <c r="RT7" s="19">
        <v>9</v>
      </c>
      <c r="RU7" s="19">
        <v>2.5</v>
      </c>
      <c r="RV7" s="19">
        <v>10.5</v>
      </c>
      <c r="RW7" s="19"/>
      <c r="RX7" s="19">
        <v>3</v>
      </c>
      <c r="RY7" s="19"/>
      <c r="RZ7" s="19">
        <v>3</v>
      </c>
      <c r="SA7" s="19"/>
      <c r="SB7" s="19">
        <v>14.5</v>
      </c>
      <c r="SC7" s="19">
        <v>10.5</v>
      </c>
      <c r="SD7" s="38"/>
      <c r="SE7" s="19">
        <v>2.5</v>
      </c>
      <c r="SF7" s="19"/>
      <c r="SG7" s="19">
        <v>3</v>
      </c>
      <c r="SH7" s="19"/>
      <c r="SI7" s="19"/>
      <c r="SJ7" s="19"/>
      <c r="SK7" s="19"/>
      <c r="SL7" s="19"/>
      <c r="SM7" s="19"/>
      <c r="SN7" s="19"/>
      <c r="SO7" s="19"/>
      <c r="SP7" s="19"/>
      <c r="SQ7" s="19"/>
      <c r="SR7" s="19"/>
      <c r="SS7" s="19"/>
      <c r="ST7" s="19"/>
      <c r="SU7" s="19"/>
      <c r="SV7" s="19"/>
      <c r="SW7" s="19"/>
      <c r="SX7" s="19"/>
      <c r="SY7" s="19"/>
      <c r="SZ7" s="19"/>
      <c r="TA7" s="19"/>
      <c r="TB7" s="19"/>
      <c r="TC7" s="19"/>
      <c r="TD7" s="19"/>
      <c r="TE7" s="19"/>
      <c r="TF7" s="19"/>
      <c r="TG7" s="19"/>
      <c r="TH7" s="19"/>
      <c r="TI7" s="19"/>
    </row>
    <row r="8" spans="1:529">
      <c r="A8" s="21" t="s">
        <v>538</v>
      </c>
      <c r="B8" s="20"/>
      <c r="C8" s="20"/>
      <c r="D8" s="22">
        <v>4</v>
      </c>
      <c r="E8" s="20"/>
      <c r="F8" s="20"/>
      <c r="G8" s="20"/>
      <c r="H8" s="22">
        <v>6</v>
      </c>
      <c r="I8" s="20"/>
      <c r="J8" s="20"/>
      <c r="K8" s="22">
        <v>1</v>
      </c>
      <c r="L8" s="20"/>
      <c r="M8" s="20"/>
      <c r="N8" s="20"/>
      <c r="O8" s="22" t="s">
        <v>46</v>
      </c>
      <c r="P8" s="20" t="s">
        <v>45</v>
      </c>
      <c r="Q8" s="20"/>
      <c r="R8" s="22" t="s">
        <v>46</v>
      </c>
      <c r="S8" s="20"/>
      <c r="T8" s="20"/>
      <c r="U8" s="20"/>
      <c r="V8" s="22">
        <v>6</v>
      </c>
      <c r="W8" s="20"/>
      <c r="X8" s="20"/>
      <c r="Y8" s="22">
        <v>4</v>
      </c>
      <c r="Z8" s="20"/>
      <c r="AA8" s="20"/>
      <c r="AB8" s="20"/>
      <c r="AC8" s="23"/>
      <c r="AD8" s="20"/>
      <c r="AE8" s="20"/>
      <c r="AF8" s="23"/>
      <c r="AG8" s="31">
        <f>D8+H8+K8+V8+Y8</f>
        <v>21</v>
      </c>
      <c r="AH8" s="23"/>
      <c r="AI8" s="23"/>
      <c r="AJ8" s="23"/>
      <c r="AK8" s="23">
        <v>4</v>
      </c>
      <c r="AL8" s="23"/>
      <c r="AM8" s="23"/>
      <c r="AN8" s="22">
        <v>3</v>
      </c>
      <c r="AO8" s="23"/>
      <c r="AP8" s="23"/>
      <c r="AQ8" s="23"/>
      <c r="AR8" s="23">
        <v>4</v>
      </c>
      <c r="AS8" s="23"/>
      <c r="AT8" s="23"/>
      <c r="AU8" s="23" t="s">
        <v>46</v>
      </c>
      <c r="AV8" s="23"/>
      <c r="AW8" s="23"/>
      <c r="AX8" s="23"/>
      <c r="AY8" s="23"/>
      <c r="AZ8" s="23"/>
      <c r="BA8" s="23"/>
      <c r="BB8" s="22">
        <v>3</v>
      </c>
      <c r="BC8" s="23"/>
      <c r="BD8" s="23"/>
      <c r="BE8" s="23"/>
      <c r="BF8" s="23">
        <v>4</v>
      </c>
      <c r="BG8" s="23"/>
      <c r="BH8" s="23">
        <v>5</v>
      </c>
      <c r="BI8" s="22">
        <v>3</v>
      </c>
      <c r="BJ8" s="23"/>
      <c r="BK8" s="23"/>
      <c r="BL8" s="28">
        <f>AK8+AN8+AR8+BB8+BF8+BH8+BI8</f>
        <v>26</v>
      </c>
      <c r="BM8" s="23"/>
      <c r="BN8" s="23">
        <v>5</v>
      </c>
      <c r="BO8" s="23"/>
      <c r="BP8" s="23"/>
      <c r="BQ8" s="22">
        <v>2</v>
      </c>
      <c r="BR8" s="23"/>
      <c r="BS8" s="23"/>
      <c r="BT8" s="23"/>
      <c r="BU8" s="23">
        <v>5</v>
      </c>
      <c r="BV8" s="23"/>
      <c r="BW8" s="23">
        <v>5</v>
      </c>
      <c r="BX8" s="23"/>
      <c r="BY8" s="23"/>
      <c r="BZ8" s="23"/>
      <c r="CA8" s="23"/>
      <c r="CB8" s="23"/>
      <c r="CC8" s="23"/>
      <c r="CD8" s="23"/>
      <c r="CE8" s="23">
        <v>3</v>
      </c>
      <c r="CF8" s="23"/>
      <c r="CG8" s="23"/>
      <c r="CH8" s="23"/>
      <c r="CI8" s="23">
        <v>5</v>
      </c>
      <c r="CJ8" s="23"/>
      <c r="CK8" s="23"/>
      <c r="CL8" s="23">
        <v>3</v>
      </c>
      <c r="CM8" s="23"/>
      <c r="CN8" s="23"/>
      <c r="CO8" s="23"/>
      <c r="CP8" s="23">
        <v>4</v>
      </c>
      <c r="CQ8" s="23"/>
      <c r="CR8" s="30">
        <f>SUM(BM8:CQ8)</f>
        <v>32</v>
      </c>
      <c r="CS8" s="19"/>
      <c r="CT8" s="19">
        <v>3</v>
      </c>
      <c r="CU8" s="19"/>
      <c r="CV8" s="19"/>
      <c r="CW8" s="19"/>
      <c r="CX8" s="19">
        <v>5</v>
      </c>
      <c r="CY8" s="19"/>
      <c r="CZ8" s="19"/>
      <c r="DA8" s="19">
        <v>3</v>
      </c>
      <c r="DB8" s="19"/>
      <c r="DC8" s="19"/>
      <c r="DD8" s="19"/>
      <c r="DE8" s="19"/>
      <c r="DF8" s="19">
        <v>5</v>
      </c>
      <c r="DG8" s="19"/>
      <c r="DH8" s="19"/>
      <c r="DI8" s="19"/>
      <c r="DJ8" s="19"/>
      <c r="DK8" s="19"/>
      <c r="DL8" s="19">
        <v>5</v>
      </c>
      <c r="DM8" s="19"/>
      <c r="DN8" s="19"/>
      <c r="DO8" s="19">
        <v>3</v>
      </c>
      <c r="DP8" s="19"/>
      <c r="DQ8" s="19"/>
      <c r="DR8" s="19"/>
      <c r="DS8" s="19">
        <v>5</v>
      </c>
      <c r="DT8" s="19"/>
      <c r="DU8" s="19"/>
      <c r="DV8" s="19">
        <v>3</v>
      </c>
      <c r="DW8" s="30">
        <f>SUM(CS8:DV8)</f>
        <v>32</v>
      </c>
      <c r="DX8" s="19"/>
      <c r="DY8" s="19"/>
      <c r="DZ8" s="19"/>
      <c r="EA8" s="19">
        <v>5</v>
      </c>
      <c r="EB8" s="19"/>
      <c r="EC8" s="19"/>
      <c r="ED8" s="19"/>
      <c r="EE8" s="19"/>
      <c r="EF8" s="19"/>
      <c r="EG8" s="19"/>
      <c r="EH8" s="19">
        <v>5</v>
      </c>
      <c r="EI8" s="19"/>
      <c r="EJ8" s="19"/>
      <c r="EK8" s="19">
        <v>0</v>
      </c>
      <c r="EL8" s="19"/>
      <c r="EM8" s="19"/>
      <c r="EN8" s="19"/>
      <c r="EO8" s="19">
        <v>0</v>
      </c>
      <c r="EP8" s="19"/>
      <c r="EQ8" s="19"/>
      <c r="ER8" s="19">
        <v>3</v>
      </c>
      <c r="ES8" s="19"/>
      <c r="ET8" s="19"/>
      <c r="EU8" s="19"/>
      <c r="EV8" s="48">
        <v>4</v>
      </c>
      <c r="EW8" s="19"/>
      <c r="EX8" s="19"/>
      <c r="EY8" s="19">
        <v>3</v>
      </c>
      <c r="EZ8" s="19"/>
      <c r="FA8" s="38"/>
      <c r="FB8" s="19"/>
      <c r="FC8" s="51">
        <f>SUM(DX8:FB8)</f>
        <v>20</v>
      </c>
      <c r="FD8" s="19"/>
      <c r="FE8" s="19"/>
      <c r="FF8" s="19">
        <v>3</v>
      </c>
      <c r="FG8" s="19"/>
      <c r="FH8" s="19"/>
      <c r="FI8" s="19"/>
      <c r="FJ8" s="19">
        <v>5</v>
      </c>
      <c r="FK8" s="19"/>
      <c r="FL8" s="19"/>
      <c r="FM8" s="19"/>
      <c r="FN8" s="19"/>
      <c r="FO8" s="19">
        <v>5</v>
      </c>
      <c r="FP8" s="19"/>
      <c r="FQ8" s="19">
        <v>5</v>
      </c>
      <c r="FR8" s="19"/>
      <c r="FS8" s="19"/>
      <c r="FT8" s="19"/>
      <c r="FU8" s="19"/>
      <c r="FV8" s="19">
        <v>5</v>
      </c>
      <c r="FW8" s="19"/>
      <c r="FX8" s="19"/>
      <c r="FY8" s="19"/>
      <c r="FZ8" s="19"/>
      <c r="GA8" s="19"/>
      <c r="GB8" s="19"/>
      <c r="GC8" s="19">
        <v>5</v>
      </c>
      <c r="GD8" s="19"/>
      <c r="GE8" s="19">
        <v>5</v>
      </c>
      <c r="GF8" s="19"/>
      <c r="GG8" s="19"/>
      <c r="GH8" s="19">
        <f>SUM(FD8:GG8)</f>
        <v>33</v>
      </c>
      <c r="GI8" s="19"/>
      <c r="GJ8" s="19"/>
      <c r="GK8" s="19"/>
      <c r="GL8" s="19"/>
      <c r="GM8" s="19"/>
      <c r="GN8" s="19"/>
      <c r="GO8" s="19"/>
      <c r="GP8" s="19"/>
      <c r="GQ8" s="19"/>
      <c r="GR8" s="19">
        <v>5</v>
      </c>
      <c r="GS8" s="19"/>
      <c r="GT8" s="19">
        <v>5</v>
      </c>
      <c r="GU8" s="19"/>
      <c r="GV8" s="19"/>
      <c r="GW8" s="19"/>
      <c r="GX8" s="19"/>
      <c r="GY8" s="19">
        <v>5</v>
      </c>
      <c r="GZ8" s="19"/>
      <c r="HA8" s="19"/>
      <c r="HB8" s="19"/>
      <c r="HC8" s="19"/>
      <c r="HD8" s="19"/>
      <c r="HE8" s="19"/>
      <c r="HF8" s="19">
        <v>5</v>
      </c>
      <c r="HG8" s="19"/>
      <c r="HH8" s="19">
        <v>5</v>
      </c>
      <c r="HI8" s="19"/>
      <c r="HJ8" s="19"/>
      <c r="HK8" s="84"/>
      <c r="HL8" s="87">
        <f>SUM(GI8:HK8)</f>
        <v>25</v>
      </c>
      <c r="HM8" s="19"/>
      <c r="HN8" s="19">
        <v>5</v>
      </c>
      <c r="HO8" s="19"/>
      <c r="HP8" s="19">
        <v>5</v>
      </c>
      <c r="HQ8" s="19"/>
      <c r="HR8" s="19"/>
      <c r="HS8" s="19"/>
      <c r="HT8" s="19"/>
      <c r="HU8" s="19">
        <v>5</v>
      </c>
      <c r="HV8" s="19"/>
      <c r="HW8" s="19"/>
      <c r="HX8" s="19"/>
      <c r="HY8" s="19">
        <v>5</v>
      </c>
      <c r="HZ8" s="19"/>
      <c r="IA8" s="19"/>
      <c r="IB8" s="19">
        <v>5</v>
      </c>
      <c r="IC8" s="19"/>
      <c r="ID8" s="19"/>
      <c r="IE8" s="19"/>
      <c r="IF8" s="19"/>
      <c r="IG8" s="19"/>
      <c r="IH8" s="19"/>
      <c r="II8" s="19">
        <v>5</v>
      </c>
      <c r="IJ8" s="19"/>
      <c r="IK8" s="19">
        <v>5</v>
      </c>
      <c r="IL8" s="19"/>
      <c r="IM8" s="19"/>
      <c r="IN8" s="19"/>
      <c r="IO8" s="19"/>
      <c r="IP8" s="19"/>
      <c r="IQ8" s="19"/>
      <c r="IR8" s="90">
        <f t="shared" ref="IR8:IR17" si="0">SUM(HM8:IQ8)</f>
        <v>35</v>
      </c>
      <c r="IS8" s="19"/>
      <c r="IT8" s="19"/>
      <c r="IU8" s="19"/>
      <c r="IV8" s="19"/>
      <c r="IW8" s="19"/>
      <c r="IX8" s="19"/>
      <c r="IY8" s="19"/>
      <c r="IZ8" s="19"/>
      <c r="JA8" s="19"/>
      <c r="JB8" s="19"/>
      <c r="JC8" s="19"/>
      <c r="JD8" s="19"/>
      <c r="JE8" s="19"/>
      <c r="JF8" s="19"/>
      <c r="JG8" s="19"/>
      <c r="JH8" s="19"/>
      <c r="JI8" s="19"/>
      <c r="JJ8" s="19"/>
      <c r="JK8" s="19"/>
      <c r="JL8" s="19"/>
      <c r="JM8" s="19"/>
      <c r="JN8" s="19"/>
      <c r="JO8" s="19"/>
      <c r="JP8" s="19"/>
      <c r="JQ8" s="19"/>
      <c r="JR8" s="19"/>
      <c r="JS8" s="19"/>
      <c r="JT8" s="19"/>
      <c r="JU8" s="19"/>
      <c r="JV8" s="19"/>
      <c r="JW8" s="19"/>
      <c r="JX8" s="19"/>
      <c r="JY8" s="19"/>
      <c r="JZ8" s="19"/>
      <c r="KA8" s="19"/>
      <c r="KB8" s="19"/>
      <c r="KC8" s="19"/>
      <c r="KD8" s="19"/>
      <c r="KE8" s="19"/>
      <c r="KF8" s="19"/>
      <c r="KG8" s="19"/>
      <c r="KH8" s="19"/>
      <c r="KI8" s="19"/>
      <c r="KJ8" s="19"/>
      <c r="KK8" s="19"/>
      <c r="KL8" s="19"/>
      <c r="KM8" s="19"/>
      <c r="KN8" s="19"/>
      <c r="KO8" s="19"/>
      <c r="KP8" s="19"/>
      <c r="KQ8" s="19"/>
      <c r="KR8" s="19"/>
      <c r="KS8" s="19"/>
      <c r="KT8" s="19"/>
      <c r="KU8" s="19"/>
      <c r="KV8" s="38"/>
      <c r="KW8" s="19"/>
      <c r="KX8" s="19"/>
      <c r="KY8" s="19"/>
      <c r="KZ8" s="19"/>
      <c r="LA8" s="19"/>
      <c r="LB8" s="19"/>
      <c r="LC8" s="19"/>
      <c r="LD8" s="19"/>
      <c r="LE8" s="48"/>
      <c r="LF8" s="48"/>
      <c r="LG8" s="48"/>
      <c r="LH8" s="48"/>
      <c r="LI8" s="48"/>
      <c r="LJ8" s="48"/>
      <c r="LK8" s="48"/>
      <c r="LL8" s="48"/>
      <c r="LM8" s="48"/>
      <c r="LN8" s="48"/>
      <c r="LO8" s="48"/>
      <c r="LP8" s="48"/>
      <c r="LQ8" s="48"/>
      <c r="LR8" s="48"/>
      <c r="LS8" s="48"/>
      <c r="LT8" s="48"/>
      <c r="LU8" s="48"/>
      <c r="LV8" s="48"/>
      <c r="LW8" s="48"/>
      <c r="LX8" s="48"/>
      <c r="LY8" s="48"/>
      <c r="LZ8" s="48"/>
      <c r="MA8" s="48"/>
      <c r="MB8" s="48"/>
      <c r="MC8" s="48"/>
      <c r="MD8" s="48"/>
      <c r="ME8" s="48"/>
      <c r="MF8" s="48"/>
      <c r="MG8" s="48"/>
      <c r="MH8" s="48"/>
      <c r="MI8" s="48">
        <v>13</v>
      </c>
      <c r="MJ8" s="48"/>
      <c r="MK8" s="48"/>
      <c r="ML8" s="48">
        <v>10</v>
      </c>
      <c r="MM8" s="48"/>
      <c r="MN8" s="48">
        <v>13</v>
      </c>
      <c r="MO8" s="48"/>
      <c r="MP8" s="48">
        <v>13</v>
      </c>
      <c r="MQ8" s="48">
        <v>11</v>
      </c>
      <c r="MR8" s="48"/>
      <c r="MS8" s="48">
        <v>10</v>
      </c>
      <c r="MT8" s="48"/>
      <c r="MU8" s="48">
        <v>13</v>
      </c>
      <c r="MV8" s="114"/>
      <c r="MW8" s="114">
        <v>13</v>
      </c>
      <c r="MX8" s="114"/>
      <c r="MY8" s="114"/>
      <c r="MZ8" s="114">
        <v>10</v>
      </c>
      <c r="NA8" s="114"/>
      <c r="NB8" s="114">
        <v>13</v>
      </c>
      <c r="NC8" s="114"/>
      <c r="ND8" s="114">
        <v>13</v>
      </c>
      <c r="NE8" s="114"/>
      <c r="NF8" s="114"/>
      <c r="NG8" s="114">
        <v>10</v>
      </c>
      <c r="NH8" s="114"/>
      <c r="NI8" s="114"/>
      <c r="NJ8" s="114"/>
      <c r="NK8" s="114"/>
      <c r="NL8" s="114"/>
      <c r="NM8" s="114"/>
      <c r="NN8" s="114">
        <v>10</v>
      </c>
      <c r="NO8" s="114"/>
      <c r="NP8" s="114">
        <v>13</v>
      </c>
      <c r="NQ8" s="114"/>
      <c r="NR8" s="114">
        <v>13</v>
      </c>
      <c r="NS8" s="114"/>
      <c r="NT8" s="114"/>
      <c r="NU8" s="114"/>
      <c r="NV8" s="114"/>
      <c r="NW8" s="114"/>
      <c r="NX8" s="114"/>
      <c r="NY8" s="114"/>
      <c r="NZ8" s="114"/>
      <c r="OA8" s="114"/>
      <c r="OB8" s="114"/>
      <c r="OC8" s="114"/>
      <c r="OD8" s="114"/>
      <c r="OE8" s="114"/>
      <c r="OF8" s="114">
        <v>9.5</v>
      </c>
      <c r="OG8" s="114"/>
      <c r="OH8" s="114"/>
      <c r="OI8" s="114"/>
      <c r="OJ8" s="114"/>
      <c r="OK8" s="114">
        <v>13</v>
      </c>
      <c r="OL8" s="114"/>
      <c r="OM8" s="114">
        <v>13</v>
      </c>
      <c r="ON8" s="114"/>
      <c r="OO8" s="114"/>
      <c r="OP8" s="114">
        <v>10</v>
      </c>
      <c r="OQ8" s="120"/>
      <c r="OR8" s="120">
        <f>SUM(OF8:OQ8)</f>
        <v>45.5</v>
      </c>
      <c r="OS8" s="19">
        <v>13</v>
      </c>
      <c r="OT8" s="19"/>
      <c r="OU8" s="19">
        <v>13</v>
      </c>
      <c r="OV8" s="19">
        <v>6.5</v>
      </c>
      <c r="OW8" s="19"/>
      <c r="OX8" s="19">
        <v>10</v>
      </c>
      <c r="OY8" s="19"/>
      <c r="OZ8" s="19">
        <v>13</v>
      </c>
      <c r="PA8" s="19"/>
      <c r="PB8" s="123">
        <v>13</v>
      </c>
      <c r="PC8" s="19"/>
      <c r="PD8" s="19"/>
      <c r="PE8" s="19">
        <v>10</v>
      </c>
      <c r="PF8" s="19"/>
      <c r="PG8" s="19">
        <v>13</v>
      </c>
      <c r="PH8" s="19"/>
      <c r="PI8" s="19">
        <v>13</v>
      </c>
      <c r="PJ8" s="19">
        <f>12</f>
        <v>12</v>
      </c>
      <c r="PK8" s="19"/>
      <c r="PL8" s="109">
        <v>10</v>
      </c>
      <c r="PM8" s="19"/>
      <c r="PN8" s="19">
        <v>13</v>
      </c>
      <c r="PO8" s="19"/>
      <c r="PP8" s="19">
        <v>13</v>
      </c>
      <c r="PQ8" s="19"/>
      <c r="PR8" s="19"/>
      <c r="PS8" s="19">
        <v>10</v>
      </c>
      <c r="PT8" s="19"/>
      <c r="PU8" s="19">
        <v>9.5</v>
      </c>
      <c r="PV8" s="19"/>
      <c r="PW8" s="19">
        <v>5</v>
      </c>
      <c r="PX8" s="19">
        <f>SUM(OS8:PW8)</f>
        <v>177</v>
      </c>
      <c r="PY8" s="19"/>
      <c r="PZ8" s="19">
        <v>8</v>
      </c>
      <c r="QA8" s="19"/>
      <c r="QB8" s="19">
        <v>5</v>
      </c>
      <c r="QC8" s="19"/>
      <c r="QD8" s="19"/>
      <c r="QE8" s="19"/>
      <c r="QF8" s="19"/>
      <c r="QG8" s="19">
        <v>10</v>
      </c>
      <c r="QH8" s="19"/>
      <c r="QI8" s="19">
        <v>13</v>
      </c>
      <c r="QJ8" s="19"/>
      <c r="QK8" s="19">
        <v>13</v>
      </c>
      <c r="QL8" s="19">
        <v>11</v>
      </c>
      <c r="QM8" s="19"/>
      <c r="QN8" s="19">
        <v>10</v>
      </c>
      <c r="QO8" s="19"/>
      <c r="QP8" s="19">
        <v>13</v>
      </c>
      <c r="QQ8" s="19"/>
      <c r="QR8" s="19">
        <v>13</v>
      </c>
      <c r="QS8" s="19"/>
      <c r="QT8" s="19"/>
      <c r="QU8" s="19">
        <v>10</v>
      </c>
      <c r="QV8" s="19"/>
      <c r="QW8" s="19">
        <v>13</v>
      </c>
      <c r="QX8" s="19"/>
      <c r="QY8" s="19">
        <v>10</v>
      </c>
      <c r="QZ8" s="19">
        <v>11</v>
      </c>
      <c r="RA8" s="19"/>
      <c r="RB8" s="19">
        <v>10</v>
      </c>
      <c r="RC8" s="128"/>
      <c r="RD8" s="128">
        <v>13</v>
      </c>
      <c r="RE8" s="128"/>
      <c r="RF8" s="128">
        <v>11.5</v>
      </c>
      <c r="RG8" s="128"/>
      <c r="RH8" s="128">
        <v>5</v>
      </c>
      <c r="RI8" s="128">
        <v>10</v>
      </c>
      <c r="RJ8" s="128"/>
      <c r="RK8" s="128">
        <v>11.5</v>
      </c>
      <c r="RL8" s="128"/>
      <c r="RM8" s="128">
        <v>13</v>
      </c>
      <c r="RN8" s="128">
        <v>13</v>
      </c>
      <c r="RO8" s="128"/>
      <c r="RP8" s="128">
        <v>10</v>
      </c>
      <c r="RQ8" s="128"/>
      <c r="RR8" s="128">
        <v>7</v>
      </c>
      <c r="RS8" s="128"/>
      <c r="RT8" s="128"/>
      <c r="RU8" s="128"/>
      <c r="RV8" s="128"/>
      <c r="RW8" s="128">
        <v>10</v>
      </c>
      <c r="RX8" s="128"/>
      <c r="RY8" s="128">
        <v>9</v>
      </c>
      <c r="RZ8" s="128"/>
      <c r="SA8" s="128">
        <v>13</v>
      </c>
      <c r="SB8" s="19"/>
      <c r="SC8" s="19"/>
      <c r="SD8" s="38">
        <v>10</v>
      </c>
      <c r="SE8" s="19"/>
      <c r="SF8" s="19">
        <v>13</v>
      </c>
      <c r="SG8" s="19"/>
      <c r="SH8" s="19"/>
      <c r="SI8" s="19"/>
      <c r="SJ8" s="19"/>
      <c r="SK8" s="19"/>
      <c r="SL8" s="19"/>
      <c r="SM8" s="19"/>
      <c r="SN8" s="19"/>
      <c r="SO8" s="19"/>
      <c r="SP8" s="19"/>
      <c r="SQ8" s="19"/>
      <c r="SR8" s="19"/>
      <c r="SS8" s="19"/>
      <c r="ST8" s="19"/>
      <c r="SU8" s="19"/>
      <c r="SV8" s="19"/>
      <c r="SW8" s="19"/>
      <c r="SX8" s="19"/>
      <c r="SY8" s="19"/>
      <c r="SZ8" s="19"/>
      <c r="TA8" s="19"/>
      <c r="TB8" s="19"/>
      <c r="TC8" s="19"/>
      <c r="TD8" s="19"/>
      <c r="TE8" s="19"/>
      <c r="TF8" s="19"/>
      <c r="TG8" s="19"/>
      <c r="TH8" s="19"/>
      <c r="TI8" s="19"/>
    </row>
    <row r="9" spans="1:529" hidden="1">
      <c r="A9" s="21" t="s">
        <v>32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3"/>
      <c r="P9" s="20"/>
      <c r="Q9" s="20"/>
      <c r="R9" s="23"/>
      <c r="S9" s="22">
        <v>4</v>
      </c>
      <c r="T9" s="22">
        <v>5</v>
      </c>
      <c r="U9" s="20"/>
      <c r="V9" s="23"/>
      <c r="W9" s="23"/>
      <c r="X9" s="23"/>
      <c r="Y9" s="23"/>
      <c r="Z9" s="23"/>
      <c r="AA9" s="22">
        <v>5</v>
      </c>
      <c r="AB9" s="20"/>
      <c r="AC9" s="22" t="s">
        <v>45</v>
      </c>
      <c r="AD9" s="23"/>
      <c r="AE9" s="28">
        <v>5</v>
      </c>
      <c r="AF9" s="23"/>
      <c r="AG9" s="31">
        <f>S9+T9+AA9+AE9</f>
        <v>19</v>
      </c>
      <c r="AH9" s="23"/>
      <c r="AI9" s="22">
        <v>5</v>
      </c>
      <c r="AJ9" s="23"/>
      <c r="AK9" s="23"/>
      <c r="AL9" s="23"/>
      <c r="AM9" s="23">
        <v>5</v>
      </c>
      <c r="AN9" s="23"/>
      <c r="AO9" s="23"/>
      <c r="AP9" s="23"/>
      <c r="AQ9" s="23"/>
      <c r="AR9" s="23"/>
      <c r="AS9" s="23"/>
      <c r="AT9" s="23">
        <v>5</v>
      </c>
      <c r="AU9" s="23"/>
      <c r="AV9" s="23">
        <v>3</v>
      </c>
      <c r="AW9" s="23">
        <v>5</v>
      </c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8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30">
        <f>SUM(BM9:CQ9)</f>
        <v>0</v>
      </c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30">
        <f>SUM(CS9:DV9)</f>
        <v>0</v>
      </c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38"/>
      <c r="FB9" s="19"/>
      <c r="FC9" s="51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>
        <f>SUM(FD9:GG9)</f>
        <v>0</v>
      </c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84"/>
      <c r="HL9" s="87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90">
        <f t="shared" si="0"/>
        <v>0</v>
      </c>
      <c r="IS9" s="19"/>
      <c r="IT9" s="19"/>
      <c r="IU9" s="19"/>
      <c r="IV9" s="19"/>
      <c r="IW9" s="19"/>
      <c r="IX9" s="19"/>
      <c r="IY9" s="19"/>
      <c r="IZ9" s="19"/>
      <c r="JA9" s="19"/>
      <c r="JB9" s="19"/>
      <c r="JC9" s="19"/>
      <c r="JD9" s="19"/>
      <c r="JE9" s="19"/>
      <c r="JF9" s="19"/>
      <c r="JG9" s="19"/>
      <c r="JH9" s="19"/>
      <c r="JI9" s="19"/>
      <c r="JJ9" s="19"/>
      <c r="JK9" s="19"/>
      <c r="JL9" s="19"/>
      <c r="JM9" s="19"/>
      <c r="JN9" s="19"/>
      <c r="JO9" s="19"/>
      <c r="JP9" s="19"/>
      <c r="JQ9" s="19"/>
      <c r="JR9" s="19"/>
      <c r="JS9" s="19"/>
      <c r="JT9" s="19"/>
      <c r="JU9" s="19"/>
      <c r="JV9" s="19"/>
      <c r="JW9" s="19"/>
      <c r="JX9" s="19"/>
      <c r="JY9" s="19"/>
      <c r="JZ9" s="19"/>
      <c r="KA9" s="19"/>
      <c r="KB9" s="19"/>
      <c r="KC9" s="19"/>
      <c r="KD9" s="19"/>
      <c r="KE9" s="19"/>
      <c r="KF9" s="19"/>
      <c r="KG9" s="19"/>
      <c r="KH9" s="19"/>
      <c r="KI9" s="19"/>
      <c r="KJ9" s="19"/>
      <c r="KK9" s="19"/>
      <c r="KL9" s="19"/>
      <c r="KM9" s="19"/>
      <c r="KN9" s="19"/>
      <c r="KO9" s="19"/>
      <c r="KP9" s="19"/>
      <c r="KQ9" s="19"/>
      <c r="KR9" s="19"/>
      <c r="KS9" s="19"/>
      <c r="KT9" s="19"/>
      <c r="KU9" s="19"/>
      <c r="KV9" s="38"/>
      <c r="KW9" s="19"/>
      <c r="KX9" s="19"/>
      <c r="KY9" s="19"/>
      <c r="KZ9" s="19"/>
      <c r="LA9" s="19"/>
      <c r="LB9" s="19"/>
      <c r="LC9" s="19"/>
      <c r="LD9" s="19"/>
      <c r="LE9" s="19"/>
      <c r="LF9" s="19"/>
      <c r="LG9" s="19"/>
      <c r="LH9" s="19"/>
      <c r="LI9" s="19"/>
      <c r="LJ9" s="19"/>
      <c r="LK9" s="19"/>
      <c r="LL9" s="19"/>
      <c r="LM9" s="19"/>
      <c r="LN9" s="19"/>
      <c r="LO9" s="19"/>
      <c r="LP9" s="19"/>
      <c r="LQ9" s="19"/>
      <c r="LR9" s="19"/>
      <c r="LS9" s="19"/>
      <c r="LT9" s="19"/>
      <c r="LU9" s="19"/>
      <c r="LV9" s="19"/>
      <c r="LW9" s="19"/>
      <c r="LX9" s="19"/>
      <c r="LY9" s="19"/>
      <c r="LZ9" s="19"/>
      <c r="MA9" s="19"/>
      <c r="MB9" s="19"/>
      <c r="MC9" s="19"/>
      <c r="MD9" s="19"/>
      <c r="ME9" s="19"/>
      <c r="MF9" s="19"/>
      <c r="MG9" s="19"/>
      <c r="MH9" s="19"/>
      <c r="MI9" s="19"/>
      <c r="MJ9" s="19"/>
      <c r="MK9" s="19"/>
      <c r="ML9" s="19"/>
      <c r="MM9" s="19"/>
      <c r="MN9" s="19"/>
      <c r="MO9" s="19"/>
      <c r="MP9" s="19"/>
      <c r="MQ9" s="19"/>
      <c r="MR9" s="19"/>
      <c r="MS9" s="19"/>
      <c r="MT9" s="19"/>
      <c r="MU9" s="19"/>
      <c r="MV9" s="45"/>
      <c r="MW9" s="45"/>
      <c r="MX9" s="45"/>
      <c r="MY9" s="45"/>
      <c r="MZ9" s="45"/>
      <c r="NA9" s="45"/>
      <c r="NB9" s="45"/>
      <c r="NC9" s="45"/>
      <c r="ND9" s="45"/>
      <c r="NE9" s="45"/>
      <c r="NF9" s="45"/>
      <c r="NG9" s="45"/>
      <c r="NH9" s="45"/>
      <c r="NI9" s="45"/>
      <c r="NJ9" s="45"/>
      <c r="NK9" s="45"/>
      <c r="NL9" s="45"/>
      <c r="NM9" s="45"/>
      <c r="NN9" s="45"/>
      <c r="NO9" s="45"/>
      <c r="NP9" s="45"/>
      <c r="NQ9" s="45"/>
      <c r="NR9" s="45"/>
      <c r="NS9" s="45"/>
      <c r="NT9" s="45"/>
      <c r="NU9" s="45"/>
      <c r="NV9" s="45"/>
      <c r="NW9" s="45"/>
      <c r="NX9" s="45"/>
      <c r="NY9" s="45"/>
      <c r="NZ9" s="45"/>
      <c r="OA9" s="45"/>
      <c r="OB9" s="45"/>
      <c r="OC9" s="45"/>
      <c r="OD9" s="45"/>
      <c r="OE9" s="45"/>
      <c r="OF9" s="45"/>
      <c r="OG9" s="45"/>
      <c r="OH9" s="45"/>
      <c r="OI9" s="45"/>
      <c r="OJ9" s="45"/>
      <c r="OK9" s="45"/>
      <c r="OL9" s="45"/>
      <c r="OM9" s="45"/>
      <c r="ON9" s="45"/>
      <c r="OO9" s="45"/>
      <c r="OP9" s="45"/>
      <c r="OQ9" s="117"/>
      <c r="OR9" s="117"/>
      <c r="OS9" s="19"/>
      <c r="OT9" s="19"/>
      <c r="OU9" s="19"/>
      <c r="OV9" s="19"/>
      <c r="OW9" s="19"/>
      <c r="OX9" s="19"/>
      <c r="OY9" s="19"/>
      <c r="OZ9" s="19"/>
      <c r="PA9" s="19"/>
      <c r="PB9" s="19"/>
      <c r="PC9" s="19"/>
      <c r="PD9" s="19"/>
      <c r="PE9" s="19"/>
      <c r="PF9" s="19"/>
      <c r="PG9" s="19"/>
      <c r="PH9" s="19"/>
      <c r="PI9" s="19"/>
      <c r="PJ9" s="19"/>
      <c r="PK9" s="19"/>
      <c r="PL9" s="19"/>
      <c r="PM9" s="19"/>
      <c r="PN9" s="19"/>
      <c r="PO9" s="19"/>
      <c r="PP9" s="19"/>
      <c r="PQ9" s="19"/>
      <c r="PR9" s="19"/>
      <c r="PS9" s="19"/>
      <c r="PT9" s="19"/>
      <c r="PU9" s="19"/>
      <c r="PV9" s="19"/>
      <c r="PW9" s="19"/>
      <c r="PX9" s="19"/>
      <c r="PY9" s="19"/>
      <c r="PZ9" s="19"/>
      <c r="QA9" s="19"/>
      <c r="QB9" s="19"/>
      <c r="QC9" s="19"/>
      <c r="QD9" s="19"/>
      <c r="QE9" s="19"/>
      <c r="QF9" s="19"/>
      <c r="QG9" s="19"/>
      <c r="QH9" s="19"/>
      <c r="QI9" s="19"/>
      <c r="QJ9" s="19"/>
      <c r="QK9" s="19"/>
      <c r="QL9" s="19"/>
      <c r="QM9" s="19"/>
      <c r="QN9" s="19"/>
      <c r="QO9" s="19"/>
      <c r="QP9" s="19"/>
      <c r="QQ9" s="19"/>
      <c r="QR9" s="19"/>
      <c r="QS9" s="19"/>
      <c r="QT9" s="19"/>
      <c r="QU9" s="19"/>
      <c r="QV9" s="19"/>
      <c r="QW9" s="19"/>
      <c r="QX9" s="19"/>
      <c r="QY9" s="19"/>
      <c r="QZ9" s="19"/>
      <c r="RA9" s="19"/>
      <c r="RB9" s="19"/>
      <c r="RC9" s="19"/>
      <c r="RD9" s="19"/>
      <c r="RE9" s="19"/>
      <c r="RF9" s="19"/>
      <c r="RG9" s="19"/>
      <c r="RH9" s="19"/>
      <c r="RI9" s="19"/>
      <c r="RJ9" s="19"/>
      <c r="RK9" s="19"/>
      <c r="RL9" s="19"/>
      <c r="RM9" s="19"/>
      <c r="RN9" s="19"/>
      <c r="RO9" s="19"/>
      <c r="RP9" s="19"/>
      <c r="RQ9" s="19"/>
      <c r="RR9" s="19"/>
      <c r="RS9" s="19"/>
      <c r="RT9" s="19"/>
      <c r="RU9" s="19"/>
      <c r="RV9" s="19"/>
      <c r="RW9" s="19"/>
      <c r="RX9" s="19"/>
      <c r="RY9" s="19"/>
      <c r="RZ9" s="19"/>
      <c r="SA9" s="19"/>
      <c r="SB9" s="19"/>
      <c r="SC9" s="19"/>
      <c r="SD9" s="38"/>
      <c r="SE9" s="19"/>
      <c r="SF9" s="19"/>
      <c r="SG9" s="19"/>
      <c r="SH9" s="19"/>
      <c r="SI9" s="19"/>
      <c r="SJ9" s="19"/>
      <c r="SK9" s="19"/>
      <c r="SL9" s="19"/>
      <c r="SM9" s="19"/>
      <c r="SN9" s="19"/>
      <c r="SO9" s="19"/>
      <c r="SP9" s="19"/>
      <c r="SQ9" s="19"/>
      <c r="SR9" s="19"/>
      <c r="SS9" s="19"/>
      <c r="ST9" s="19"/>
      <c r="SU9" s="19"/>
      <c r="SV9" s="19"/>
      <c r="SW9" s="19"/>
      <c r="SX9" s="19"/>
      <c r="SY9" s="19"/>
      <c r="SZ9" s="19"/>
      <c r="TA9" s="19"/>
      <c r="TB9" s="19"/>
      <c r="TC9" s="19"/>
      <c r="TD9" s="19"/>
      <c r="TE9" s="19"/>
      <c r="TF9" s="19"/>
      <c r="TG9" s="19"/>
      <c r="TH9" s="19"/>
      <c r="TI9" s="19"/>
    </row>
    <row r="10" spans="1:529" s="18" customFormat="1">
      <c r="A10" s="21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3"/>
      <c r="P10" s="20"/>
      <c r="Q10" s="20"/>
      <c r="R10" s="23"/>
      <c r="S10" s="23"/>
      <c r="T10" s="23"/>
      <c r="U10" s="20"/>
      <c r="V10" s="23"/>
      <c r="W10" s="23"/>
      <c r="X10" s="23"/>
      <c r="Y10" s="23"/>
      <c r="Z10" s="23"/>
      <c r="AA10" s="23"/>
      <c r="AB10" s="20"/>
      <c r="AC10" s="23"/>
      <c r="AD10" s="23"/>
      <c r="AE10" s="23"/>
      <c r="AF10" s="23"/>
      <c r="AG10" s="31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8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>
        <v>5</v>
      </c>
      <c r="CA10" s="23"/>
      <c r="CB10" s="23"/>
      <c r="CC10" s="23"/>
      <c r="CD10" s="23">
        <v>5</v>
      </c>
      <c r="CE10" s="23"/>
      <c r="CF10" s="23"/>
      <c r="CG10" s="23">
        <v>5</v>
      </c>
      <c r="CH10" s="23"/>
      <c r="CI10" s="23"/>
      <c r="CJ10" s="23"/>
      <c r="CK10" s="23">
        <v>5</v>
      </c>
      <c r="CL10" s="23"/>
      <c r="CM10" s="23"/>
      <c r="CN10" s="23">
        <v>5</v>
      </c>
      <c r="CO10" s="23"/>
      <c r="CP10" s="23"/>
      <c r="CQ10" s="23"/>
      <c r="CR10" s="30">
        <f>SUM(BM10:CQ10)</f>
        <v>25</v>
      </c>
      <c r="CS10" s="19">
        <v>1</v>
      </c>
      <c r="CT10" s="19"/>
      <c r="CU10" s="19"/>
      <c r="CV10" s="19">
        <v>3</v>
      </c>
      <c r="CW10" s="19"/>
      <c r="CX10" s="19"/>
      <c r="CY10" s="19"/>
      <c r="CZ10" s="19">
        <v>5</v>
      </c>
      <c r="DA10" s="19"/>
      <c r="DB10" s="19"/>
      <c r="DC10" s="19">
        <v>4.5</v>
      </c>
      <c r="DD10" s="19"/>
      <c r="DE10" s="19"/>
      <c r="DF10" s="19"/>
      <c r="DG10" s="19">
        <v>5</v>
      </c>
      <c r="DH10" s="19"/>
      <c r="DI10" s="19"/>
      <c r="DJ10" s="19">
        <v>5</v>
      </c>
      <c r="DK10" s="19"/>
      <c r="DL10" s="19"/>
      <c r="DM10" s="19"/>
      <c r="DN10" s="19">
        <v>4</v>
      </c>
      <c r="DO10" s="19"/>
      <c r="DP10" s="19"/>
      <c r="DQ10" s="45">
        <v>4.5</v>
      </c>
      <c r="DR10" s="19"/>
      <c r="DS10" s="19"/>
      <c r="DT10" s="19"/>
      <c r="DU10" s="19">
        <v>5</v>
      </c>
      <c r="DV10" s="19"/>
      <c r="DW10" s="30">
        <f>SUM(CS10:DV10)</f>
        <v>37</v>
      </c>
      <c r="DX10" s="19"/>
      <c r="DY10" s="19">
        <v>4</v>
      </c>
      <c r="DZ10" s="19"/>
      <c r="EA10" s="19"/>
      <c r="EB10" s="19"/>
      <c r="EC10" s="19">
        <v>5</v>
      </c>
      <c r="ED10" s="19"/>
      <c r="EE10" s="19"/>
      <c r="EF10" s="19">
        <v>4</v>
      </c>
      <c r="EG10" s="19"/>
      <c r="EH10" s="19"/>
      <c r="EI10" s="19"/>
      <c r="EJ10" s="19">
        <v>5</v>
      </c>
      <c r="EK10" s="19"/>
      <c r="EL10" s="19"/>
      <c r="EM10" s="19">
        <v>4</v>
      </c>
      <c r="EN10" s="19"/>
      <c r="EO10" s="19">
        <v>3</v>
      </c>
      <c r="EP10" s="19"/>
      <c r="EQ10" s="19">
        <v>4</v>
      </c>
      <c r="ER10" s="19"/>
      <c r="ES10" s="19"/>
      <c r="ET10" s="19">
        <v>4</v>
      </c>
      <c r="EU10" s="19"/>
      <c r="EV10" s="19"/>
      <c r="EW10" s="19"/>
      <c r="EX10" s="19">
        <v>5</v>
      </c>
      <c r="EY10" s="19"/>
      <c r="EZ10" s="19"/>
      <c r="FA10" s="38">
        <v>4</v>
      </c>
      <c r="FB10" s="19"/>
      <c r="FC10" s="51">
        <f>SUM(DX10:FB10)</f>
        <v>42</v>
      </c>
      <c r="FD10" s="19"/>
      <c r="FE10" s="19">
        <v>5</v>
      </c>
      <c r="FF10" s="19"/>
      <c r="FG10" s="19"/>
      <c r="FH10" s="19">
        <v>5</v>
      </c>
      <c r="FI10" s="19"/>
      <c r="FJ10" s="19"/>
      <c r="FK10" s="19"/>
      <c r="FL10" s="19">
        <v>5</v>
      </c>
      <c r="FM10" s="19"/>
      <c r="FN10" s="19"/>
      <c r="FO10" s="19"/>
      <c r="FP10" s="19"/>
      <c r="FQ10" s="19"/>
      <c r="FR10" s="19"/>
      <c r="FS10" s="19">
        <v>5</v>
      </c>
      <c r="FT10" s="19"/>
      <c r="FU10" s="19"/>
      <c r="FV10" s="19"/>
      <c r="FW10" s="19"/>
      <c r="FX10" s="19">
        <v>5</v>
      </c>
      <c r="FY10" s="19"/>
      <c r="FZ10" s="19">
        <v>5</v>
      </c>
      <c r="GA10" s="19"/>
      <c r="GB10" s="19"/>
      <c r="GC10" s="19"/>
      <c r="GD10" s="19"/>
      <c r="GE10" s="19"/>
      <c r="GF10" s="19"/>
      <c r="GG10" s="19">
        <v>2</v>
      </c>
      <c r="GH10" s="19">
        <f>SUM(FD10:GG10)</f>
        <v>32</v>
      </c>
      <c r="GI10" s="19"/>
      <c r="GJ10" s="19"/>
      <c r="GK10" s="19">
        <v>5</v>
      </c>
      <c r="GL10" s="19"/>
      <c r="GM10" s="19">
        <v>5</v>
      </c>
      <c r="GN10" s="19"/>
      <c r="GO10" s="19">
        <v>5</v>
      </c>
      <c r="GP10" s="19"/>
      <c r="GQ10" s="19"/>
      <c r="GR10" s="19"/>
      <c r="GS10" s="19"/>
      <c r="GT10" s="19"/>
      <c r="GU10" s="19"/>
      <c r="GV10" s="19" t="s">
        <v>46</v>
      </c>
      <c r="GW10" s="19" t="s">
        <v>46</v>
      </c>
      <c r="GX10" s="19"/>
      <c r="GY10" s="19"/>
      <c r="GZ10" s="19"/>
      <c r="HA10" s="19">
        <v>4</v>
      </c>
      <c r="HB10" s="19"/>
      <c r="HC10" s="19">
        <v>5</v>
      </c>
      <c r="HD10" s="19"/>
      <c r="HE10" s="19"/>
      <c r="HF10" s="19"/>
      <c r="HG10" s="19"/>
      <c r="HH10" s="19"/>
      <c r="HI10" s="19"/>
      <c r="HJ10" s="19">
        <v>5</v>
      </c>
      <c r="HK10" s="84"/>
      <c r="HL10" s="87">
        <f>SUM(GI10:HK10)</f>
        <v>29</v>
      </c>
      <c r="HM10" s="19"/>
      <c r="HN10" s="19"/>
      <c r="HO10" s="19"/>
      <c r="HP10" s="19"/>
      <c r="HQ10" s="19"/>
      <c r="HR10" s="19">
        <v>2</v>
      </c>
      <c r="HS10" s="19"/>
      <c r="HT10" s="19"/>
      <c r="HU10" s="19"/>
      <c r="HV10" s="19"/>
      <c r="HW10" s="19">
        <v>5</v>
      </c>
      <c r="HX10" s="19"/>
      <c r="HY10" s="19"/>
      <c r="HZ10" s="19"/>
      <c r="IA10" s="19"/>
      <c r="IB10" s="19"/>
      <c r="IC10" s="19"/>
      <c r="ID10" s="19">
        <v>5</v>
      </c>
      <c r="IE10" s="19"/>
      <c r="IF10" s="91">
        <v>5</v>
      </c>
      <c r="IG10" s="19"/>
      <c r="IH10" s="19"/>
      <c r="II10" s="19"/>
      <c r="IJ10" s="19"/>
      <c r="IK10" s="19"/>
      <c r="IL10" s="19"/>
      <c r="IM10" s="91">
        <v>5</v>
      </c>
      <c r="IN10" s="19"/>
      <c r="IO10" s="19"/>
      <c r="IP10" s="19"/>
      <c r="IQ10" s="19"/>
      <c r="IR10" s="90">
        <f t="shared" si="0"/>
        <v>22</v>
      </c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19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19"/>
      <c r="KC10" s="19"/>
      <c r="KD10" s="19"/>
      <c r="KE10" s="19"/>
      <c r="KF10" s="19"/>
      <c r="KG10" s="19"/>
      <c r="KH10" s="19"/>
      <c r="KI10" s="19"/>
      <c r="KJ10" s="19"/>
      <c r="KK10" s="19"/>
      <c r="KL10" s="19"/>
      <c r="KM10" s="19"/>
      <c r="KN10" s="19"/>
      <c r="KO10" s="19"/>
      <c r="KP10" s="19"/>
      <c r="KQ10" s="19"/>
      <c r="KR10" s="19"/>
      <c r="KS10" s="19"/>
      <c r="KT10" s="19"/>
      <c r="KU10" s="19"/>
      <c r="KV10" s="38"/>
      <c r="KW10" s="19"/>
      <c r="KX10" s="19"/>
      <c r="KY10" s="19"/>
      <c r="KZ10" s="19"/>
      <c r="LA10" s="19"/>
      <c r="LB10" s="19"/>
      <c r="LC10" s="19"/>
      <c r="LD10" s="19"/>
      <c r="LE10" s="19"/>
      <c r="LF10" s="19"/>
      <c r="LG10" s="19"/>
      <c r="LH10" s="19"/>
      <c r="LI10" s="19"/>
      <c r="LJ10" s="19"/>
      <c r="LK10" s="19"/>
      <c r="LL10" s="19"/>
      <c r="LM10" s="19"/>
      <c r="LN10" s="19"/>
      <c r="LO10" s="19"/>
      <c r="LP10" s="19"/>
      <c r="LQ10" s="19"/>
      <c r="LR10" s="19"/>
      <c r="LS10" s="19"/>
      <c r="LT10" s="19"/>
      <c r="LU10" s="19"/>
      <c r="LV10" s="19"/>
      <c r="LW10" s="19"/>
      <c r="LX10" s="19"/>
      <c r="LY10" s="19"/>
      <c r="LZ10" s="19"/>
      <c r="MA10" s="19"/>
      <c r="MB10" s="19"/>
      <c r="MC10" s="19"/>
      <c r="MD10" s="19"/>
      <c r="ME10" s="19"/>
      <c r="MF10" s="19"/>
      <c r="MG10" s="19"/>
      <c r="MH10" s="19"/>
      <c r="MI10" s="19"/>
      <c r="MJ10" s="19"/>
      <c r="MK10" s="19"/>
      <c r="ML10" s="19"/>
      <c r="MM10" s="19"/>
      <c r="MN10" s="19"/>
      <c r="MO10" s="19"/>
      <c r="MP10" s="19"/>
      <c r="MQ10" s="19"/>
      <c r="MR10" s="19"/>
      <c r="MS10" s="19"/>
      <c r="MT10" s="19"/>
      <c r="MU10" s="19"/>
      <c r="MV10" s="45"/>
      <c r="MW10" s="45"/>
      <c r="MX10" s="45"/>
      <c r="MY10" s="45"/>
      <c r="MZ10" s="45"/>
      <c r="NA10" s="45"/>
      <c r="NB10" s="45"/>
      <c r="NC10" s="45"/>
      <c r="ND10" s="45"/>
      <c r="NE10" s="45"/>
      <c r="NF10" s="45"/>
      <c r="NG10" s="45"/>
      <c r="NH10" s="45"/>
      <c r="NI10" s="45"/>
      <c r="NJ10" s="45"/>
      <c r="NK10" s="45"/>
      <c r="NL10" s="45"/>
      <c r="NM10" s="45"/>
      <c r="NN10" s="45"/>
      <c r="NO10" s="45"/>
      <c r="NP10" s="45"/>
      <c r="NQ10" s="45"/>
      <c r="NR10" s="45"/>
      <c r="NS10" s="45"/>
      <c r="NT10" s="45"/>
      <c r="NU10" s="45"/>
      <c r="NV10" s="45"/>
      <c r="NW10" s="45"/>
      <c r="NX10" s="45"/>
      <c r="NY10" s="45"/>
      <c r="NZ10" s="45"/>
      <c r="OA10" s="45"/>
      <c r="OB10" s="45"/>
      <c r="OC10" s="45"/>
      <c r="OD10" s="45"/>
      <c r="OE10" s="45"/>
      <c r="OF10" s="45"/>
      <c r="OG10" s="45"/>
      <c r="OH10" s="45"/>
      <c r="OI10" s="45"/>
      <c r="OJ10" s="45"/>
      <c r="OK10" s="45"/>
      <c r="OL10" s="45"/>
      <c r="OM10" s="45"/>
      <c r="ON10" s="45"/>
      <c r="OO10" s="45"/>
      <c r="OP10" s="45"/>
      <c r="OQ10" s="117"/>
      <c r="OR10" s="117"/>
      <c r="OS10" s="19"/>
      <c r="OT10" s="19"/>
      <c r="OU10" s="19"/>
      <c r="OV10" s="19"/>
      <c r="OW10" s="19"/>
      <c r="OX10" s="19"/>
      <c r="OY10" s="19"/>
      <c r="OZ10" s="19"/>
      <c r="PA10" s="19"/>
      <c r="PB10" s="19"/>
      <c r="PC10" s="19"/>
      <c r="PD10" s="19"/>
      <c r="PE10" s="19"/>
      <c r="PF10" s="19"/>
      <c r="PG10" s="19"/>
      <c r="PH10" s="19"/>
      <c r="PI10" s="19"/>
      <c r="PJ10" s="19"/>
      <c r="PK10" s="19"/>
      <c r="PL10" s="19"/>
      <c r="PM10" s="19"/>
      <c r="PN10" s="19"/>
      <c r="PO10" s="19"/>
      <c r="PP10" s="19"/>
      <c r="PQ10" s="19"/>
      <c r="PR10" s="19"/>
      <c r="PS10" s="19"/>
      <c r="PT10" s="19"/>
      <c r="PU10" s="19"/>
      <c r="PV10" s="19"/>
      <c r="PW10" s="19"/>
      <c r="PX10" s="19"/>
      <c r="PY10" s="19"/>
      <c r="PZ10" s="19"/>
      <c r="QA10" s="19"/>
      <c r="QB10" s="19"/>
      <c r="QC10" s="19"/>
      <c r="QD10" s="19"/>
      <c r="QE10" s="19"/>
      <c r="QF10" s="19"/>
      <c r="QG10" s="19"/>
      <c r="QH10" s="19"/>
      <c r="QI10" s="19"/>
      <c r="QJ10" s="19"/>
      <c r="QK10" s="19"/>
      <c r="QL10" s="19"/>
      <c r="QM10" s="19"/>
      <c r="QN10" s="19"/>
      <c r="QO10" s="19"/>
      <c r="QP10" s="19"/>
      <c r="QQ10" s="19"/>
      <c r="QR10" s="19"/>
      <c r="QS10" s="19"/>
      <c r="QT10" s="19"/>
      <c r="QU10" s="19"/>
      <c r="QV10" s="19"/>
      <c r="QW10" s="19"/>
      <c r="QX10" s="19"/>
      <c r="QY10" s="19"/>
      <c r="QZ10" s="19"/>
      <c r="RA10" s="19"/>
      <c r="RB10" s="19"/>
      <c r="RC10" s="19"/>
      <c r="RD10" s="19"/>
      <c r="RE10" s="19"/>
      <c r="RF10" s="19"/>
      <c r="RG10" s="19"/>
      <c r="RH10" s="19"/>
      <c r="RI10" s="19"/>
      <c r="RJ10" s="19"/>
      <c r="RK10" s="19"/>
      <c r="RL10" s="19"/>
      <c r="RM10" s="19"/>
      <c r="RN10" s="19"/>
      <c r="RO10" s="19"/>
      <c r="RP10" s="19"/>
      <c r="RQ10" s="19"/>
      <c r="RR10" s="19"/>
      <c r="RS10" s="19"/>
      <c r="RT10" s="19"/>
      <c r="RU10" s="19"/>
      <c r="RV10" s="19"/>
      <c r="RW10" s="19"/>
      <c r="RX10" s="19"/>
      <c r="RY10" s="19"/>
      <c r="RZ10" s="19"/>
      <c r="SA10" s="19"/>
      <c r="SB10" s="19"/>
      <c r="SC10" s="19"/>
      <c r="SD10" s="38"/>
      <c r="SE10" s="19"/>
      <c r="SF10" s="19"/>
      <c r="SG10" s="19"/>
      <c r="SH10" s="19"/>
      <c r="SI10" s="19"/>
      <c r="SJ10" s="19"/>
      <c r="SK10" s="19"/>
      <c r="SL10" s="19"/>
      <c r="SM10" s="19"/>
      <c r="SN10" s="19"/>
      <c r="SO10" s="19"/>
      <c r="SP10" s="19"/>
      <c r="SQ10" s="19"/>
      <c r="SR10" s="19"/>
      <c r="SS10" s="19"/>
      <c r="ST10" s="19"/>
      <c r="SU10" s="19"/>
      <c r="SV10" s="19"/>
      <c r="SW10" s="19"/>
      <c r="SX10" s="19"/>
      <c r="SY10" s="19"/>
      <c r="SZ10" s="19"/>
      <c r="TA10" s="19"/>
      <c r="TB10" s="19"/>
      <c r="TC10" s="19"/>
      <c r="TD10" s="19"/>
      <c r="TE10" s="19"/>
      <c r="TF10" s="19"/>
      <c r="TG10" s="19"/>
      <c r="TH10" s="19"/>
      <c r="TI10" s="19"/>
    </row>
    <row r="11" spans="1:529" s="18" customFormat="1">
      <c r="A11" s="2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3"/>
      <c r="P11" s="20"/>
      <c r="Q11" s="20"/>
      <c r="R11" s="23"/>
      <c r="S11" s="23"/>
      <c r="T11" s="23"/>
      <c r="U11" s="20"/>
      <c r="V11" s="23"/>
      <c r="W11" s="23"/>
      <c r="X11" s="23"/>
      <c r="Y11" s="23"/>
      <c r="Z11" s="23"/>
      <c r="AA11" s="23"/>
      <c r="AB11" s="20"/>
      <c r="AC11" s="23"/>
      <c r="AD11" s="23"/>
      <c r="AE11" s="23"/>
      <c r="AF11" s="23"/>
      <c r="AG11" s="31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8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30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45"/>
      <c r="DR11" s="19"/>
      <c r="DS11" s="19"/>
      <c r="DT11" s="19"/>
      <c r="DU11" s="19"/>
      <c r="DV11" s="19"/>
      <c r="DW11" s="30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38"/>
      <c r="FB11" s="19"/>
      <c r="FC11" s="51"/>
      <c r="FD11" s="19"/>
      <c r="FE11" s="19"/>
      <c r="FF11" s="19"/>
      <c r="FG11" s="19">
        <v>1</v>
      </c>
      <c r="FH11" s="19"/>
      <c r="FI11" s="19">
        <v>1</v>
      </c>
      <c r="FJ11" s="19"/>
      <c r="FK11" s="19"/>
      <c r="FL11" s="19"/>
      <c r="FM11" s="19">
        <v>5</v>
      </c>
      <c r="FN11" s="19"/>
      <c r="FO11" s="19"/>
      <c r="FP11" s="19"/>
      <c r="FQ11" s="19"/>
      <c r="FR11" s="19"/>
      <c r="FS11" s="19"/>
      <c r="FT11" s="19">
        <v>4</v>
      </c>
      <c r="FU11" s="19"/>
      <c r="FV11" s="19"/>
      <c r="FW11" s="19"/>
      <c r="FX11" s="19"/>
      <c r="FY11" s="19">
        <v>6.5</v>
      </c>
      <c r="FZ11" s="19"/>
      <c r="GA11" s="19">
        <v>4</v>
      </c>
      <c r="GB11" s="19"/>
      <c r="GC11" s="19"/>
      <c r="GD11" s="19">
        <v>2</v>
      </c>
      <c r="GE11" s="19"/>
      <c r="GF11" s="19"/>
      <c r="GG11" s="19">
        <v>3</v>
      </c>
      <c r="GH11" s="19">
        <f>SUM(FD11:GG11)</f>
        <v>26.5</v>
      </c>
      <c r="GI11" s="19"/>
      <c r="GJ11" s="19"/>
      <c r="GK11" s="19"/>
      <c r="GL11" s="19"/>
      <c r="GM11" s="19"/>
      <c r="GN11" s="19"/>
      <c r="GO11" s="19"/>
      <c r="GP11" s="19">
        <v>7</v>
      </c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>
        <v>1</v>
      </c>
      <c r="HD11" s="19">
        <v>7</v>
      </c>
      <c r="HE11" s="19"/>
      <c r="HF11" s="19"/>
      <c r="HG11" s="19"/>
      <c r="HH11" s="19"/>
      <c r="HI11" s="19"/>
      <c r="HJ11" s="19"/>
      <c r="HK11" s="84">
        <v>7</v>
      </c>
      <c r="HL11" s="87">
        <f>SUM(GI11:HK11)</f>
        <v>22</v>
      </c>
      <c r="HM11" s="19"/>
      <c r="HN11" s="19"/>
      <c r="HO11" s="19"/>
      <c r="HP11" s="19"/>
      <c r="HQ11" s="19"/>
      <c r="HR11" s="19">
        <v>3</v>
      </c>
      <c r="HS11" s="19">
        <v>7</v>
      </c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48"/>
      <c r="IG11" s="19">
        <v>7</v>
      </c>
      <c r="IH11" s="19"/>
      <c r="II11" s="19"/>
      <c r="IJ11" s="19"/>
      <c r="IK11" s="19"/>
      <c r="IL11" s="19"/>
      <c r="IM11" s="48"/>
      <c r="IN11" s="19"/>
      <c r="IO11" s="19"/>
      <c r="IP11" s="19"/>
      <c r="IQ11" s="19"/>
      <c r="IR11" s="90">
        <f t="shared" si="0"/>
        <v>17</v>
      </c>
      <c r="IS11" s="19"/>
      <c r="IT11" s="19"/>
      <c r="IU11" s="19"/>
      <c r="IV11" s="19"/>
      <c r="IW11" s="19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  <c r="JK11" s="19"/>
      <c r="JL11" s="19"/>
      <c r="JM11" s="19"/>
      <c r="JN11" s="19"/>
      <c r="JO11" s="19"/>
      <c r="JP11" s="19"/>
      <c r="JQ11" s="19"/>
      <c r="JR11" s="19"/>
      <c r="JS11" s="19"/>
      <c r="JT11" s="19"/>
      <c r="JU11" s="19"/>
      <c r="JV11" s="19"/>
      <c r="JW11" s="19"/>
      <c r="JX11" s="19"/>
      <c r="JY11" s="19"/>
      <c r="JZ11" s="19"/>
      <c r="KA11" s="19"/>
      <c r="KB11" s="19"/>
      <c r="KC11" s="19"/>
      <c r="KD11" s="19"/>
      <c r="KE11" s="19"/>
      <c r="KF11" s="19"/>
      <c r="KG11" s="19"/>
      <c r="KH11" s="19"/>
      <c r="KI11" s="19"/>
      <c r="KJ11" s="19"/>
      <c r="KK11" s="19"/>
      <c r="KL11" s="19"/>
      <c r="KM11" s="19"/>
      <c r="KN11" s="19"/>
      <c r="KO11" s="19"/>
      <c r="KP11" s="19"/>
      <c r="KQ11" s="19"/>
      <c r="KR11" s="19"/>
      <c r="KS11" s="19"/>
      <c r="KT11" s="19"/>
      <c r="KU11" s="19"/>
      <c r="KV11" s="38"/>
      <c r="KW11" s="19"/>
      <c r="KX11" s="19"/>
      <c r="KY11" s="19"/>
      <c r="KZ11" s="19"/>
      <c r="LA11" s="19"/>
      <c r="LB11" s="19"/>
      <c r="LC11" s="19"/>
      <c r="LD11" s="19"/>
      <c r="LE11" s="19"/>
      <c r="LF11" s="19"/>
      <c r="LG11" s="19"/>
      <c r="LH11" s="19"/>
      <c r="LI11" s="19"/>
      <c r="LJ11" s="19"/>
      <c r="LK11" s="19"/>
      <c r="LL11" s="19"/>
      <c r="LM11" s="19"/>
      <c r="LN11" s="19"/>
      <c r="LO11" s="19"/>
      <c r="LP11" s="19"/>
      <c r="LQ11" s="19"/>
      <c r="LR11" s="19"/>
      <c r="LS11" s="19"/>
      <c r="LT11" s="19"/>
      <c r="LU11" s="19"/>
      <c r="LV11" s="19"/>
      <c r="LW11" s="19"/>
      <c r="LX11" s="19"/>
      <c r="LY11" s="19"/>
      <c r="LZ11" s="19"/>
      <c r="MA11" s="19"/>
      <c r="MB11" s="19"/>
      <c r="MC11" s="19"/>
      <c r="MD11" s="19"/>
      <c r="ME11" s="19"/>
      <c r="MF11" s="19"/>
      <c r="MG11" s="19"/>
      <c r="MH11" s="19"/>
      <c r="MI11" s="19"/>
      <c r="MJ11" s="19"/>
      <c r="MK11" s="19"/>
      <c r="ML11" s="19"/>
      <c r="MM11" s="19"/>
      <c r="MN11" s="19"/>
      <c r="MO11" s="19"/>
      <c r="MP11" s="19"/>
      <c r="MQ11" s="19"/>
      <c r="MR11" s="19"/>
      <c r="MS11" s="19"/>
      <c r="MT11" s="19"/>
      <c r="MU11" s="19"/>
      <c r="MV11" s="45"/>
      <c r="MW11" s="45"/>
      <c r="MX11" s="45"/>
      <c r="MY11" s="45"/>
      <c r="MZ11" s="45"/>
      <c r="NA11" s="45"/>
      <c r="NB11" s="45"/>
      <c r="NC11" s="45"/>
      <c r="ND11" s="45"/>
      <c r="NE11" s="45"/>
      <c r="NF11" s="45"/>
      <c r="NG11" s="45"/>
      <c r="NH11" s="45"/>
      <c r="NI11" s="45"/>
      <c r="NJ11" s="45"/>
      <c r="NK11" s="45"/>
      <c r="NL11" s="45"/>
      <c r="NM11" s="45"/>
      <c r="NN11" s="45"/>
      <c r="NO11" s="45"/>
      <c r="NP11" s="45"/>
      <c r="NQ11" s="45"/>
      <c r="NR11" s="45"/>
      <c r="NS11" s="45"/>
      <c r="NT11" s="45"/>
      <c r="NU11" s="45"/>
      <c r="NV11" s="45"/>
      <c r="NW11" s="45"/>
      <c r="NX11" s="45"/>
      <c r="NY11" s="45"/>
      <c r="NZ11" s="45"/>
      <c r="OA11" s="45"/>
      <c r="OB11" s="45"/>
      <c r="OC11" s="45"/>
      <c r="OD11" s="45"/>
      <c r="OE11" s="45"/>
      <c r="OF11" s="45"/>
      <c r="OG11" s="45"/>
      <c r="OH11" s="45"/>
      <c r="OI11" s="45"/>
      <c r="OJ11" s="45"/>
      <c r="OK11" s="45"/>
      <c r="OL11" s="45"/>
      <c r="OM11" s="45"/>
      <c r="ON11" s="45"/>
      <c r="OO11" s="45"/>
      <c r="OP11" s="45"/>
      <c r="OQ11" s="117"/>
      <c r="OR11" s="117"/>
      <c r="OS11" s="19"/>
      <c r="OT11" s="19"/>
      <c r="OU11" s="19"/>
      <c r="OV11" s="19"/>
      <c r="OW11" s="19"/>
      <c r="OX11" s="19"/>
      <c r="OY11" s="19"/>
      <c r="OZ11" s="19"/>
      <c r="PA11" s="19"/>
      <c r="PB11" s="19"/>
      <c r="PC11" s="19"/>
      <c r="PD11" s="19"/>
      <c r="PE11" s="19"/>
      <c r="PF11" s="19"/>
      <c r="PG11" s="19"/>
      <c r="PH11" s="19"/>
      <c r="PI11" s="19"/>
      <c r="PJ11" s="19"/>
      <c r="PK11" s="19"/>
      <c r="PL11" s="19"/>
      <c r="PM11" s="19"/>
      <c r="PN11" s="19"/>
      <c r="PO11" s="19"/>
      <c r="PP11" s="19"/>
      <c r="PQ11" s="19"/>
      <c r="PR11" s="19"/>
      <c r="PS11" s="19"/>
      <c r="PT11" s="19"/>
      <c r="PU11" s="19"/>
      <c r="PV11" s="19"/>
      <c r="PW11" s="19"/>
      <c r="PX11" s="19"/>
      <c r="PY11" s="19"/>
      <c r="PZ11" s="19"/>
      <c r="QA11" s="19"/>
      <c r="QB11" s="19"/>
      <c r="QC11" s="19"/>
      <c r="QD11" s="19"/>
      <c r="QE11" s="19"/>
      <c r="QF11" s="19"/>
      <c r="QG11" s="19"/>
      <c r="QH11" s="19"/>
      <c r="QI11" s="19"/>
      <c r="QJ11" s="19"/>
      <c r="QK11" s="19"/>
      <c r="QL11" s="19"/>
      <c r="QM11" s="19"/>
      <c r="QN11" s="19"/>
      <c r="QO11" s="19"/>
      <c r="QP11" s="19"/>
      <c r="QQ11" s="19"/>
      <c r="QR11" s="19"/>
      <c r="QS11" s="19"/>
      <c r="QT11" s="19"/>
      <c r="QU11" s="19"/>
      <c r="QV11" s="19"/>
      <c r="QW11" s="19"/>
      <c r="QX11" s="19"/>
      <c r="QY11" s="19"/>
      <c r="QZ11" s="19"/>
      <c r="RA11" s="19"/>
      <c r="RB11" s="19"/>
      <c r="RC11" s="19"/>
      <c r="RD11" s="19"/>
      <c r="RE11" s="19"/>
      <c r="RF11" s="19"/>
      <c r="RG11" s="19"/>
      <c r="RH11" s="19"/>
      <c r="RI11" s="19"/>
      <c r="RJ11" s="19"/>
      <c r="RK11" s="19"/>
      <c r="RL11" s="19"/>
      <c r="RM11" s="19"/>
      <c r="RN11" s="19"/>
      <c r="RO11" s="19"/>
      <c r="RP11" s="19"/>
      <c r="RQ11" s="19"/>
      <c r="RR11" s="19"/>
      <c r="RS11" s="19"/>
      <c r="RT11" s="19"/>
      <c r="RU11" s="19"/>
      <c r="RV11" s="19"/>
      <c r="RW11" s="19"/>
      <c r="RX11" s="19"/>
      <c r="RY11" s="19"/>
      <c r="RZ11" s="19"/>
      <c r="SA11" s="19"/>
      <c r="SB11" s="19"/>
      <c r="SC11" s="19"/>
      <c r="SD11" s="38"/>
      <c r="SE11" s="19"/>
      <c r="SF11" s="19"/>
      <c r="SG11" s="19"/>
      <c r="SH11" s="19"/>
      <c r="SI11" s="19"/>
      <c r="SJ11" s="19"/>
      <c r="SK11" s="19"/>
      <c r="SL11" s="19"/>
      <c r="SM11" s="19"/>
      <c r="SN11" s="19"/>
      <c r="SO11" s="19"/>
      <c r="SP11" s="19"/>
      <c r="SQ11" s="19"/>
      <c r="SR11" s="19"/>
      <c r="SS11" s="19"/>
      <c r="ST11" s="19"/>
      <c r="SU11" s="19"/>
      <c r="SV11" s="19"/>
      <c r="SW11" s="19"/>
      <c r="SX11" s="19"/>
      <c r="SY11" s="19"/>
      <c r="SZ11" s="19"/>
      <c r="TA11" s="19"/>
      <c r="TB11" s="19"/>
      <c r="TC11" s="19"/>
      <c r="TD11" s="19"/>
      <c r="TE11" s="19"/>
      <c r="TF11" s="19"/>
      <c r="TG11" s="19"/>
      <c r="TH11" s="19"/>
      <c r="TI11" s="19"/>
    </row>
    <row r="12" spans="1:529">
      <c r="A12" s="21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31"/>
      <c r="AH12" s="20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8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30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30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38"/>
      <c r="FB12" s="19"/>
      <c r="FC12" s="51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84"/>
      <c r="HL12" s="87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90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38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  <c r="MU12" s="19"/>
      <c r="MV12" s="45"/>
      <c r="MW12" s="45"/>
      <c r="MX12" s="45"/>
      <c r="MY12" s="45"/>
      <c r="MZ12" s="45"/>
      <c r="NA12" s="45"/>
      <c r="NB12" s="45"/>
      <c r="NC12" s="45"/>
      <c r="ND12" s="45"/>
      <c r="NE12" s="45"/>
      <c r="NF12" s="45"/>
      <c r="NG12" s="45"/>
      <c r="NH12" s="45"/>
      <c r="NI12" s="45"/>
      <c r="NJ12" s="45"/>
      <c r="NK12" s="45"/>
      <c r="NL12" s="45"/>
      <c r="NM12" s="45"/>
      <c r="NN12" s="45"/>
      <c r="NO12" s="45"/>
      <c r="NP12" s="45"/>
      <c r="NQ12" s="45"/>
      <c r="NR12" s="45"/>
      <c r="NS12" s="45"/>
      <c r="NT12" s="45"/>
      <c r="NU12" s="45"/>
      <c r="NV12" s="45"/>
      <c r="NW12" s="45"/>
      <c r="NX12" s="45"/>
      <c r="NY12" s="45"/>
      <c r="NZ12" s="45"/>
      <c r="OA12" s="45"/>
      <c r="OB12" s="45"/>
      <c r="OC12" s="45"/>
      <c r="OD12" s="45"/>
      <c r="OE12" s="45"/>
      <c r="OF12" s="45"/>
      <c r="OG12" s="45"/>
      <c r="OH12" s="45"/>
      <c r="OI12" s="45"/>
      <c r="OJ12" s="45"/>
      <c r="OK12" s="45"/>
      <c r="OL12" s="45"/>
      <c r="OM12" s="45"/>
      <c r="ON12" s="45"/>
      <c r="OO12" s="45"/>
      <c r="OP12" s="45"/>
      <c r="OQ12" s="117"/>
      <c r="OR12" s="117"/>
      <c r="OS12" s="19"/>
      <c r="OT12" s="19"/>
      <c r="OU12" s="19"/>
      <c r="OV12" s="19"/>
      <c r="OW12" s="19"/>
      <c r="OX12" s="19"/>
      <c r="OY12" s="19"/>
      <c r="OZ12" s="19"/>
      <c r="PA12" s="19"/>
      <c r="PB12" s="19"/>
      <c r="PC12" s="19"/>
      <c r="PD12" s="19"/>
      <c r="PE12" s="19"/>
      <c r="PF12" s="19"/>
      <c r="PG12" s="19"/>
      <c r="PH12" s="19"/>
      <c r="PI12" s="19"/>
      <c r="PJ12" s="19"/>
      <c r="PK12" s="19"/>
      <c r="PL12" s="19">
        <v>1</v>
      </c>
      <c r="PM12" s="19"/>
      <c r="PN12" s="19"/>
      <c r="PO12" s="19"/>
      <c r="PP12" s="19"/>
      <c r="PQ12" s="19"/>
      <c r="PR12" s="19"/>
      <c r="PS12" s="19"/>
      <c r="PT12" s="19"/>
      <c r="PU12" s="19"/>
      <c r="PV12" s="19"/>
      <c r="PW12" s="19"/>
      <c r="PX12" s="19"/>
      <c r="PY12" s="19"/>
      <c r="PZ12" s="19"/>
      <c r="QA12" s="19"/>
      <c r="QB12" s="19"/>
      <c r="QC12" s="19"/>
      <c r="QD12" s="19"/>
      <c r="QE12" s="19"/>
      <c r="QF12" s="19"/>
      <c r="QG12" s="19"/>
      <c r="QH12" s="19"/>
      <c r="QI12" s="19"/>
      <c r="QJ12" s="19"/>
      <c r="QK12" s="19"/>
      <c r="QL12" s="19"/>
      <c r="QM12" s="19"/>
      <c r="QN12" s="19"/>
      <c r="QO12" s="19"/>
      <c r="QP12" s="19"/>
      <c r="QQ12" s="19"/>
      <c r="QR12" s="19"/>
      <c r="QS12" s="19"/>
      <c r="QT12" s="19"/>
      <c r="QU12" s="19"/>
      <c r="QV12" s="19"/>
      <c r="QW12" s="19"/>
      <c r="QX12" s="19"/>
      <c r="QY12" s="19"/>
      <c r="QZ12" s="19"/>
      <c r="RA12" s="19"/>
      <c r="RB12" s="19"/>
      <c r="RC12" s="19"/>
      <c r="RD12" s="19"/>
      <c r="RE12" s="19"/>
      <c r="RF12" s="19"/>
      <c r="RG12" s="19"/>
      <c r="RH12" s="19"/>
      <c r="RI12" s="19"/>
      <c r="RJ12" s="19"/>
      <c r="RK12" s="19"/>
      <c r="RL12" s="19"/>
      <c r="RM12" s="19"/>
      <c r="RN12" s="19"/>
      <c r="RO12" s="19"/>
      <c r="RP12" s="19"/>
      <c r="RQ12" s="19"/>
      <c r="RR12" s="19"/>
      <c r="RS12" s="19"/>
      <c r="RT12" s="19"/>
      <c r="RU12" s="19"/>
      <c r="RV12" s="19"/>
      <c r="RW12" s="19"/>
      <c r="RX12" s="19"/>
      <c r="RY12" s="19"/>
      <c r="RZ12" s="19"/>
      <c r="SA12" s="19"/>
      <c r="SB12" s="19"/>
      <c r="SC12" s="19"/>
      <c r="SD12" s="38"/>
      <c r="SE12" s="19"/>
      <c r="SF12" s="19"/>
      <c r="SG12" s="19"/>
      <c r="SH12" s="19"/>
      <c r="SI12" s="19"/>
      <c r="SJ12" s="19"/>
      <c r="SK12" s="19"/>
      <c r="SL12" s="19"/>
      <c r="SM12" s="19"/>
      <c r="SN12" s="19"/>
      <c r="SO12" s="19"/>
      <c r="SP12" s="19"/>
      <c r="SQ12" s="19"/>
      <c r="SR12" s="19"/>
      <c r="SS12" s="19"/>
      <c r="ST12" s="19"/>
      <c r="SU12" s="19"/>
      <c r="SV12" s="19"/>
      <c r="SW12" s="19"/>
      <c r="SX12" s="19"/>
      <c r="SY12" s="19"/>
      <c r="SZ12" s="19"/>
      <c r="TA12" s="19"/>
      <c r="TB12" s="19"/>
      <c r="TC12" s="19"/>
      <c r="TD12" s="19"/>
      <c r="TE12" s="19"/>
      <c r="TF12" s="19"/>
      <c r="TG12" s="19"/>
      <c r="TH12" s="19"/>
      <c r="TI12" s="19"/>
    </row>
    <row r="13" spans="1:529" hidden="1">
      <c r="A13" s="21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4" t="s">
        <v>47</v>
      </c>
      <c r="N13" s="20"/>
      <c r="O13" s="24" t="s">
        <v>47</v>
      </c>
      <c r="P13" s="20"/>
      <c r="Q13" s="20"/>
      <c r="R13" s="20"/>
      <c r="S13" s="20"/>
      <c r="T13" s="24" t="s">
        <v>53</v>
      </c>
      <c r="U13" s="20"/>
      <c r="V13" s="24" t="s">
        <v>53</v>
      </c>
      <c r="W13" s="20"/>
      <c r="X13" s="24" t="s">
        <v>53</v>
      </c>
      <c r="Y13" s="20"/>
      <c r="Z13" s="20"/>
      <c r="AA13" s="24" t="s">
        <v>47</v>
      </c>
      <c r="AB13" s="20"/>
      <c r="AC13" s="24" t="s">
        <v>47</v>
      </c>
      <c r="AD13" s="20"/>
      <c r="AE13" s="20" t="s">
        <v>53</v>
      </c>
      <c r="AF13" s="20"/>
      <c r="AG13" s="31"/>
      <c r="AH13" s="20"/>
      <c r="AI13" s="24" t="s">
        <v>53</v>
      </c>
      <c r="AJ13" s="23"/>
      <c r="AK13" s="33" t="s">
        <v>53</v>
      </c>
      <c r="AL13" s="32"/>
      <c r="AM13" s="33" t="s">
        <v>53</v>
      </c>
      <c r="AN13" s="23"/>
      <c r="AO13" s="23"/>
      <c r="AP13" s="23" t="s">
        <v>53</v>
      </c>
      <c r="AQ13" s="23"/>
      <c r="AR13" s="23" t="s">
        <v>53</v>
      </c>
      <c r="AS13" s="23"/>
      <c r="AT13" s="23"/>
      <c r="AU13" s="23"/>
      <c r="AV13" s="23"/>
      <c r="AW13" s="23" t="s">
        <v>53</v>
      </c>
      <c r="AX13" s="23"/>
      <c r="AY13" s="23" t="s">
        <v>53</v>
      </c>
      <c r="AZ13" s="23"/>
      <c r="BA13" s="23" t="s">
        <v>53</v>
      </c>
      <c r="BB13" s="23"/>
      <c r="BC13" s="23"/>
      <c r="BD13" s="23" t="s">
        <v>53</v>
      </c>
      <c r="BE13" s="23"/>
      <c r="BF13" s="23" t="s">
        <v>53</v>
      </c>
      <c r="BG13" s="23"/>
      <c r="BH13" s="23"/>
      <c r="BI13" s="23"/>
      <c r="BJ13" s="23"/>
      <c r="BK13" s="23" t="s">
        <v>53</v>
      </c>
      <c r="BL13" s="28">
        <v>11</v>
      </c>
      <c r="BM13" s="23"/>
      <c r="BN13" s="23" t="s">
        <v>53</v>
      </c>
      <c r="BO13" s="23"/>
      <c r="BP13" s="23" t="s">
        <v>53</v>
      </c>
      <c r="BQ13" s="23"/>
      <c r="BR13" s="23"/>
      <c r="BS13" s="23"/>
      <c r="BT13" s="23" t="s">
        <v>53</v>
      </c>
      <c r="BU13" s="23" t="s">
        <v>53</v>
      </c>
      <c r="BV13" s="23"/>
      <c r="BW13" s="23" t="s">
        <v>53</v>
      </c>
      <c r="BX13" s="23" t="s">
        <v>53</v>
      </c>
      <c r="BY13" s="23"/>
      <c r="BZ13" s="23"/>
      <c r="CA13" s="23" t="s">
        <v>53</v>
      </c>
      <c r="CB13" s="23" t="s">
        <v>53</v>
      </c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30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30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38"/>
      <c r="FB13" s="19"/>
      <c r="FC13" s="51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84"/>
      <c r="HL13" s="87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90"/>
      <c r="IS13" s="19"/>
      <c r="IT13" s="19"/>
      <c r="IU13" s="19"/>
      <c r="IV13" s="19"/>
      <c r="IW13" s="19"/>
      <c r="IX13" s="19"/>
      <c r="IY13" s="19"/>
      <c r="IZ13" s="19"/>
      <c r="JA13" s="19"/>
      <c r="JB13" s="19"/>
      <c r="JC13" s="19"/>
      <c r="JD13" s="19"/>
      <c r="JE13" s="19"/>
      <c r="JF13" s="19"/>
      <c r="JG13" s="19"/>
      <c r="JH13" s="19"/>
      <c r="JI13" s="19"/>
      <c r="JJ13" s="19"/>
      <c r="JK13" s="19"/>
      <c r="JL13" s="19"/>
      <c r="JM13" s="19"/>
      <c r="JN13" s="19"/>
      <c r="JO13" s="19"/>
      <c r="JP13" s="19"/>
      <c r="JQ13" s="19"/>
      <c r="JR13" s="19"/>
      <c r="JS13" s="19"/>
      <c r="JT13" s="19"/>
      <c r="JU13" s="19"/>
      <c r="JV13" s="19"/>
      <c r="JW13" s="19"/>
      <c r="JX13" s="19"/>
      <c r="JY13" s="19"/>
      <c r="JZ13" s="19"/>
      <c r="KA13" s="19"/>
      <c r="KB13" s="19"/>
      <c r="KC13" s="19"/>
      <c r="KD13" s="19"/>
      <c r="KE13" s="19"/>
      <c r="KF13" s="19"/>
      <c r="KG13" s="19"/>
      <c r="KH13" s="19"/>
      <c r="KI13" s="19"/>
      <c r="KJ13" s="19"/>
      <c r="KK13" s="19"/>
      <c r="KL13" s="19"/>
      <c r="KM13" s="19"/>
      <c r="KN13" s="19"/>
      <c r="KO13" s="19"/>
      <c r="KP13" s="19"/>
      <c r="KQ13" s="19"/>
      <c r="KR13" s="19"/>
      <c r="KS13" s="19"/>
      <c r="KT13" s="19"/>
      <c r="KU13" s="19"/>
      <c r="KV13" s="38"/>
      <c r="KW13" s="19"/>
      <c r="KX13" s="19"/>
      <c r="KY13" s="19"/>
      <c r="KZ13" s="19"/>
      <c r="LA13" s="19"/>
      <c r="LB13" s="19"/>
      <c r="LC13" s="19"/>
      <c r="LD13" s="19"/>
      <c r="LE13" s="19"/>
      <c r="LF13" s="19"/>
      <c r="LG13" s="19"/>
      <c r="LH13" s="19"/>
      <c r="LI13" s="19"/>
      <c r="LJ13" s="19"/>
      <c r="LK13" s="19"/>
      <c r="LL13" s="19"/>
      <c r="LM13" s="19"/>
      <c r="LN13" s="19"/>
      <c r="LO13" s="19"/>
      <c r="LP13" s="19"/>
      <c r="LQ13" s="19"/>
      <c r="LR13" s="19"/>
      <c r="LS13" s="19"/>
      <c r="LT13" s="19"/>
      <c r="LU13" s="19"/>
      <c r="LV13" s="19"/>
      <c r="LW13" s="19"/>
      <c r="LX13" s="19"/>
      <c r="LY13" s="19"/>
      <c r="LZ13" s="19"/>
      <c r="MA13" s="19"/>
      <c r="MB13" s="19"/>
      <c r="MC13" s="19"/>
      <c r="MD13" s="19"/>
      <c r="ME13" s="19"/>
      <c r="MF13" s="19"/>
      <c r="MG13" s="19"/>
      <c r="MH13" s="19"/>
      <c r="MI13" s="19"/>
      <c r="MJ13" s="19"/>
      <c r="MK13" s="19"/>
      <c r="ML13" s="19"/>
      <c r="MM13" s="19"/>
      <c r="MN13" s="19"/>
      <c r="MO13" s="19"/>
      <c r="MP13" s="19"/>
      <c r="MQ13" s="19"/>
      <c r="MR13" s="19"/>
      <c r="MS13" s="19"/>
      <c r="MT13" s="19"/>
      <c r="MU13" s="19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OA13" s="45"/>
      <c r="OB13" s="45"/>
      <c r="OC13" s="45"/>
      <c r="OD13" s="45"/>
      <c r="OE13" s="45"/>
      <c r="OF13" s="45"/>
      <c r="OG13" s="45"/>
      <c r="OH13" s="45"/>
      <c r="OI13" s="45"/>
      <c r="OJ13" s="45"/>
      <c r="OK13" s="45"/>
      <c r="OL13" s="45"/>
      <c r="OM13" s="45"/>
      <c r="ON13" s="45"/>
      <c r="OO13" s="45"/>
      <c r="OP13" s="45"/>
      <c r="OQ13" s="117"/>
      <c r="OR13" s="117"/>
      <c r="OS13" s="19"/>
      <c r="OT13" s="19"/>
      <c r="OU13" s="19"/>
      <c r="OV13" s="19"/>
      <c r="OW13" s="19"/>
      <c r="OX13" s="19"/>
      <c r="OY13" s="19"/>
      <c r="OZ13" s="19"/>
      <c r="PA13" s="19"/>
      <c r="PB13" s="19"/>
      <c r="PC13" s="19"/>
      <c r="PD13" s="19"/>
      <c r="PE13" s="19"/>
      <c r="PF13" s="19"/>
      <c r="PG13" s="19"/>
      <c r="PH13" s="19"/>
      <c r="PI13" s="19"/>
      <c r="PJ13" s="19"/>
      <c r="PK13" s="19"/>
      <c r="PL13" s="19"/>
      <c r="PM13" s="19"/>
      <c r="PN13" s="19"/>
      <c r="PO13" s="19"/>
      <c r="PP13" s="19"/>
      <c r="PQ13" s="19"/>
      <c r="PR13" s="19"/>
      <c r="PS13" s="19"/>
      <c r="PT13" s="19"/>
      <c r="PU13" s="19"/>
      <c r="PV13" s="19"/>
      <c r="PW13" s="19"/>
      <c r="PX13" s="19"/>
      <c r="PY13" s="19"/>
      <c r="PZ13" s="19"/>
      <c r="QA13" s="19"/>
      <c r="QB13" s="19"/>
      <c r="QC13" s="19"/>
      <c r="QD13" s="19"/>
      <c r="QE13" s="19"/>
      <c r="QF13" s="19"/>
      <c r="QG13" s="19"/>
      <c r="QH13" s="19"/>
      <c r="QI13" s="19"/>
      <c r="QJ13" s="19"/>
      <c r="QK13" s="19"/>
      <c r="QL13" s="19"/>
      <c r="QM13" s="19"/>
      <c r="QN13" s="19"/>
      <c r="QO13" s="19"/>
      <c r="QP13" s="19"/>
      <c r="QQ13" s="19"/>
      <c r="QR13" s="19"/>
      <c r="QS13" s="19"/>
      <c r="QT13" s="19"/>
      <c r="QU13" s="19"/>
      <c r="QV13" s="19"/>
      <c r="QW13" s="19"/>
      <c r="QX13" s="19"/>
      <c r="QY13" s="19"/>
      <c r="QZ13" s="19"/>
      <c r="RA13" s="19"/>
      <c r="RB13" s="19"/>
      <c r="RC13" s="19"/>
      <c r="RD13" s="19"/>
      <c r="RE13" s="19"/>
      <c r="RF13" s="19"/>
      <c r="RG13" s="19"/>
      <c r="RH13" s="19"/>
      <c r="RI13" s="19"/>
      <c r="RJ13" s="19"/>
      <c r="RK13" s="19"/>
      <c r="RL13" s="19"/>
      <c r="RM13" s="19"/>
      <c r="RN13" s="19"/>
      <c r="RO13" s="19"/>
      <c r="RP13" s="19"/>
      <c r="RQ13" s="19"/>
      <c r="RR13" s="19"/>
      <c r="RS13" s="19"/>
      <c r="RT13" s="19"/>
      <c r="RU13" s="19"/>
      <c r="RV13" s="19"/>
      <c r="RW13" s="19"/>
      <c r="RX13" s="19"/>
      <c r="RY13" s="19"/>
      <c r="RZ13" s="19"/>
      <c r="SA13" s="19"/>
      <c r="SB13" s="19"/>
      <c r="SC13" s="19"/>
      <c r="SD13" s="38"/>
      <c r="SE13" s="19"/>
      <c r="SF13" s="19"/>
      <c r="SG13" s="19"/>
      <c r="SH13" s="19"/>
      <c r="SI13" s="19"/>
      <c r="SJ13" s="19"/>
      <c r="SK13" s="19"/>
      <c r="SL13" s="19"/>
      <c r="SM13" s="19"/>
      <c r="SN13" s="19"/>
      <c r="SO13" s="19"/>
      <c r="SP13" s="19"/>
      <c r="SQ13" s="19"/>
      <c r="SR13" s="19"/>
      <c r="SS13" s="19"/>
      <c r="ST13" s="19"/>
      <c r="SU13" s="19"/>
      <c r="SV13" s="19"/>
      <c r="SW13" s="19"/>
      <c r="SX13" s="19"/>
      <c r="SY13" s="19"/>
      <c r="SZ13" s="19"/>
      <c r="TA13" s="19"/>
      <c r="TB13" s="19"/>
      <c r="TC13" s="19"/>
      <c r="TD13" s="19"/>
      <c r="TE13" s="19"/>
      <c r="TF13" s="19"/>
      <c r="TG13" s="19"/>
      <c r="TH13" s="19"/>
      <c r="TI13" s="19"/>
    </row>
    <row r="14" spans="1:529" ht="14.25" hidden="1" customHeight="1">
      <c r="A14" s="21"/>
      <c r="B14" s="20"/>
      <c r="C14" s="20"/>
      <c r="D14" s="20"/>
      <c r="E14" s="20"/>
      <c r="F14" s="20"/>
      <c r="G14" s="20"/>
      <c r="H14" s="20"/>
      <c r="I14" s="20"/>
      <c r="J14" s="20"/>
      <c r="K14" s="24" t="s">
        <v>47</v>
      </c>
      <c r="L14" s="20"/>
      <c r="M14" s="20"/>
      <c r="N14" s="24" t="s">
        <v>47</v>
      </c>
      <c r="O14" s="20"/>
      <c r="P14" s="24" t="s">
        <v>47</v>
      </c>
      <c r="Q14" s="20"/>
      <c r="R14" s="24" t="s">
        <v>47</v>
      </c>
      <c r="S14" s="20"/>
      <c r="T14" s="20"/>
      <c r="U14" s="24" t="s">
        <v>53</v>
      </c>
      <c r="V14" s="20"/>
      <c r="W14" s="23"/>
      <c r="X14" s="20"/>
      <c r="Y14" s="24" t="s">
        <v>53</v>
      </c>
      <c r="Z14" s="20"/>
      <c r="AA14" s="20"/>
      <c r="AB14" s="24" t="s">
        <v>47</v>
      </c>
      <c r="AC14" s="20"/>
      <c r="AD14" s="24" t="s">
        <v>47</v>
      </c>
      <c r="AE14" s="20"/>
      <c r="AF14" s="24" t="s">
        <v>47</v>
      </c>
      <c r="AG14" s="31"/>
      <c r="AH14" s="23"/>
      <c r="AI14" s="23"/>
      <c r="AJ14" s="24" t="s">
        <v>53</v>
      </c>
      <c r="AK14" s="23"/>
      <c r="AL14" s="23"/>
      <c r="AM14" s="23"/>
      <c r="AN14" s="24" t="s">
        <v>53</v>
      </c>
      <c r="AO14" s="23"/>
      <c r="AP14" s="23"/>
      <c r="AQ14" s="33" t="s">
        <v>53</v>
      </c>
      <c r="AR14" s="23"/>
      <c r="AS14" s="33" t="s">
        <v>53</v>
      </c>
      <c r="AT14" s="23"/>
      <c r="AU14" s="33" t="s">
        <v>53</v>
      </c>
      <c r="AV14" s="23"/>
      <c r="AW14" s="23"/>
      <c r="AX14" s="33" t="s">
        <v>53</v>
      </c>
      <c r="AY14" s="23"/>
      <c r="AZ14" s="23"/>
      <c r="BA14" s="23"/>
      <c r="BB14" s="33" t="s">
        <v>53</v>
      </c>
      <c r="BC14" s="23"/>
      <c r="BD14" s="23"/>
      <c r="BE14" s="33" t="s">
        <v>53</v>
      </c>
      <c r="BF14" s="23"/>
      <c r="BG14" s="33" t="s">
        <v>53</v>
      </c>
      <c r="BH14" s="23"/>
      <c r="BI14" s="33" t="s">
        <v>53</v>
      </c>
      <c r="BJ14" s="23"/>
      <c r="BK14" s="23"/>
      <c r="BL14" s="28">
        <v>11</v>
      </c>
      <c r="BM14" s="33" t="s">
        <v>53</v>
      </c>
      <c r="BN14" s="23"/>
      <c r="BO14" s="23"/>
      <c r="BP14" s="23"/>
      <c r="BQ14" s="33" t="s">
        <v>53</v>
      </c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30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30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38"/>
      <c r="FB14" s="19"/>
      <c r="FC14" s="51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84"/>
      <c r="HL14" s="87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90"/>
      <c r="IS14" s="19"/>
      <c r="IT14" s="19"/>
      <c r="IU14" s="19"/>
      <c r="IV14" s="19"/>
      <c r="IW14" s="19"/>
      <c r="IX14" s="19"/>
      <c r="IY14" s="19"/>
      <c r="IZ14" s="19"/>
      <c r="JA14" s="19"/>
      <c r="JB14" s="19"/>
      <c r="JC14" s="19"/>
      <c r="JD14" s="19"/>
      <c r="JE14" s="19"/>
      <c r="JF14" s="19"/>
      <c r="JG14" s="19"/>
      <c r="JH14" s="19"/>
      <c r="JI14" s="19"/>
      <c r="JJ14" s="19"/>
      <c r="JK14" s="19"/>
      <c r="JL14" s="19"/>
      <c r="JM14" s="19"/>
      <c r="JN14" s="19"/>
      <c r="JO14" s="19"/>
      <c r="JP14" s="19"/>
      <c r="JQ14" s="19"/>
      <c r="JR14" s="19"/>
      <c r="JS14" s="19"/>
      <c r="JT14" s="19"/>
      <c r="JU14" s="19"/>
      <c r="JV14" s="19"/>
      <c r="JW14" s="19"/>
      <c r="JX14" s="19"/>
      <c r="JY14" s="19"/>
      <c r="JZ14" s="19"/>
      <c r="KA14" s="19"/>
      <c r="KB14" s="19"/>
      <c r="KC14" s="19"/>
      <c r="KD14" s="19"/>
      <c r="KE14" s="19"/>
      <c r="KF14" s="19"/>
      <c r="KG14" s="19"/>
      <c r="KH14" s="19"/>
      <c r="KI14" s="19"/>
      <c r="KJ14" s="19"/>
      <c r="KK14" s="19"/>
      <c r="KL14" s="19"/>
      <c r="KM14" s="19"/>
      <c r="KN14" s="19"/>
      <c r="KO14" s="19"/>
      <c r="KP14" s="19"/>
      <c r="KQ14" s="19"/>
      <c r="KR14" s="19"/>
      <c r="KS14" s="19"/>
      <c r="KT14" s="19"/>
      <c r="KU14" s="19"/>
      <c r="KV14" s="38"/>
      <c r="KW14" s="19"/>
      <c r="KX14" s="19"/>
      <c r="KY14" s="19"/>
      <c r="KZ14" s="19"/>
      <c r="LA14" s="19"/>
      <c r="LB14" s="19"/>
      <c r="LC14" s="19"/>
      <c r="LD14" s="19"/>
      <c r="LE14" s="19"/>
      <c r="LF14" s="19"/>
      <c r="LG14" s="19"/>
      <c r="LH14" s="19"/>
      <c r="LI14" s="19"/>
      <c r="LJ14" s="19"/>
      <c r="LK14" s="19"/>
      <c r="LL14" s="19"/>
      <c r="LM14" s="19"/>
      <c r="LN14" s="19"/>
      <c r="LO14" s="19"/>
      <c r="LP14" s="19"/>
      <c r="LQ14" s="19"/>
      <c r="LR14" s="19"/>
      <c r="LS14" s="19"/>
      <c r="LT14" s="19"/>
      <c r="LU14" s="19"/>
      <c r="LV14" s="19"/>
      <c r="LW14" s="19"/>
      <c r="LX14" s="19"/>
      <c r="LY14" s="19"/>
      <c r="LZ14" s="19"/>
      <c r="MA14" s="19"/>
      <c r="MB14" s="19"/>
      <c r="MC14" s="19"/>
      <c r="MD14" s="19"/>
      <c r="ME14" s="19"/>
      <c r="MF14" s="19"/>
      <c r="MG14" s="19"/>
      <c r="MH14" s="19"/>
      <c r="MI14" s="19"/>
      <c r="MJ14" s="19"/>
      <c r="MK14" s="19"/>
      <c r="ML14" s="19"/>
      <c r="MM14" s="19"/>
      <c r="MN14" s="19"/>
      <c r="MO14" s="19"/>
      <c r="MP14" s="19"/>
      <c r="MQ14" s="19"/>
      <c r="MR14" s="19"/>
      <c r="MS14" s="19"/>
      <c r="MT14" s="19"/>
      <c r="MU14" s="19"/>
      <c r="MV14" s="45"/>
      <c r="MW14" s="45"/>
      <c r="MX14" s="45"/>
      <c r="MY14" s="45"/>
      <c r="MZ14" s="45"/>
      <c r="NA14" s="45"/>
      <c r="NB14" s="45"/>
      <c r="NC14" s="45"/>
      <c r="ND14" s="45"/>
      <c r="NE14" s="45"/>
      <c r="NF14" s="45"/>
      <c r="NG14" s="45"/>
      <c r="NH14" s="45"/>
      <c r="NI14" s="45"/>
      <c r="NJ14" s="45"/>
      <c r="NK14" s="45"/>
      <c r="NL14" s="45"/>
      <c r="NM14" s="45"/>
      <c r="NN14" s="45"/>
      <c r="NO14" s="45"/>
      <c r="NP14" s="45"/>
      <c r="NQ14" s="45"/>
      <c r="NR14" s="45"/>
      <c r="NS14" s="45"/>
      <c r="NT14" s="45"/>
      <c r="NU14" s="45"/>
      <c r="NV14" s="45"/>
      <c r="NW14" s="45"/>
      <c r="NX14" s="45"/>
      <c r="NY14" s="45"/>
      <c r="NZ14" s="45"/>
      <c r="OA14" s="45"/>
      <c r="OB14" s="45"/>
      <c r="OC14" s="45"/>
      <c r="OD14" s="45"/>
      <c r="OE14" s="45"/>
      <c r="OF14" s="45"/>
      <c r="OG14" s="45"/>
      <c r="OH14" s="45"/>
      <c r="OI14" s="45"/>
      <c r="OJ14" s="45"/>
      <c r="OK14" s="45"/>
      <c r="OL14" s="45"/>
      <c r="OM14" s="45"/>
      <c r="ON14" s="45"/>
      <c r="OO14" s="45"/>
      <c r="OP14" s="45"/>
      <c r="OQ14" s="117"/>
      <c r="OR14" s="117"/>
      <c r="OS14" s="19"/>
      <c r="OT14" s="19"/>
      <c r="OU14" s="19"/>
      <c r="OV14" s="19"/>
      <c r="OW14" s="19"/>
      <c r="OX14" s="19"/>
      <c r="OY14" s="19"/>
      <c r="OZ14" s="19"/>
      <c r="PA14" s="19"/>
      <c r="PB14" s="19"/>
      <c r="PC14" s="19"/>
      <c r="PD14" s="19"/>
      <c r="PE14" s="19"/>
      <c r="PF14" s="19"/>
      <c r="PG14" s="19"/>
      <c r="PH14" s="19"/>
      <c r="PI14" s="19"/>
      <c r="PJ14" s="19"/>
      <c r="PK14" s="19"/>
      <c r="PL14" s="19"/>
      <c r="PM14" s="19"/>
      <c r="PN14" s="19"/>
      <c r="PO14" s="19"/>
      <c r="PP14" s="19"/>
      <c r="PQ14" s="19"/>
      <c r="PR14" s="19"/>
      <c r="PS14" s="19"/>
      <c r="PT14" s="19"/>
      <c r="PU14" s="19"/>
      <c r="PV14" s="19"/>
      <c r="PW14" s="19"/>
      <c r="PX14" s="19"/>
      <c r="PY14" s="19"/>
      <c r="PZ14" s="19"/>
      <c r="QA14" s="19"/>
      <c r="QB14" s="19"/>
      <c r="QC14" s="19"/>
      <c r="QD14" s="19"/>
      <c r="QE14" s="19"/>
      <c r="QF14" s="19"/>
      <c r="QG14" s="19"/>
      <c r="QH14" s="19"/>
      <c r="QI14" s="19"/>
      <c r="QJ14" s="19"/>
      <c r="QK14" s="19"/>
      <c r="QL14" s="19"/>
      <c r="QM14" s="19"/>
      <c r="QN14" s="19"/>
      <c r="QO14" s="19"/>
      <c r="QP14" s="19"/>
      <c r="QQ14" s="19"/>
      <c r="QR14" s="19"/>
      <c r="QS14" s="19"/>
      <c r="QT14" s="19"/>
      <c r="QU14" s="19"/>
      <c r="QV14" s="19"/>
      <c r="QW14" s="19"/>
      <c r="QX14" s="19"/>
      <c r="QY14" s="19"/>
      <c r="QZ14" s="19"/>
      <c r="RA14" s="19"/>
      <c r="RB14" s="19"/>
      <c r="RC14" s="19"/>
      <c r="RD14" s="19"/>
      <c r="RE14" s="19"/>
      <c r="RF14" s="19"/>
      <c r="RG14" s="19"/>
      <c r="RH14" s="19"/>
      <c r="RI14" s="19"/>
      <c r="RJ14" s="19"/>
      <c r="RK14" s="19"/>
      <c r="RL14" s="19"/>
      <c r="RM14" s="19"/>
      <c r="RN14" s="19"/>
      <c r="RO14" s="19"/>
      <c r="RP14" s="19"/>
      <c r="RQ14" s="19"/>
      <c r="RR14" s="19"/>
      <c r="RS14" s="19"/>
      <c r="RT14" s="19"/>
      <c r="RU14" s="19"/>
      <c r="RV14" s="19"/>
      <c r="RW14" s="19"/>
      <c r="RX14" s="19"/>
      <c r="RY14" s="19"/>
      <c r="RZ14" s="19"/>
      <c r="SA14" s="19"/>
      <c r="SB14" s="19"/>
      <c r="SC14" s="19"/>
      <c r="SD14" s="38"/>
      <c r="SE14" s="19"/>
      <c r="SF14" s="19"/>
      <c r="SG14" s="19"/>
      <c r="SH14" s="19"/>
      <c r="SI14" s="19"/>
      <c r="SJ14" s="19"/>
      <c r="SK14" s="19"/>
      <c r="SL14" s="19"/>
      <c r="SM14" s="19"/>
      <c r="SN14" s="19"/>
      <c r="SO14" s="19"/>
      <c r="SP14" s="19"/>
      <c r="SQ14" s="19"/>
      <c r="SR14" s="19"/>
      <c r="SS14" s="19"/>
      <c r="ST14" s="19"/>
      <c r="SU14" s="19"/>
      <c r="SV14" s="19"/>
      <c r="SW14" s="19"/>
      <c r="SX14" s="19"/>
      <c r="SY14" s="19"/>
      <c r="SZ14" s="19"/>
      <c r="TA14" s="19"/>
      <c r="TB14" s="19"/>
      <c r="TC14" s="19"/>
      <c r="TD14" s="19"/>
      <c r="TE14" s="19"/>
      <c r="TF14" s="19"/>
      <c r="TG14" s="19"/>
      <c r="TH14" s="19"/>
      <c r="TI14" s="19"/>
    </row>
    <row r="15" spans="1:529">
      <c r="A15" s="21"/>
      <c r="B15" s="24" t="s">
        <v>47</v>
      </c>
      <c r="C15" s="24" t="s">
        <v>47</v>
      </c>
      <c r="D15" s="24" t="s">
        <v>47</v>
      </c>
      <c r="E15" s="24" t="s">
        <v>47</v>
      </c>
      <c r="F15" s="24" t="s">
        <v>47</v>
      </c>
      <c r="G15" s="24" t="s">
        <v>47</v>
      </c>
      <c r="H15" s="24" t="s">
        <v>47</v>
      </c>
      <c r="I15" s="24" t="s">
        <v>47</v>
      </c>
      <c r="J15" s="24" t="s">
        <v>47</v>
      </c>
      <c r="K15" s="20"/>
      <c r="L15" s="20"/>
      <c r="M15" s="20"/>
      <c r="N15" s="20"/>
      <c r="O15" s="20"/>
      <c r="P15" s="20"/>
      <c r="Q15" s="24" t="s">
        <v>47</v>
      </c>
      <c r="R15" s="20"/>
      <c r="S15" s="24" t="s">
        <v>47</v>
      </c>
      <c r="T15" s="20"/>
      <c r="U15" s="20"/>
      <c r="V15" s="20"/>
      <c r="W15" s="24" t="s">
        <v>53</v>
      </c>
      <c r="X15" s="20"/>
      <c r="Y15" s="20"/>
      <c r="Z15" s="24" t="s">
        <v>47</v>
      </c>
      <c r="AA15" s="20"/>
      <c r="AB15" s="20"/>
      <c r="AC15" s="20"/>
      <c r="AD15" s="20"/>
      <c r="AE15" s="24"/>
      <c r="AF15" s="20"/>
      <c r="AG15" s="31"/>
      <c r="AH15" s="24" t="s">
        <v>47</v>
      </c>
      <c r="AI15" s="23"/>
      <c r="AJ15" s="23"/>
      <c r="AK15" s="23"/>
      <c r="AL15" s="23" t="s">
        <v>47</v>
      </c>
      <c r="AM15" s="23"/>
      <c r="AN15" s="23"/>
      <c r="AO15" s="24" t="s">
        <v>53</v>
      </c>
      <c r="AP15" s="23"/>
      <c r="AQ15" s="23"/>
      <c r="AR15" s="23"/>
      <c r="AS15" s="23"/>
      <c r="AT15" s="23" t="s">
        <v>53</v>
      </c>
      <c r="AU15" s="23"/>
      <c r="AV15" s="23" t="s">
        <v>53</v>
      </c>
      <c r="AW15" s="23"/>
      <c r="AX15" s="23"/>
      <c r="AY15" s="23"/>
      <c r="AZ15" s="33" t="s">
        <v>53</v>
      </c>
      <c r="BA15" s="23"/>
      <c r="BB15" s="23"/>
      <c r="BC15" s="33" t="s">
        <v>53</v>
      </c>
      <c r="BD15" s="23"/>
      <c r="BE15" s="23"/>
      <c r="BF15" s="23"/>
      <c r="BG15" s="23"/>
      <c r="BH15" s="23" t="s">
        <v>53</v>
      </c>
      <c r="BI15" s="23"/>
      <c r="BJ15" s="23" t="s">
        <v>53</v>
      </c>
      <c r="BK15" s="23"/>
      <c r="BL15" s="28">
        <v>8</v>
      </c>
      <c r="BM15" s="23"/>
      <c r="BN15" s="23"/>
      <c r="BO15" s="23" t="s">
        <v>53</v>
      </c>
      <c r="BP15" s="23"/>
      <c r="BQ15" s="23"/>
      <c r="BR15" s="23" t="s">
        <v>53</v>
      </c>
      <c r="BS15" s="23" t="s">
        <v>53</v>
      </c>
      <c r="BT15" s="23"/>
      <c r="BU15" s="23"/>
      <c r="BV15" s="23" t="s">
        <v>53</v>
      </c>
      <c r="BW15" s="23"/>
      <c r="BX15" s="23"/>
      <c r="BY15" s="23" t="s">
        <v>47</v>
      </c>
      <c r="BZ15" s="23"/>
      <c r="CA15" s="23"/>
      <c r="CB15" s="23"/>
      <c r="CC15" s="23" t="s">
        <v>47</v>
      </c>
      <c r="CD15" s="23" t="s">
        <v>47</v>
      </c>
      <c r="CE15" s="23" t="s">
        <v>47</v>
      </c>
      <c r="CF15" s="23" t="s">
        <v>53</v>
      </c>
      <c r="CG15" s="23" t="s">
        <v>47</v>
      </c>
      <c r="CH15" s="23"/>
      <c r="CI15" s="23"/>
      <c r="CJ15" s="23" t="s">
        <v>47</v>
      </c>
      <c r="CK15" s="23"/>
      <c r="CL15" s="23" t="s">
        <v>47</v>
      </c>
      <c r="CM15" s="23"/>
      <c r="CN15" s="23"/>
      <c r="CO15" s="23"/>
      <c r="CP15" s="23"/>
      <c r="CQ15" s="23" t="s">
        <v>47</v>
      </c>
      <c r="CR15" s="30">
        <v>13</v>
      </c>
      <c r="CS15" s="19"/>
      <c r="CT15" s="19" t="s">
        <v>47</v>
      </c>
      <c r="CU15" s="19" t="s">
        <v>47</v>
      </c>
      <c r="CV15" s="19" t="s">
        <v>47</v>
      </c>
      <c r="CW15" s="19"/>
      <c r="CX15" s="19"/>
      <c r="CY15" s="19" t="s">
        <v>47</v>
      </c>
      <c r="CZ15" s="19" t="s">
        <v>47</v>
      </c>
      <c r="DA15" s="19" t="s">
        <v>47</v>
      </c>
      <c r="DB15" s="19"/>
      <c r="DC15" s="19" t="s">
        <v>47</v>
      </c>
      <c r="DD15" s="19"/>
      <c r="DE15" s="19"/>
      <c r="DF15" s="19" t="s">
        <v>47</v>
      </c>
      <c r="DG15" s="19"/>
      <c r="DH15" s="19" t="s">
        <v>47</v>
      </c>
      <c r="DI15" s="19"/>
      <c r="DJ15" s="19" t="s">
        <v>47</v>
      </c>
      <c r="DK15" s="19"/>
      <c r="DL15" s="19"/>
      <c r="DM15" s="19" t="s">
        <v>47</v>
      </c>
      <c r="DN15" s="19" t="s">
        <v>47</v>
      </c>
      <c r="DO15" s="19" t="s">
        <v>47</v>
      </c>
      <c r="DP15" s="19"/>
      <c r="DQ15" s="19" t="s">
        <v>53</v>
      </c>
      <c r="DR15" s="19" t="s">
        <v>53</v>
      </c>
      <c r="DS15" s="19"/>
      <c r="DT15" s="19"/>
      <c r="DU15" s="19"/>
      <c r="DV15" s="19" t="s">
        <v>53</v>
      </c>
      <c r="DW15" s="30">
        <v>16</v>
      </c>
      <c r="DX15" s="19"/>
      <c r="DY15" s="19" t="s">
        <v>53</v>
      </c>
      <c r="DZ15" s="19"/>
      <c r="EA15" s="19"/>
      <c r="EB15" s="19" t="s">
        <v>47</v>
      </c>
      <c r="EC15" s="19" t="s">
        <v>47</v>
      </c>
      <c r="ED15" s="19" t="s">
        <v>53</v>
      </c>
      <c r="EE15" s="19"/>
      <c r="EF15" s="19"/>
      <c r="EG15" s="19" t="s">
        <v>47</v>
      </c>
      <c r="EH15" s="19"/>
      <c r="EI15" s="19" t="s">
        <v>53</v>
      </c>
      <c r="EJ15" s="19"/>
      <c r="EK15" s="19" t="s">
        <v>47</v>
      </c>
      <c r="EL15" s="19"/>
      <c r="EM15" s="19" t="s">
        <v>53</v>
      </c>
      <c r="EN15" s="19"/>
      <c r="EO15" s="19"/>
      <c r="EP15" s="19" t="s">
        <v>53</v>
      </c>
      <c r="EQ15" s="19" t="s">
        <v>53</v>
      </c>
      <c r="ER15" s="19" t="s">
        <v>53</v>
      </c>
      <c r="ES15" s="19" t="s">
        <v>47</v>
      </c>
      <c r="ET15" s="19" t="s">
        <v>53</v>
      </c>
      <c r="EU15" s="19"/>
      <c r="EV15" s="19"/>
      <c r="EW15" s="19" t="s">
        <v>53</v>
      </c>
      <c r="EX15" s="19"/>
      <c r="EY15" s="19" t="s">
        <v>53</v>
      </c>
      <c r="EZ15" s="19"/>
      <c r="FA15" s="38" t="s">
        <v>53</v>
      </c>
      <c r="FB15" s="19"/>
      <c r="FC15" s="51">
        <v>16</v>
      </c>
      <c r="FD15" s="20" t="s">
        <v>47</v>
      </c>
      <c r="FE15" s="20" t="s">
        <v>47</v>
      </c>
      <c r="FF15" s="20" t="s">
        <v>53</v>
      </c>
      <c r="FG15" s="20"/>
      <c r="FH15" s="20"/>
      <c r="FI15" s="20"/>
      <c r="FJ15" s="20"/>
      <c r="FK15" s="20" t="s">
        <v>53</v>
      </c>
      <c r="FL15" s="20"/>
      <c r="FM15" s="20" t="s">
        <v>47</v>
      </c>
      <c r="FN15" s="20"/>
      <c r="FO15" s="20" t="s">
        <v>47</v>
      </c>
      <c r="FP15" s="20"/>
      <c r="FQ15" s="20"/>
      <c r="FR15" s="20" t="s">
        <v>53</v>
      </c>
      <c r="FS15" s="20" t="s">
        <v>53</v>
      </c>
      <c r="FT15" s="20" t="s">
        <v>53</v>
      </c>
      <c r="FU15" s="20"/>
      <c r="FV15" s="20" t="s">
        <v>53</v>
      </c>
      <c r="FW15" s="20"/>
      <c r="FX15" s="20"/>
      <c r="FY15" s="20" t="s">
        <v>53</v>
      </c>
      <c r="FZ15" s="20"/>
      <c r="GA15" s="20" t="s">
        <v>53</v>
      </c>
      <c r="GB15" s="20" t="s">
        <v>53</v>
      </c>
      <c r="GC15" s="20"/>
      <c r="GD15" s="20"/>
      <c r="GE15" s="20"/>
      <c r="GF15" s="20" t="s">
        <v>53</v>
      </c>
      <c r="GG15" s="20" t="s">
        <v>53</v>
      </c>
      <c r="GH15" s="19"/>
      <c r="GI15" s="20" t="s">
        <v>47</v>
      </c>
      <c r="GJ15" s="20"/>
      <c r="GK15" s="20" t="s">
        <v>47</v>
      </c>
      <c r="GL15" s="20"/>
      <c r="GM15" s="20"/>
      <c r="GN15" s="20" t="s">
        <v>47</v>
      </c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85"/>
      <c r="HL15" s="86"/>
      <c r="HM15" s="20"/>
      <c r="HN15" s="20"/>
      <c r="HO15" s="20"/>
      <c r="HP15" s="20"/>
      <c r="HQ15" s="20"/>
      <c r="HR15" s="20"/>
      <c r="HS15" s="20"/>
      <c r="HT15" s="20"/>
      <c r="HU15" s="20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90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38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  <c r="LP15" s="19"/>
      <c r="LQ15" s="19"/>
      <c r="LR15" s="19"/>
      <c r="LS15" s="19"/>
      <c r="LT15" s="19"/>
      <c r="LU15" s="19"/>
      <c r="LV15" s="19"/>
      <c r="LW15" s="19"/>
      <c r="LX15" s="19"/>
      <c r="LY15" s="19"/>
      <c r="LZ15" s="19"/>
      <c r="MA15" s="19"/>
      <c r="MB15" s="19"/>
      <c r="MC15" s="19"/>
      <c r="MD15" s="19"/>
      <c r="ME15" s="19"/>
      <c r="MF15" s="19"/>
      <c r="MG15" s="19"/>
      <c r="MH15" s="19"/>
      <c r="MI15" s="19"/>
      <c r="MJ15" s="19"/>
      <c r="MK15" s="19"/>
      <c r="ML15" s="19"/>
      <c r="MM15" s="19"/>
      <c r="MN15" s="19"/>
      <c r="MO15" s="19"/>
      <c r="MP15" s="19"/>
      <c r="MQ15" s="19"/>
      <c r="MR15" s="19"/>
      <c r="MS15" s="19"/>
      <c r="MT15" s="19"/>
      <c r="MU15" s="19"/>
      <c r="MV15" s="45"/>
      <c r="MW15" s="45"/>
      <c r="MX15" s="45"/>
      <c r="MY15" s="45"/>
      <c r="MZ15" s="45"/>
      <c r="NA15" s="45"/>
      <c r="NB15" s="45"/>
      <c r="NC15" s="45"/>
      <c r="ND15" s="45"/>
      <c r="NE15" s="45"/>
      <c r="NF15" s="45"/>
      <c r="NG15" s="45"/>
      <c r="NH15" s="45"/>
      <c r="NI15" s="45"/>
      <c r="NJ15" s="45"/>
      <c r="NK15" s="45"/>
      <c r="NL15" s="45"/>
      <c r="NM15" s="45"/>
      <c r="NN15" s="45"/>
      <c r="NO15" s="45"/>
      <c r="NP15" s="45"/>
      <c r="NQ15" s="45"/>
      <c r="NR15" s="45"/>
      <c r="NS15" s="45"/>
      <c r="NT15" s="45"/>
      <c r="NU15" s="45"/>
      <c r="NV15" s="45"/>
      <c r="NW15" s="45"/>
      <c r="NX15" s="45"/>
      <c r="NY15" s="45"/>
      <c r="NZ15" s="45"/>
      <c r="OA15" s="45"/>
      <c r="OB15" s="45"/>
      <c r="OC15" s="45"/>
      <c r="OD15" s="45"/>
      <c r="OE15" s="45"/>
      <c r="OF15" s="45"/>
      <c r="OG15" s="45"/>
      <c r="OH15" s="45"/>
      <c r="OI15" s="45"/>
      <c r="OJ15" s="45"/>
      <c r="OK15" s="45"/>
      <c r="OL15" s="45"/>
      <c r="OM15" s="45"/>
      <c r="ON15" s="45"/>
      <c r="OO15" s="45"/>
      <c r="OP15" s="45"/>
      <c r="OQ15" s="117"/>
      <c r="OR15" s="117"/>
      <c r="OS15" s="19"/>
      <c r="OT15" s="19"/>
      <c r="OU15" s="19"/>
      <c r="OV15" s="19"/>
      <c r="OW15" s="19"/>
      <c r="OX15" s="19"/>
      <c r="OY15" s="19"/>
      <c r="OZ15" s="19"/>
      <c r="PA15" s="19"/>
      <c r="PB15" s="19"/>
      <c r="PC15" s="19"/>
      <c r="PD15" s="19"/>
      <c r="PE15" s="19"/>
      <c r="PF15" s="19"/>
      <c r="PG15" s="19"/>
      <c r="PH15" s="19"/>
      <c r="PI15" s="19"/>
      <c r="PJ15" s="19"/>
      <c r="PK15" s="19"/>
      <c r="PL15" s="19"/>
      <c r="PM15" s="19"/>
      <c r="PN15" s="19"/>
      <c r="PO15" s="19"/>
      <c r="PP15" s="19"/>
      <c r="PQ15" s="19"/>
      <c r="PR15" s="19"/>
      <c r="PS15" s="19"/>
      <c r="PT15" s="19"/>
      <c r="PU15" s="19"/>
      <c r="PV15" s="19"/>
      <c r="PW15" s="19"/>
      <c r="PX15" s="19"/>
      <c r="PY15" s="19"/>
      <c r="PZ15" s="19"/>
      <c r="QA15" s="19"/>
      <c r="QB15" s="19"/>
      <c r="QC15" s="19"/>
      <c r="QD15" s="19"/>
      <c r="QE15" s="19"/>
      <c r="QF15" s="19"/>
      <c r="QG15" s="19"/>
      <c r="QH15" s="19"/>
      <c r="QI15" s="19"/>
      <c r="QJ15" s="19"/>
      <c r="QK15" s="19"/>
      <c r="QL15" s="19"/>
      <c r="QM15" s="19"/>
      <c r="QN15" s="19"/>
      <c r="QO15" s="19"/>
      <c r="QP15" s="19"/>
      <c r="QQ15" s="19"/>
      <c r="QR15" s="19"/>
      <c r="QS15" s="19"/>
      <c r="QT15" s="19"/>
      <c r="QU15" s="19"/>
      <c r="QV15" s="19"/>
      <c r="QW15" s="19"/>
      <c r="QX15" s="19"/>
      <c r="QY15" s="19"/>
      <c r="QZ15" s="19"/>
      <c r="RA15" s="19"/>
      <c r="RB15" s="19"/>
      <c r="RC15" s="19"/>
      <c r="RD15" s="19"/>
      <c r="RE15" s="19"/>
      <c r="RF15" s="19"/>
      <c r="RG15" s="19"/>
      <c r="RH15" s="19"/>
      <c r="RI15" s="19"/>
      <c r="RJ15" s="19"/>
      <c r="RK15" s="19"/>
      <c r="RL15" s="19"/>
      <c r="RM15" s="19"/>
      <c r="RN15" s="19"/>
      <c r="RO15" s="19"/>
      <c r="RP15" s="19"/>
      <c r="RQ15" s="19"/>
      <c r="RR15" s="19"/>
      <c r="RS15" s="19"/>
      <c r="RT15" s="19"/>
      <c r="RU15" s="19"/>
      <c r="RV15" s="19"/>
      <c r="RW15" s="19"/>
      <c r="RX15" s="19"/>
      <c r="RY15" s="19"/>
      <c r="RZ15" s="19"/>
      <c r="SA15" s="19"/>
      <c r="SB15" s="19"/>
      <c r="SC15" s="19"/>
      <c r="SD15" s="38"/>
      <c r="SE15" s="19"/>
      <c r="SF15" s="19"/>
      <c r="SG15" s="19"/>
      <c r="SH15" s="19"/>
      <c r="SI15" s="19"/>
      <c r="SJ15" s="19"/>
      <c r="SK15" s="19"/>
      <c r="SL15" s="19"/>
      <c r="SM15" s="19"/>
      <c r="SN15" s="19"/>
      <c r="SO15" s="19"/>
      <c r="SP15" s="19"/>
      <c r="SQ15" s="19"/>
      <c r="SR15" s="19"/>
      <c r="SS15" s="19"/>
      <c r="ST15" s="19"/>
      <c r="SU15" s="19"/>
      <c r="SV15" s="19"/>
      <c r="SW15" s="19"/>
      <c r="SX15" s="19"/>
      <c r="SY15" s="19"/>
      <c r="SZ15" s="19"/>
      <c r="TA15" s="19"/>
      <c r="TB15" s="19"/>
      <c r="TC15" s="19"/>
      <c r="TD15" s="19"/>
      <c r="TE15" s="19"/>
      <c r="TF15" s="19"/>
      <c r="TG15" s="19"/>
      <c r="TH15" s="19"/>
      <c r="TI15" s="19"/>
    </row>
    <row r="16" spans="1:529">
      <c r="A16" s="21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30"/>
      <c r="AH16" s="20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8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 t="s">
        <v>53</v>
      </c>
      <c r="CA16" s="23"/>
      <c r="CB16" s="23"/>
      <c r="CC16" s="23"/>
      <c r="CD16" s="23"/>
      <c r="CE16" s="23"/>
      <c r="CF16" s="23"/>
      <c r="CG16" s="23"/>
      <c r="CH16" s="23" t="s">
        <v>47</v>
      </c>
      <c r="CI16" s="23" t="s">
        <v>47</v>
      </c>
      <c r="CJ16" s="23"/>
      <c r="CK16" s="23" t="s">
        <v>47</v>
      </c>
      <c r="CL16" s="23"/>
      <c r="CM16" s="23" t="s">
        <v>53</v>
      </c>
      <c r="CN16" s="23"/>
      <c r="CO16" s="23" t="s">
        <v>53</v>
      </c>
      <c r="CP16" s="23" t="s">
        <v>53</v>
      </c>
      <c r="CQ16" s="23"/>
      <c r="CR16" s="30">
        <v>6</v>
      </c>
      <c r="CS16" s="19" t="s">
        <v>47</v>
      </c>
      <c r="CT16" s="19"/>
      <c r="CU16" s="19"/>
      <c r="CV16" s="19"/>
      <c r="CW16" s="19" t="s">
        <v>53</v>
      </c>
      <c r="CX16" s="19" t="s">
        <v>47</v>
      </c>
      <c r="CY16" s="19"/>
      <c r="CZ16" s="19"/>
      <c r="DA16" s="19"/>
      <c r="DB16" s="19" t="s">
        <v>47</v>
      </c>
      <c r="DC16" s="19"/>
      <c r="DD16" s="19" t="s">
        <v>53</v>
      </c>
      <c r="DE16" s="19" t="s">
        <v>53</v>
      </c>
      <c r="DF16" s="19"/>
      <c r="DG16" s="19" t="s">
        <v>53</v>
      </c>
      <c r="DH16" s="19"/>
      <c r="DI16" s="19" t="s">
        <v>53</v>
      </c>
      <c r="DJ16" s="19"/>
      <c r="DK16" s="19" t="s">
        <v>53</v>
      </c>
      <c r="DL16" s="19" t="s">
        <v>53</v>
      </c>
      <c r="DM16" s="19"/>
      <c r="DN16" s="19"/>
      <c r="DO16" s="19"/>
      <c r="DP16" s="19" t="s">
        <v>53</v>
      </c>
      <c r="DQ16" s="19"/>
      <c r="DR16" s="19"/>
      <c r="DS16" s="19" t="s">
        <v>53</v>
      </c>
      <c r="DT16" s="19" t="s">
        <v>53</v>
      </c>
      <c r="DU16" s="19" t="s">
        <v>53</v>
      </c>
      <c r="DV16" s="19"/>
      <c r="DW16" s="30">
        <v>14</v>
      </c>
      <c r="DX16" s="19" t="s">
        <v>53</v>
      </c>
      <c r="DY16" s="19"/>
      <c r="DZ16" s="19" t="s">
        <v>53</v>
      </c>
      <c r="EA16" s="19" t="s">
        <v>47</v>
      </c>
      <c r="EB16" s="19"/>
      <c r="EC16" s="19"/>
      <c r="ED16" s="19"/>
      <c r="EE16" s="19" t="s">
        <v>53</v>
      </c>
      <c r="EF16" s="19" t="s">
        <v>53</v>
      </c>
      <c r="EG16" s="19"/>
      <c r="EH16" s="19" t="s">
        <v>53</v>
      </c>
      <c r="EI16" s="19"/>
      <c r="EJ16" s="19" t="s">
        <v>53</v>
      </c>
      <c r="EK16" s="19"/>
      <c r="EL16" s="19" t="s">
        <v>53</v>
      </c>
      <c r="EM16" s="19"/>
      <c r="EN16" s="19" t="s">
        <v>53</v>
      </c>
      <c r="EO16" s="19" t="s">
        <v>53</v>
      </c>
      <c r="EP16" s="19"/>
      <c r="EQ16" s="19"/>
      <c r="ER16" s="19"/>
      <c r="ES16" s="19"/>
      <c r="ET16" s="19"/>
      <c r="EU16" s="19" t="s">
        <v>53</v>
      </c>
      <c r="EV16" s="19" t="s">
        <v>53</v>
      </c>
      <c r="EW16" s="19"/>
      <c r="EX16" s="19" t="s">
        <v>53</v>
      </c>
      <c r="EY16" s="19"/>
      <c r="EZ16" s="19" t="s">
        <v>53</v>
      </c>
      <c r="FA16" s="38"/>
      <c r="FB16" s="19" t="s">
        <v>53</v>
      </c>
      <c r="FC16" s="51">
        <v>15</v>
      </c>
      <c r="FD16" s="20"/>
      <c r="FE16" s="20"/>
      <c r="FF16" s="20"/>
      <c r="FG16" s="20" t="s">
        <v>53</v>
      </c>
      <c r="FH16" s="20"/>
      <c r="FI16" s="20" t="s">
        <v>53</v>
      </c>
      <c r="FJ16" s="20" t="s">
        <v>53</v>
      </c>
      <c r="FK16" s="20"/>
      <c r="FL16" s="20" t="s">
        <v>53</v>
      </c>
      <c r="FM16" s="20"/>
      <c r="FN16" s="20" t="s">
        <v>53</v>
      </c>
      <c r="FO16" s="20"/>
      <c r="FP16" s="20" t="s">
        <v>53</v>
      </c>
      <c r="FQ16" s="20" t="s">
        <v>53</v>
      </c>
      <c r="FR16" s="20"/>
      <c r="FS16" s="20"/>
      <c r="FT16" s="20"/>
      <c r="FU16" s="20" t="s">
        <v>53</v>
      </c>
      <c r="FV16" s="20"/>
      <c r="FW16" s="20" t="s">
        <v>53</v>
      </c>
      <c r="FX16" s="20" t="s">
        <v>53</v>
      </c>
      <c r="FY16" s="20"/>
      <c r="FZ16" s="20" t="s">
        <v>53</v>
      </c>
      <c r="GA16" s="20"/>
      <c r="GB16" s="20"/>
      <c r="GC16" s="20" t="s">
        <v>53</v>
      </c>
      <c r="GD16" s="20" t="s">
        <v>53</v>
      </c>
      <c r="GE16" s="20" t="s">
        <v>53</v>
      </c>
      <c r="GF16" s="20"/>
      <c r="GG16" s="20"/>
      <c r="GH16" s="19"/>
      <c r="GI16" s="20"/>
      <c r="GJ16" s="20" t="s">
        <v>53</v>
      </c>
      <c r="GK16" s="20"/>
      <c r="GL16" s="20" t="s">
        <v>53</v>
      </c>
      <c r="GM16" s="20" t="s">
        <v>53</v>
      </c>
      <c r="GN16" s="20"/>
      <c r="GO16" s="20"/>
      <c r="GP16" s="20"/>
      <c r="GQ16" s="20" t="s">
        <v>53</v>
      </c>
      <c r="GR16" s="20"/>
      <c r="GS16" s="20" t="s">
        <v>53</v>
      </c>
      <c r="GT16" s="20" t="s">
        <v>53</v>
      </c>
      <c r="GU16" s="20"/>
      <c r="GV16" s="20"/>
      <c r="GW16" s="20"/>
      <c r="GX16" s="20"/>
      <c r="GY16" s="20"/>
      <c r="GZ16" s="20"/>
      <c r="HA16" s="20"/>
      <c r="HB16" s="20"/>
      <c r="HC16" s="20" t="s">
        <v>53</v>
      </c>
      <c r="HD16" s="20"/>
      <c r="HE16" s="20" t="s">
        <v>53</v>
      </c>
      <c r="HF16" s="20" t="s">
        <v>53</v>
      </c>
      <c r="HG16" s="20"/>
      <c r="HH16" s="20"/>
      <c r="HI16" s="20"/>
      <c r="HJ16" s="20"/>
      <c r="HK16" s="85"/>
      <c r="HL16" s="86">
        <v>9</v>
      </c>
      <c r="HM16" s="20"/>
      <c r="HN16" s="20"/>
      <c r="HO16" s="20"/>
      <c r="HP16" s="20"/>
      <c r="HQ16" s="20"/>
      <c r="HR16" s="20"/>
      <c r="HS16" s="20"/>
      <c r="HT16" s="20"/>
      <c r="HU16" s="20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90"/>
      <c r="IS16" s="19"/>
      <c r="IT16" s="19"/>
      <c r="IU16" s="19"/>
      <c r="IV16" s="19"/>
      <c r="IW16" s="19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19"/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38"/>
      <c r="KW16" s="19"/>
      <c r="KX16" s="19"/>
      <c r="KY16" s="19"/>
      <c r="KZ16" s="19"/>
      <c r="LA16" s="19"/>
      <c r="LB16" s="19"/>
      <c r="LC16" s="19"/>
      <c r="LD16" s="19"/>
      <c r="LE16" s="19"/>
      <c r="LF16" s="19"/>
      <c r="LG16" s="19"/>
      <c r="LH16" s="19"/>
      <c r="LI16" s="19"/>
      <c r="LJ16" s="19"/>
      <c r="LK16" s="19"/>
      <c r="LL16" s="19"/>
      <c r="LM16" s="19"/>
      <c r="LN16" s="19"/>
      <c r="LO16" s="19"/>
      <c r="LP16" s="19"/>
      <c r="LQ16" s="19"/>
      <c r="LR16" s="19"/>
      <c r="LS16" s="19"/>
      <c r="LT16" s="19"/>
      <c r="LU16" s="19"/>
      <c r="LV16" s="19"/>
      <c r="LW16" s="19"/>
      <c r="LX16" s="19"/>
      <c r="LY16" s="19"/>
      <c r="LZ16" s="19"/>
      <c r="MA16" s="19"/>
      <c r="MB16" s="19"/>
      <c r="MC16" s="19"/>
      <c r="MD16" s="19"/>
      <c r="ME16" s="19"/>
      <c r="MF16" s="19"/>
      <c r="MG16" s="19"/>
      <c r="MH16" s="19"/>
      <c r="MI16" s="19"/>
      <c r="MJ16" s="19"/>
      <c r="MK16" s="19"/>
      <c r="ML16" s="19"/>
      <c r="MM16" s="19"/>
      <c r="MN16" s="19"/>
      <c r="MO16" s="19"/>
      <c r="MP16" s="19"/>
      <c r="MQ16" s="19"/>
      <c r="MR16" s="19"/>
      <c r="MS16" s="19"/>
      <c r="MT16" s="19"/>
      <c r="MU16" s="19"/>
      <c r="MV16" s="45"/>
      <c r="MW16" s="45"/>
      <c r="MX16" s="45"/>
      <c r="MY16" s="45"/>
      <c r="MZ16" s="45"/>
      <c r="NA16" s="45"/>
      <c r="NB16" s="45"/>
      <c r="NC16" s="45"/>
      <c r="ND16" s="45"/>
      <c r="NE16" s="45"/>
      <c r="NF16" s="45"/>
      <c r="NG16" s="45"/>
      <c r="NH16" s="45"/>
      <c r="NI16" s="45"/>
      <c r="NJ16" s="45"/>
      <c r="NK16" s="45"/>
      <c r="NL16" s="45"/>
      <c r="NM16" s="45"/>
      <c r="NN16" s="45"/>
      <c r="NO16" s="45"/>
      <c r="NP16" s="45"/>
      <c r="NQ16" s="45"/>
      <c r="NR16" s="45"/>
      <c r="NS16" s="45"/>
      <c r="NT16" s="45"/>
      <c r="NU16" s="45"/>
      <c r="NV16" s="45"/>
      <c r="NW16" s="45"/>
      <c r="NX16" s="45"/>
      <c r="NY16" s="45"/>
      <c r="NZ16" s="45"/>
      <c r="OA16" s="45"/>
      <c r="OB16" s="45"/>
      <c r="OC16" s="45"/>
      <c r="OD16" s="45"/>
      <c r="OE16" s="45"/>
      <c r="OF16" s="45"/>
      <c r="OG16" s="45"/>
      <c r="OH16" s="45"/>
      <c r="OI16" s="45"/>
      <c r="OJ16" s="45"/>
      <c r="OK16" s="45"/>
      <c r="OL16" s="45"/>
      <c r="OM16" s="45"/>
      <c r="ON16" s="45"/>
      <c r="OO16" s="45"/>
      <c r="OP16" s="45"/>
      <c r="OQ16" s="117"/>
      <c r="OR16" s="117"/>
      <c r="OS16" s="19"/>
      <c r="OT16" s="19"/>
      <c r="OU16" s="19"/>
      <c r="OV16" s="19"/>
      <c r="OW16" s="19"/>
      <c r="OX16" s="19"/>
      <c r="OY16" s="19"/>
      <c r="OZ16" s="19"/>
      <c r="PA16" s="19"/>
      <c r="PB16" s="19"/>
      <c r="PC16" s="19"/>
      <c r="PD16" s="19"/>
      <c r="PE16" s="19"/>
      <c r="PF16" s="19"/>
      <c r="PG16" s="19"/>
      <c r="PH16" s="19"/>
      <c r="PI16" s="19"/>
      <c r="PJ16" s="19"/>
      <c r="PK16" s="19"/>
      <c r="PL16" s="19"/>
      <c r="PM16" s="19"/>
      <c r="PN16" s="19"/>
      <c r="PO16" s="19"/>
      <c r="PP16" s="19"/>
      <c r="PQ16" s="19"/>
      <c r="PR16" s="19"/>
      <c r="PS16" s="19"/>
      <c r="PT16" s="19"/>
      <c r="PU16" s="19"/>
      <c r="PV16" s="19"/>
      <c r="PW16" s="19"/>
      <c r="PX16" s="19"/>
      <c r="PY16" s="19"/>
      <c r="PZ16" s="19"/>
      <c r="QA16" s="19"/>
      <c r="QB16" s="19"/>
      <c r="QC16" s="19"/>
      <c r="QD16" s="19"/>
      <c r="QE16" s="19"/>
      <c r="QF16" s="19"/>
      <c r="QG16" s="19"/>
      <c r="QH16" s="19"/>
      <c r="QI16" s="19"/>
      <c r="QJ16" s="19"/>
      <c r="QK16" s="19"/>
      <c r="QL16" s="19"/>
      <c r="QM16" s="19"/>
      <c r="QN16" s="19"/>
      <c r="QO16" s="19"/>
      <c r="QP16" s="19"/>
      <c r="QQ16" s="19"/>
      <c r="QR16" s="19"/>
      <c r="QS16" s="19"/>
      <c r="QT16" s="19"/>
      <c r="QU16" s="19"/>
      <c r="QV16" s="19"/>
      <c r="QW16" s="19"/>
      <c r="QX16" s="19"/>
      <c r="QY16" s="19"/>
      <c r="QZ16" s="19"/>
      <c r="RA16" s="19"/>
      <c r="RB16" s="19"/>
      <c r="RC16" s="19"/>
      <c r="RD16" s="19"/>
      <c r="RE16" s="19"/>
      <c r="RF16" s="19"/>
      <c r="RG16" s="19"/>
      <c r="RH16" s="19"/>
      <c r="RI16" s="19"/>
      <c r="RJ16" s="19"/>
      <c r="RK16" s="19"/>
      <c r="RL16" s="19"/>
      <c r="RM16" s="19"/>
      <c r="RN16" s="19"/>
      <c r="RO16" s="19"/>
      <c r="RP16" s="19"/>
      <c r="RQ16" s="19"/>
      <c r="RR16" s="19"/>
      <c r="RS16" s="19"/>
      <c r="RT16" s="19"/>
      <c r="RU16" s="19"/>
      <c r="RV16" s="19"/>
      <c r="RW16" s="19"/>
      <c r="RX16" s="19"/>
      <c r="RY16" s="19"/>
      <c r="RZ16" s="19"/>
      <c r="SA16" s="19"/>
      <c r="SB16" s="19"/>
      <c r="SC16" s="19"/>
      <c r="SD16" s="38"/>
      <c r="SE16" s="19"/>
      <c r="SF16" s="19"/>
      <c r="SG16" s="19"/>
      <c r="SH16" s="19"/>
      <c r="SI16" s="19"/>
      <c r="SJ16" s="19"/>
      <c r="SK16" s="19"/>
      <c r="SL16" s="19"/>
      <c r="SM16" s="19"/>
      <c r="SN16" s="19"/>
      <c r="SO16" s="19"/>
      <c r="SP16" s="19"/>
      <c r="SQ16" s="19"/>
      <c r="SR16" s="19"/>
      <c r="SS16" s="19"/>
      <c r="ST16" s="19"/>
      <c r="SU16" s="19"/>
      <c r="SV16" s="19"/>
      <c r="SW16" s="19"/>
      <c r="SX16" s="19"/>
      <c r="SY16" s="19"/>
      <c r="SZ16" s="19"/>
      <c r="TA16" s="19"/>
      <c r="TB16" s="19"/>
      <c r="TC16" s="19"/>
      <c r="TD16" s="19"/>
      <c r="TE16" s="19"/>
      <c r="TF16" s="19"/>
      <c r="TG16" s="19"/>
      <c r="TH16" s="19"/>
      <c r="TI16" s="19"/>
    </row>
    <row r="17" spans="1:529">
      <c r="A17" s="21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3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8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30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30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38"/>
      <c r="FB17" s="19"/>
      <c r="FC17" s="51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84"/>
      <c r="HL17" s="87"/>
      <c r="HM17" s="19">
        <v>12.5</v>
      </c>
      <c r="HN17" s="19">
        <v>13.5</v>
      </c>
      <c r="HO17" s="19">
        <v>13.5</v>
      </c>
      <c r="HP17" s="19">
        <v>13.5</v>
      </c>
      <c r="HQ17" s="19">
        <v>13.5</v>
      </c>
      <c r="HR17" s="19">
        <v>13.5</v>
      </c>
      <c r="HS17" s="19">
        <v>12.5</v>
      </c>
      <c r="HT17" s="19">
        <v>7.5</v>
      </c>
      <c r="HU17" s="19">
        <v>13.5</v>
      </c>
      <c r="HV17" s="19">
        <v>13.5</v>
      </c>
      <c r="HW17" s="19">
        <v>13.5</v>
      </c>
      <c r="HX17" s="19">
        <v>13.5</v>
      </c>
      <c r="HY17" s="19">
        <v>13.5</v>
      </c>
      <c r="HZ17" s="19">
        <v>12.5</v>
      </c>
      <c r="IA17" s="19">
        <v>12.5</v>
      </c>
      <c r="IB17" s="19">
        <v>13.5</v>
      </c>
      <c r="IC17" s="19">
        <v>13.5</v>
      </c>
      <c r="ID17" s="19">
        <v>13.5</v>
      </c>
      <c r="IE17" s="19">
        <v>13.5</v>
      </c>
      <c r="IF17" s="19">
        <v>13.5</v>
      </c>
      <c r="IG17" s="19">
        <v>12.5</v>
      </c>
      <c r="IH17" s="19">
        <v>12.5</v>
      </c>
      <c r="II17" s="19">
        <v>13.5</v>
      </c>
      <c r="IJ17" s="19">
        <v>13.5</v>
      </c>
      <c r="IK17" s="19">
        <v>13.5</v>
      </c>
      <c r="IL17" s="19">
        <v>13.5</v>
      </c>
      <c r="IM17" s="19">
        <v>13.5</v>
      </c>
      <c r="IN17" s="19"/>
      <c r="IO17" s="19"/>
      <c r="IP17" s="19"/>
      <c r="IQ17" s="19"/>
      <c r="IR17" s="90">
        <f t="shared" si="0"/>
        <v>352.5</v>
      </c>
      <c r="IS17" s="19"/>
      <c r="IT17" s="19"/>
      <c r="IU17" s="19"/>
      <c r="IV17" s="19"/>
      <c r="IW17" s="19"/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/>
      <c r="JK17" s="19"/>
      <c r="JL17" s="19"/>
      <c r="JM17" s="19"/>
      <c r="JN17" s="19"/>
      <c r="JO17" s="19"/>
      <c r="JP17" s="19"/>
      <c r="JQ17" s="19"/>
      <c r="JR17" s="19"/>
      <c r="JS17" s="19"/>
      <c r="JT17" s="19"/>
      <c r="JU17" s="19"/>
      <c r="JV17" s="19"/>
      <c r="JW17" s="19"/>
      <c r="JX17" s="19"/>
      <c r="JY17" s="19"/>
      <c r="JZ17" s="19"/>
      <c r="KA17" s="19"/>
      <c r="KB17" s="19"/>
      <c r="KC17" s="19"/>
      <c r="KD17" s="19"/>
      <c r="KE17" s="19"/>
      <c r="KF17" s="19"/>
      <c r="KG17" s="19"/>
      <c r="KH17" s="19"/>
      <c r="KI17" s="19"/>
      <c r="KJ17" s="19"/>
      <c r="KK17" s="19"/>
      <c r="KL17" s="19"/>
      <c r="KM17" s="19"/>
      <c r="KN17" s="19"/>
      <c r="KO17" s="19"/>
      <c r="KP17" s="19"/>
      <c r="KQ17" s="19"/>
      <c r="KR17" s="19"/>
      <c r="KS17" s="19"/>
      <c r="KT17" s="19"/>
      <c r="KU17" s="19"/>
      <c r="KV17" s="38"/>
      <c r="KW17" s="19"/>
      <c r="KX17" s="19"/>
      <c r="KY17" s="19"/>
      <c r="KZ17" s="19"/>
      <c r="LA17" s="19"/>
      <c r="LB17" s="19"/>
      <c r="LC17" s="19"/>
      <c r="LD17" s="19"/>
      <c r="LE17" s="19"/>
      <c r="LF17" s="19"/>
      <c r="LG17" s="19"/>
      <c r="LH17" s="19"/>
      <c r="LI17" s="19"/>
      <c r="LJ17" s="19"/>
      <c r="LK17" s="19"/>
      <c r="LL17" s="19"/>
      <c r="LM17" s="19"/>
      <c r="LN17" s="19"/>
      <c r="LO17" s="19"/>
      <c r="LP17" s="19"/>
      <c r="LQ17" s="19"/>
      <c r="LR17" s="19"/>
      <c r="LS17" s="19"/>
      <c r="LT17" s="19"/>
      <c r="LU17" s="19"/>
      <c r="LV17" s="19"/>
      <c r="LW17" s="19"/>
      <c r="LX17" s="19"/>
      <c r="LY17" s="19"/>
      <c r="LZ17" s="19"/>
      <c r="MA17" s="19"/>
      <c r="MB17" s="19"/>
      <c r="MC17" s="19"/>
      <c r="MD17" s="19"/>
      <c r="ME17" s="19"/>
      <c r="MF17" s="19"/>
      <c r="MG17" s="19"/>
      <c r="MH17" s="19"/>
      <c r="MI17" s="19"/>
      <c r="MJ17" s="19"/>
      <c r="MK17" s="19"/>
      <c r="ML17" s="19"/>
      <c r="MM17" s="19"/>
      <c r="MN17" s="19"/>
      <c r="MO17" s="19"/>
      <c r="MP17" s="19"/>
      <c r="MQ17" s="19"/>
      <c r="MR17" s="19"/>
      <c r="MS17" s="19"/>
      <c r="MT17" s="19"/>
      <c r="MU17" s="19"/>
      <c r="MV17" s="45"/>
      <c r="MW17" s="45"/>
      <c r="MX17" s="45"/>
      <c r="MY17" s="45"/>
      <c r="MZ17" s="45"/>
      <c r="NA17" s="45"/>
      <c r="NB17" s="45"/>
      <c r="NC17" s="45"/>
      <c r="ND17" s="45"/>
      <c r="NE17" s="45"/>
      <c r="NF17" s="45"/>
      <c r="NG17" s="45"/>
      <c r="NH17" s="45"/>
      <c r="NI17" s="45"/>
      <c r="NJ17" s="45"/>
      <c r="NK17" s="45"/>
      <c r="NL17" s="45"/>
      <c r="NM17" s="45"/>
      <c r="NN17" s="45"/>
      <c r="NO17" s="45"/>
      <c r="NP17" s="45"/>
      <c r="NQ17" s="45"/>
      <c r="NR17" s="45"/>
      <c r="NS17" s="45"/>
      <c r="NT17" s="45"/>
      <c r="NU17" s="45"/>
      <c r="NV17" s="45"/>
      <c r="NW17" s="45"/>
      <c r="NX17" s="45"/>
      <c r="NY17" s="45"/>
      <c r="NZ17" s="45"/>
      <c r="OA17" s="45"/>
      <c r="OB17" s="45"/>
      <c r="OC17" s="45"/>
      <c r="OD17" s="45"/>
      <c r="OE17" s="45"/>
      <c r="OF17" s="45"/>
      <c r="OG17" s="45"/>
      <c r="OH17" s="45"/>
      <c r="OI17" s="45"/>
      <c r="OJ17" s="45"/>
      <c r="OK17" s="45"/>
      <c r="OL17" s="45"/>
      <c r="OM17" s="45"/>
      <c r="ON17" s="45"/>
      <c r="OO17" s="45"/>
      <c r="OP17" s="45"/>
      <c r="OQ17" s="117"/>
      <c r="OR17" s="117"/>
      <c r="OS17" s="19"/>
      <c r="OT17" s="19"/>
      <c r="OU17" s="19"/>
      <c r="OV17" s="19"/>
      <c r="OW17" s="19"/>
      <c r="OX17" s="19"/>
      <c r="OY17" s="19"/>
      <c r="OZ17" s="19"/>
      <c r="PA17" s="19"/>
      <c r="PB17" s="19"/>
      <c r="PC17" s="19"/>
      <c r="PD17" s="19"/>
      <c r="PE17" s="19"/>
      <c r="PF17" s="19"/>
      <c r="PG17" s="19"/>
      <c r="PH17" s="19"/>
      <c r="PI17" s="19"/>
      <c r="PJ17" s="19"/>
      <c r="PK17" s="19"/>
      <c r="PL17" s="19"/>
      <c r="PM17" s="19"/>
      <c r="PN17" s="19"/>
      <c r="PO17" s="19"/>
      <c r="PP17" s="19"/>
      <c r="PQ17" s="19"/>
      <c r="PR17" s="19"/>
      <c r="PS17" s="19"/>
      <c r="PT17" s="19"/>
      <c r="PU17" s="19"/>
      <c r="PV17" s="19"/>
      <c r="PW17" s="19"/>
      <c r="PX17" s="19"/>
      <c r="PY17" s="19"/>
      <c r="PZ17" s="19"/>
      <c r="QA17" s="19"/>
      <c r="QB17" s="19"/>
      <c r="QC17" s="19"/>
      <c r="QD17" s="19"/>
      <c r="QE17" s="19"/>
      <c r="QF17" s="19"/>
      <c r="QG17" s="19"/>
      <c r="QH17" s="19"/>
      <c r="QI17" s="19"/>
      <c r="QJ17" s="19"/>
      <c r="QK17" s="19"/>
      <c r="QL17" s="19"/>
      <c r="QM17" s="19"/>
      <c r="QN17" s="19"/>
      <c r="QO17" s="19"/>
      <c r="QP17" s="19"/>
      <c r="QQ17" s="19"/>
      <c r="QR17" s="19"/>
      <c r="QS17" s="19"/>
      <c r="QT17" s="19"/>
      <c r="QU17" s="19"/>
      <c r="QV17" s="19"/>
      <c r="QW17" s="19"/>
      <c r="QX17" s="19"/>
      <c r="QY17" s="19"/>
      <c r="QZ17" s="19"/>
      <c r="RA17" s="19"/>
      <c r="RB17" s="19"/>
      <c r="RC17" s="19"/>
      <c r="RD17" s="19"/>
      <c r="RE17" s="19"/>
      <c r="RF17" s="19"/>
      <c r="RG17" s="19"/>
      <c r="RH17" s="19"/>
      <c r="RI17" s="19"/>
      <c r="RJ17" s="19"/>
      <c r="RK17" s="19"/>
      <c r="RL17" s="19"/>
      <c r="RM17" s="19"/>
      <c r="RN17" s="19"/>
      <c r="RO17" s="19"/>
      <c r="RP17" s="19"/>
      <c r="RQ17" s="19"/>
      <c r="RR17" s="19"/>
      <c r="RS17" s="19"/>
      <c r="RT17" s="19"/>
      <c r="RU17" s="19"/>
      <c r="RV17" s="19"/>
      <c r="RW17" s="19"/>
      <c r="RX17" s="19"/>
      <c r="RY17" s="19"/>
      <c r="RZ17" s="19"/>
      <c r="SA17" s="19"/>
      <c r="SB17" s="19"/>
      <c r="SC17" s="19"/>
      <c r="SD17" s="38"/>
      <c r="SE17" s="19"/>
      <c r="SF17" s="19"/>
      <c r="SG17" s="19"/>
      <c r="SH17" s="19"/>
      <c r="SI17" s="19"/>
      <c r="SJ17" s="19"/>
      <c r="SK17" s="19"/>
      <c r="SL17" s="19"/>
      <c r="SM17" s="19"/>
      <c r="SN17" s="19"/>
      <c r="SO17" s="19"/>
      <c r="SP17" s="19"/>
      <c r="SQ17" s="19"/>
      <c r="SR17" s="19"/>
      <c r="SS17" s="19"/>
      <c r="ST17" s="19"/>
      <c r="SU17" s="19"/>
      <c r="SV17" s="19"/>
      <c r="SW17" s="19"/>
      <c r="SX17" s="19"/>
      <c r="SY17" s="19"/>
      <c r="SZ17" s="19"/>
      <c r="TA17" s="19"/>
      <c r="TB17" s="19"/>
      <c r="TC17" s="19"/>
      <c r="TD17" s="19"/>
      <c r="TE17" s="19"/>
      <c r="TF17" s="19"/>
      <c r="TG17" s="19"/>
      <c r="TH17" s="19"/>
      <c r="TI17" s="19"/>
    </row>
    <row r="18" spans="1:529">
      <c r="A18" s="2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3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8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30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30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38"/>
      <c r="FB18" s="19"/>
      <c r="FC18" s="51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84"/>
      <c r="HL18" s="87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90"/>
      <c r="IS18" s="19"/>
      <c r="IT18" s="19"/>
      <c r="IU18" s="19"/>
      <c r="IV18" s="19"/>
      <c r="IW18" s="19"/>
      <c r="IX18" s="19"/>
      <c r="IY18" s="19"/>
      <c r="IZ18" s="19"/>
      <c r="JA18" s="19"/>
      <c r="JB18" s="19"/>
      <c r="JC18" s="19"/>
      <c r="JD18" s="19"/>
      <c r="JE18" s="19"/>
      <c r="JF18" s="19"/>
      <c r="JG18" s="19"/>
      <c r="JH18" s="19"/>
      <c r="JI18" s="19"/>
      <c r="JJ18" s="19"/>
      <c r="JK18" s="19"/>
      <c r="JL18" s="19"/>
      <c r="JM18" s="19"/>
      <c r="JN18" s="19"/>
      <c r="JO18" s="19"/>
      <c r="JP18" s="19"/>
      <c r="JQ18" s="19"/>
      <c r="JR18" s="19"/>
      <c r="JS18" s="19"/>
      <c r="JT18" s="19"/>
      <c r="JU18" s="19"/>
      <c r="JV18" s="19"/>
      <c r="JW18" s="19"/>
      <c r="JX18" s="19"/>
      <c r="JY18" s="19"/>
      <c r="JZ18" s="19"/>
      <c r="KA18" s="19"/>
      <c r="KB18" s="19"/>
      <c r="KC18" s="19"/>
      <c r="KD18" s="19"/>
      <c r="KE18" s="19"/>
      <c r="KF18" s="19"/>
      <c r="KG18" s="19"/>
      <c r="KH18" s="19"/>
      <c r="KI18" s="19"/>
      <c r="KJ18" s="19"/>
      <c r="KK18" s="19"/>
      <c r="KL18" s="19"/>
      <c r="KM18" s="19"/>
      <c r="KN18" s="19"/>
      <c r="KO18" s="19"/>
      <c r="KP18" s="19"/>
      <c r="KQ18" s="19"/>
      <c r="KR18" s="19"/>
      <c r="KS18" s="19"/>
      <c r="KT18" s="19"/>
      <c r="KU18" s="19"/>
      <c r="KV18" s="38"/>
      <c r="KW18" s="19"/>
      <c r="KX18" s="19"/>
      <c r="KY18" s="19"/>
      <c r="KZ18" s="19"/>
      <c r="LA18" s="19"/>
      <c r="LB18" s="19"/>
      <c r="LC18" s="19"/>
      <c r="LD18" s="19"/>
      <c r="LE18" s="19"/>
      <c r="LF18" s="19"/>
      <c r="LG18" s="19"/>
      <c r="LH18" s="19"/>
      <c r="LI18" s="19"/>
      <c r="LJ18" s="19"/>
      <c r="LK18" s="19"/>
      <c r="LL18" s="19"/>
      <c r="LM18" s="19"/>
      <c r="LN18" s="19"/>
      <c r="LO18" s="19"/>
      <c r="LP18" s="19"/>
      <c r="LQ18" s="19"/>
      <c r="LR18" s="19"/>
      <c r="LS18" s="19"/>
      <c r="LT18" s="19"/>
      <c r="LU18" s="19"/>
      <c r="LV18" s="19"/>
      <c r="LW18" s="19"/>
      <c r="LX18" s="19"/>
      <c r="LY18" s="19"/>
      <c r="LZ18" s="19"/>
      <c r="MA18" s="19"/>
      <c r="MB18" s="19"/>
      <c r="MC18" s="19"/>
      <c r="MD18" s="19"/>
      <c r="ME18" s="19"/>
      <c r="MF18" s="19"/>
      <c r="MG18" s="19"/>
      <c r="MH18" s="19"/>
      <c r="MI18" s="19"/>
      <c r="MJ18" s="19"/>
      <c r="MK18" s="19"/>
      <c r="ML18" s="19"/>
      <c r="MM18" s="19"/>
      <c r="MN18" s="19"/>
      <c r="MO18" s="19"/>
      <c r="MP18" s="19"/>
      <c r="MQ18" s="19"/>
      <c r="MR18" s="19"/>
      <c r="MS18" s="19"/>
      <c r="MT18" s="19"/>
      <c r="MU18" s="19"/>
      <c r="MV18" s="45"/>
      <c r="MW18" s="45"/>
      <c r="MX18" s="45"/>
      <c r="MY18" s="45"/>
      <c r="MZ18" s="45"/>
      <c r="NA18" s="45"/>
      <c r="NB18" s="45"/>
      <c r="NC18" s="45"/>
      <c r="ND18" s="45"/>
      <c r="NE18" s="45"/>
      <c r="NF18" s="45"/>
      <c r="NG18" s="45"/>
      <c r="NH18" s="45"/>
      <c r="NI18" s="45"/>
      <c r="NJ18" s="45"/>
      <c r="NK18" s="45"/>
      <c r="NL18" s="45"/>
      <c r="NM18" s="45"/>
      <c r="NN18" s="45"/>
      <c r="NO18" s="45"/>
      <c r="NP18" s="45"/>
      <c r="NQ18" s="45"/>
      <c r="NR18" s="45"/>
      <c r="NS18" s="45"/>
      <c r="NT18" s="45"/>
      <c r="NU18" s="45"/>
      <c r="NV18" s="45"/>
      <c r="NW18" s="45"/>
      <c r="NX18" s="45"/>
      <c r="NY18" s="45"/>
      <c r="NZ18" s="45"/>
      <c r="OA18" s="45"/>
      <c r="OB18" s="45"/>
      <c r="OC18" s="45"/>
      <c r="OD18" s="45"/>
      <c r="OE18" s="45"/>
      <c r="OF18" s="45"/>
      <c r="OG18" s="45"/>
      <c r="OH18" s="45"/>
      <c r="OI18" s="45"/>
      <c r="OJ18" s="45"/>
      <c r="OK18" s="45"/>
      <c r="OL18" s="45"/>
      <c r="OM18" s="45"/>
      <c r="ON18" s="45"/>
      <c r="OO18" s="45"/>
      <c r="OP18" s="45"/>
      <c r="OQ18" s="117"/>
      <c r="OR18" s="117"/>
      <c r="OS18" s="19"/>
      <c r="OT18" s="19"/>
      <c r="OU18" s="19"/>
      <c r="OV18" s="19"/>
      <c r="OW18" s="19"/>
      <c r="OX18" s="19"/>
      <c r="OY18" s="19"/>
      <c r="OZ18" s="19"/>
      <c r="PA18" s="19"/>
      <c r="PB18" s="19"/>
      <c r="PC18" s="19"/>
      <c r="PD18" s="19"/>
      <c r="PE18" s="19"/>
      <c r="PF18" s="19"/>
      <c r="PG18" s="19"/>
      <c r="PH18" s="19"/>
      <c r="PI18" s="19"/>
      <c r="PJ18" s="19"/>
      <c r="PK18" s="19"/>
      <c r="PL18" s="19"/>
      <c r="PM18" s="19"/>
      <c r="PN18" s="19"/>
      <c r="PO18" s="19"/>
      <c r="PP18" s="19"/>
      <c r="PQ18" s="19"/>
      <c r="PR18" s="19"/>
      <c r="PS18" s="19"/>
      <c r="PT18" s="19"/>
      <c r="PU18" s="19"/>
      <c r="PV18" s="19"/>
      <c r="PW18" s="19"/>
      <c r="PX18" s="19"/>
      <c r="PY18" s="19"/>
      <c r="PZ18" s="19"/>
      <c r="QA18" s="19"/>
      <c r="QB18" s="19"/>
      <c r="QC18" s="19"/>
      <c r="QD18" s="19"/>
      <c r="QE18" s="19"/>
      <c r="QF18" s="19"/>
      <c r="QG18" s="19"/>
      <c r="QH18" s="19"/>
      <c r="QI18" s="19"/>
      <c r="QJ18" s="19"/>
      <c r="QK18" s="19"/>
      <c r="QL18" s="19"/>
      <c r="QM18" s="19"/>
      <c r="QN18" s="19"/>
      <c r="QO18" s="19"/>
      <c r="QP18" s="19"/>
      <c r="QQ18" s="19"/>
      <c r="QR18" s="19"/>
      <c r="QS18" s="19"/>
      <c r="QT18" s="19"/>
      <c r="QU18" s="19"/>
      <c r="QV18" s="19"/>
      <c r="QW18" s="19"/>
      <c r="QX18" s="19"/>
      <c r="QY18" s="19"/>
      <c r="QZ18" s="19"/>
      <c r="RA18" s="19"/>
      <c r="RB18" s="19"/>
      <c r="RC18" s="19"/>
      <c r="RD18" s="19"/>
      <c r="RE18" s="19"/>
      <c r="RF18" s="19"/>
      <c r="RG18" s="19"/>
      <c r="RH18" s="19"/>
      <c r="RI18" s="19"/>
      <c r="RJ18" s="19"/>
      <c r="RK18" s="19"/>
      <c r="RL18" s="19"/>
      <c r="RM18" s="19"/>
      <c r="RN18" s="19"/>
      <c r="RO18" s="19"/>
      <c r="RP18" s="19"/>
      <c r="RQ18" s="19"/>
      <c r="RR18" s="19"/>
      <c r="RS18" s="19"/>
      <c r="RT18" s="19"/>
      <c r="RU18" s="19"/>
      <c r="RV18" s="19"/>
      <c r="RW18" s="19"/>
      <c r="RX18" s="19"/>
      <c r="RY18" s="19"/>
      <c r="RZ18" s="19"/>
      <c r="SA18" s="19"/>
      <c r="SB18" s="19"/>
      <c r="SC18" s="19"/>
      <c r="SD18" s="38"/>
      <c r="SE18" s="19"/>
      <c r="SF18" s="19"/>
      <c r="SG18" s="19"/>
      <c r="SH18" s="19"/>
      <c r="SI18" s="19"/>
      <c r="SJ18" s="19"/>
      <c r="SK18" s="19"/>
      <c r="SL18" s="19"/>
      <c r="SM18" s="19"/>
      <c r="SN18" s="19"/>
      <c r="SO18" s="19"/>
      <c r="SP18" s="19"/>
      <c r="SQ18" s="19"/>
      <c r="SR18" s="19"/>
      <c r="SS18" s="19"/>
      <c r="ST18" s="19"/>
      <c r="SU18" s="19"/>
      <c r="SV18" s="19"/>
      <c r="SW18" s="19"/>
      <c r="SX18" s="19"/>
      <c r="SY18" s="19"/>
      <c r="SZ18" s="19"/>
      <c r="TA18" s="19"/>
      <c r="TB18" s="19"/>
      <c r="TC18" s="19"/>
      <c r="TD18" s="19"/>
      <c r="TE18" s="19"/>
      <c r="TF18" s="19"/>
      <c r="TG18" s="19"/>
      <c r="TH18" s="19"/>
      <c r="TI18" s="19"/>
    </row>
    <row r="19" spans="1:529">
      <c r="A19" s="21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3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8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30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30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38"/>
      <c r="FB19" s="19"/>
      <c r="FC19" s="51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84"/>
      <c r="HL19" s="87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90"/>
      <c r="IS19" s="19"/>
      <c r="IT19" s="19"/>
      <c r="IU19" s="19"/>
      <c r="IV19" s="19"/>
      <c r="IW19" s="19"/>
      <c r="IX19" s="19"/>
      <c r="IY19" s="19"/>
      <c r="IZ19" s="19"/>
      <c r="JA19" s="19"/>
      <c r="JB19" s="19"/>
      <c r="JC19" s="19"/>
      <c r="JD19" s="19"/>
      <c r="JE19" s="19"/>
      <c r="JF19" s="19"/>
      <c r="JG19" s="19"/>
      <c r="JH19" s="19"/>
      <c r="JI19" s="19"/>
      <c r="JJ19" s="19"/>
      <c r="JK19" s="19"/>
      <c r="JL19" s="19"/>
      <c r="JM19" s="19"/>
      <c r="JN19" s="19"/>
      <c r="JO19" s="19"/>
      <c r="JP19" s="19"/>
      <c r="JQ19" s="19"/>
      <c r="JR19" s="19"/>
      <c r="JS19" s="19"/>
      <c r="JT19" s="19"/>
      <c r="JU19" s="19"/>
      <c r="JV19" s="19"/>
      <c r="JW19" s="19"/>
      <c r="JX19" s="19"/>
      <c r="JY19" s="19"/>
      <c r="JZ19" s="19"/>
      <c r="KA19" s="19"/>
      <c r="KB19" s="19"/>
      <c r="KC19" s="19"/>
      <c r="KD19" s="19"/>
      <c r="KE19" s="19"/>
      <c r="KF19" s="19"/>
      <c r="KG19" s="19"/>
      <c r="KH19" s="19"/>
      <c r="KI19" s="19"/>
      <c r="KJ19" s="19"/>
      <c r="KK19" s="19"/>
      <c r="KL19" s="19"/>
      <c r="KM19" s="19"/>
      <c r="KN19" s="19"/>
      <c r="KO19" s="19"/>
      <c r="KP19" s="19"/>
      <c r="KQ19" s="19"/>
      <c r="KR19" s="19"/>
      <c r="KS19" s="19"/>
      <c r="KT19" s="19"/>
      <c r="KU19" s="19"/>
      <c r="KV19" s="38"/>
      <c r="KW19" s="19"/>
      <c r="KX19" s="19"/>
      <c r="KY19" s="19"/>
      <c r="KZ19" s="19"/>
      <c r="LA19" s="19"/>
      <c r="LB19" s="19"/>
      <c r="LC19" s="19"/>
      <c r="LD19" s="19"/>
      <c r="LE19" s="19"/>
      <c r="LF19" s="19"/>
      <c r="LG19" s="19"/>
      <c r="LH19" s="19"/>
      <c r="LI19" s="19"/>
      <c r="LJ19" s="19"/>
      <c r="LK19" s="19"/>
      <c r="LL19" s="19"/>
      <c r="LM19" s="19"/>
      <c r="LN19" s="19"/>
      <c r="LO19" s="19"/>
      <c r="LP19" s="19"/>
      <c r="LQ19" s="19"/>
      <c r="LR19" s="19"/>
      <c r="LS19" s="19"/>
      <c r="LT19" s="19"/>
      <c r="LU19" s="19"/>
      <c r="LV19" s="19"/>
      <c r="LW19" s="19"/>
      <c r="LX19" s="19"/>
      <c r="LY19" s="19"/>
      <c r="LZ19" s="19"/>
      <c r="MA19" s="19"/>
      <c r="MB19" s="19"/>
      <c r="MC19" s="19"/>
      <c r="MD19" s="19"/>
      <c r="ME19" s="19"/>
      <c r="MF19" s="19"/>
      <c r="MG19" s="19"/>
      <c r="MH19" s="19"/>
      <c r="MI19" s="19"/>
      <c r="MJ19" s="19"/>
      <c r="MK19" s="19"/>
      <c r="ML19" s="19"/>
      <c r="MM19" s="19"/>
      <c r="MN19" s="19"/>
      <c r="MO19" s="19"/>
      <c r="MP19" s="19"/>
      <c r="MQ19" s="19"/>
      <c r="MR19" s="19"/>
      <c r="MS19" s="19"/>
      <c r="MT19" s="19"/>
      <c r="MU19" s="19"/>
      <c r="MV19" s="45"/>
      <c r="MW19" s="45"/>
      <c r="MX19" s="45"/>
      <c r="MY19" s="45"/>
      <c r="MZ19" s="45"/>
      <c r="NA19" s="45"/>
      <c r="NB19" s="45"/>
      <c r="NC19" s="45"/>
      <c r="ND19" s="45"/>
      <c r="NE19" s="45"/>
      <c r="NF19" s="45"/>
      <c r="NG19" s="45"/>
      <c r="NH19" s="45"/>
      <c r="NI19" s="45"/>
      <c r="NJ19" s="45"/>
      <c r="NK19" s="45"/>
      <c r="NL19" s="45"/>
      <c r="NM19" s="45"/>
      <c r="NN19" s="45"/>
      <c r="NO19" s="45"/>
      <c r="NP19" s="45"/>
      <c r="NQ19" s="45"/>
      <c r="NR19" s="45"/>
      <c r="NS19" s="45"/>
      <c r="NT19" s="45"/>
      <c r="NU19" s="45"/>
      <c r="NV19" s="45"/>
      <c r="NW19" s="45"/>
      <c r="NX19" s="45"/>
      <c r="NY19" s="45"/>
      <c r="NZ19" s="45"/>
      <c r="OA19" s="45"/>
      <c r="OB19" s="45"/>
      <c r="OC19" s="45"/>
      <c r="OD19" s="45"/>
      <c r="OE19" s="45"/>
      <c r="OF19" s="45"/>
      <c r="OG19" s="45"/>
      <c r="OH19" s="45"/>
      <c r="OI19" s="45"/>
      <c r="OJ19" s="45"/>
      <c r="OK19" s="45"/>
      <c r="OL19" s="45"/>
      <c r="OM19" s="45"/>
      <c r="ON19" s="45"/>
      <c r="OO19" s="45"/>
      <c r="OP19" s="45"/>
      <c r="OQ19" s="117"/>
      <c r="OR19" s="117"/>
      <c r="OS19" s="19"/>
      <c r="OT19" s="19"/>
      <c r="OU19" s="19"/>
      <c r="OV19" s="19"/>
      <c r="OW19" s="19"/>
      <c r="OX19" s="19"/>
      <c r="OY19" s="19"/>
      <c r="OZ19" s="19"/>
      <c r="PA19" s="19"/>
      <c r="PB19" s="19"/>
      <c r="PC19" s="19"/>
      <c r="PD19" s="19"/>
      <c r="PE19" s="19"/>
      <c r="PF19" s="19"/>
      <c r="PG19" s="19"/>
      <c r="PH19" s="19"/>
      <c r="PI19" s="19"/>
      <c r="PJ19" s="19"/>
      <c r="PK19" s="19"/>
      <c r="PL19" s="19"/>
      <c r="PM19" s="19"/>
      <c r="PN19" s="19"/>
      <c r="PO19" s="19"/>
      <c r="PP19" s="19"/>
      <c r="PQ19" s="19"/>
      <c r="PR19" s="19"/>
      <c r="PS19" s="19"/>
      <c r="PT19" s="19"/>
      <c r="PU19" s="19"/>
      <c r="PV19" s="19"/>
      <c r="PW19" s="19"/>
      <c r="PX19" s="19"/>
      <c r="PY19" s="19"/>
      <c r="PZ19" s="19"/>
      <c r="QA19" s="19"/>
      <c r="QB19" s="19"/>
      <c r="QC19" s="19"/>
      <c r="QD19" s="19"/>
      <c r="QE19" s="19"/>
      <c r="QF19" s="19"/>
      <c r="QG19" s="19"/>
      <c r="QH19" s="19"/>
      <c r="QI19" s="19"/>
      <c r="QJ19" s="19"/>
      <c r="QK19" s="19"/>
      <c r="QL19" s="19"/>
      <c r="QM19" s="19"/>
      <c r="QN19" s="19"/>
      <c r="QO19" s="19"/>
      <c r="QP19" s="19"/>
      <c r="QQ19" s="19"/>
      <c r="QR19" s="19"/>
      <c r="QS19" s="19"/>
      <c r="QT19" s="19"/>
      <c r="QU19" s="19"/>
      <c r="QV19" s="19"/>
      <c r="QW19" s="19"/>
      <c r="QX19" s="19"/>
      <c r="QY19" s="19"/>
      <c r="QZ19" s="19"/>
      <c r="RA19" s="19"/>
      <c r="RB19" s="19"/>
      <c r="RC19" s="19"/>
      <c r="RD19" s="19"/>
      <c r="RE19" s="19"/>
      <c r="RF19" s="19"/>
      <c r="RG19" s="19"/>
      <c r="RH19" s="19"/>
      <c r="RI19" s="19"/>
      <c r="RJ19" s="19"/>
      <c r="RK19" s="19"/>
      <c r="RL19" s="19"/>
      <c r="RM19" s="19"/>
      <c r="RN19" s="19"/>
      <c r="RO19" s="19"/>
      <c r="RP19" s="19"/>
      <c r="RQ19" s="19"/>
      <c r="RR19" s="19"/>
      <c r="RS19" s="19"/>
      <c r="RT19" s="19"/>
      <c r="RU19" s="19"/>
      <c r="RV19" s="19"/>
      <c r="RW19" s="19"/>
      <c r="RX19" s="19"/>
      <c r="RY19" s="19"/>
      <c r="RZ19" s="19"/>
      <c r="SA19" s="19"/>
      <c r="SB19" s="19"/>
      <c r="SC19" s="19"/>
      <c r="SD19" s="38"/>
      <c r="SE19" s="19"/>
      <c r="SF19" s="19"/>
      <c r="SG19" s="19"/>
      <c r="SH19" s="19"/>
      <c r="SI19" s="19"/>
      <c r="SJ19" s="19"/>
      <c r="SK19" s="19"/>
      <c r="SL19" s="19"/>
      <c r="SM19" s="19"/>
      <c r="SN19" s="19"/>
      <c r="SO19" s="19"/>
      <c r="SP19" s="19"/>
      <c r="SQ19" s="19"/>
      <c r="SR19" s="19"/>
      <c r="SS19" s="19"/>
      <c r="ST19" s="19"/>
      <c r="SU19" s="19"/>
      <c r="SV19" s="19"/>
      <c r="SW19" s="19"/>
      <c r="SX19" s="19"/>
      <c r="SY19" s="19"/>
      <c r="SZ19" s="19"/>
      <c r="TA19" s="19"/>
      <c r="TB19" s="19"/>
      <c r="TC19" s="19"/>
      <c r="TD19" s="19"/>
      <c r="TE19" s="19"/>
      <c r="TF19" s="19"/>
      <c r="TG19" s="19"/>
      <c r="TH19" s="19"/>
      <c r="TI19" s="19"/>
    </row>
    <row r="20" spans="1:529">
      <c r="A20" s="21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3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8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30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30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38"/>
      <c r="FB20" s="19"/>
      <c r="FC20" s="51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84"/>
      <c r="HL20" s="87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90"/>
      <c r="IS20" s="19"/>
      <c r="IT20" s="19"/>
      <c r="IU20" s="19"/>
      <c r="IV20" s="19"/>
      <c r="IW20" s="19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19"/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38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19"/>
      <c r="LI20" s="19"/>
      <c r="LJ20" s="19"/>
      <c r="LK20" s="19"/>
      <c r="LL20" s="19"/>
      <c r="LM20" s="19"/>
      <c r="LN20" s="19"/>
      <c r="LO20" s="19"/>
      <c r="LP20" s="19"/>
      <c r="LQ20" s="19"/>
      <c r="LR20" s="19"/>
      <c r="LS20" s="19"/>
      <c r="LT20" s="19"/>
      <c r="LU20" s="19"/>
      <c r="LV20" s="19"/>
      <c r="LW20" s="19"/>
      <c r="LX20" s="19"/>
      <c r="LY20" s="19"/>
      <c r="LZ20" s="19"/>
      <c r="MA20" s="19"/>
      <c r="MB20" s="19"/>
      <c r="MC20" s="19"/>
      <c r="MD20" s="19"/>
      <c r="ME20" s="19"/>
      <c r="MF20" s="19"/>
      <c r="MG20" s="19"/>
      <c r="MH20" s="19"/>
      <c r="MI20" s="19"/>
      <c r="MJ20" s="19"/>
      <c r="MK20" s="19"/>
      <c r="ML20" s="19"/>
      <c r="MM20" s="19"/>
      <c r="MN20" s="19"/>
      <c r="MO20" s="19"/>
      <c r="MP20" s="19"/>
      <c r="MQ20" s="19"/>
      <c r="MR20" s="19"/>
      <c r="MS20" s="19"/>
      <c r="MT20" s="19"/>
      <c r="MU20" s="19"/>
      <c r="MV20" s="45"/>
      <c r="MW20" s="45"/>
      <c r="MX20" s="45"/>
      <c r="MY20" s="45"/>
      <c r="MZ20" s="45"/>
      <c r="NA20" s="45"/>
      <c r="NB20" s="45"/>
      <c r="NC20" s="45"/>
      <c r="ND20" s="45"/>
      <c r="NE20" s="45"/>
      <c r="NF20" s="45"/>
      <c r="NG20" s="45"/>
      <c r="NH20" s="45"/>
      <c r="NI20" s="45"/>
      <c r="NJ20" s="45"/>
      <c r="NK20" s="45"/>
      <c r="NL20" s="45"/>
      <c r="NM20" s="45"/>
      <c r="NN20" s="45"/>
      <c r="NO20" s="45"/>
      <c r="NP20" s="45"/>
      <c r="NQ20" s="45"/>
      <c r="NR20" s="45"/>
      <c r="NS20" s="45"/>
      <c r="NT20" s="45"/>
      <c r="NU20" s="45"/>
      <c r="NV20" s="45"/>
      <c r="NW20" s="45"/>
      <c r="NX20" s="45"/>
      <c r="NY20" s="45"/>
      <c r="NZ20" s="45"/>
      <c r="OA20" s="45"/>
      <c r="OB20" s="45"/>
      <c r="OC20" s="45"/>
      <c r="OD20" s="45"/>
      <c r="OE20" s="45"/>
      <c r="OF20" s="45"/>
      <c r="OG20" s="45"/>
      <c r="OH20" s="45"/>
      <c r="OI20" s="45"/>
      <c r="OJ20" s="45"/>
      <c r="OK20" s="45"/>
      <c r="OL20" s="45"/>
      <c r="OM20" s="45"/>
      <c r="ON20" s="45"/>
      <c r="OO20" s="45"/>
      <c r="OP20" s="45"/>
      <c r="OQ20" s="117"/>
      <c r="OR20" s="117"/>
      <c r="OS20" s="19"/>
      <c r="OT20" s="19"/>
      <c r="OU20" s="19"/>
      <c r="OV20" s="19"/>
      <c r="OW20" s="19"/>
      <c r="OX20" s="19"/>
      <c r="OY20" s="19"/>
      <c r="OZ20" s="19"/>
      <c r="PA20" s="19"/>
      <c r="PB20" s="19"/>
      <c r="PC20" s="19"/>
      <c r="PD20" s="19"/>
      <c r="PE20" s="19"/>
      <c r="PF20" s="19"/>
      <c r="PG20" s="19"/>
      <c r="PH20" s="19"/>
      <c r="PI20" s="19"/>
      <c r="PJ20" s="19"/>
      <c r="PK20" s="19"/>
      <c r="PL20" s="19"/>
      <c r="PM20" s="19"/>
      <c r="PN20" s="19"/>
      <c r="PO20" s="19"/>
      <c r="PP20" s="19"/>
      <c r="PQ20" s="19"/>
      <c r="PR20" s="19"/>
      <c r="PS20" s="19"/>
      <c r="PT20" s="19"/>
      <c r="PU20" s="19"/>
      <c r="PV20" s="19"/>
      <c r="PW20" s="19"/>
      <c r="PX20" s="19"/>
      <c r="PY20" s="19"/>
      <c r="PZ20" s="19"/>
      <c r="QA20" s="19"/>
      <c r="QB20" s="19"/>
      <c r="QC20" s="19"/>
      <c r="QD20" s="19"/>
      <c r="QE20" s="19"/>
      <c r="QF20" s="19"/>
      <c r="QG20" s="19"/>
      <c r="QH20" s="19"/>
      <c r="QI20" s="19"/>
      <c r="QJ20" s="19"/>
      <c r="QK20" s="19"/>
      <c r="QL20" s="19"/>
      <c r="QM20" s="19"/>
      <c r="QN20" s="19"/>
      <c r="QO20" s="19"/>
      <c r="QP20" s="19"/>
      <c r="QQ20" s="19"/>
      <c r="QR20" s="19"/>
      <c r="QS20" s="19"/>
      <c r="QT20" s="19"/>
      <c r="QU20" s="19"/>
      <c r="QV20" s="19"/>
      <c r="QW20" s="19"/>
      <c r="QX20" s="19"/>
      <c r="QY20" s="19"/>
      <c r="QZ20" s="19"/>
      <c r="RA20" s="19"/>
      <c r="RB20" s="19"/>
      <c r="RC20" s="19"/>
      <c r="RD20" s="19"/>
      <c r="RE20" s="19"/>
      <c r="RF20" s="19"/>
      <c r="RG20" s="19"/>
      <c r="RH20" s="19"/>
      <c r="RI20" s="19"/>
      <c r="RJ20" s="19"/>
      <c r="RK20" s="19"/>
      <c r="RL20" s="19"/>
      <c r="RM20" s="19"/>
      <c r="RN20" s="19"/>
      <c r="RO20" s="19"/>
      <c r="RP20" s="19"/>
      <c r="RQ20" s="19"/>
      <c r="RR20" s="19"/>
      <c r="RS20" s="19"/>
      <c r="RT20" s="19"/>
      <c r="RU20" s="19"/>
      <c r="RV20" s="19"/>
      <c r="RW20" s="19"/>
      <c r="RX20" s="19"/>
      <c r="RY20" s="19"/>
      <c r="RZ20" s="19"/>
      <c r="SA20" s="19"/>
      <c r="SB20" s="19"/>
      <c r="SC20" s="19"/>
      <c r="SD20" s="38"/>
      <c r="SE20" s="19"/>
      <c r="SF20" s="19"/>
      <c r="SG20" s="19"/>
      <c r="SH20" s="19"/>
      <c r="SI20" s="19"/>
      <c r="SJ20" s="19"/>
      <c r="SK20" s="19"/>
      <c r="SL20" s="19"/>
      <c r="SM20" s="19"/>
      <c r="SN20" s="19"/>
      <c r="SO20" s="19"/>
      <c r="SP20" s="19"/>
      <c r="SQ20" s="19"/>
      <c r="SR20" s="19"/>
      <c r="SS20" s="19"/>
      <c r="ST20" s="19"/>
      <c r="SU20" s="19"/>
      <c r="SV20" s="19"/>
      <c r="SW20" s="19"/>
      <c r="SX20" s="19"/>
      <c r="SY20" s="19"/>
      <c r="SZ20" s="19"/>
      <c r="TA20" s="19"/>
      <c r="TB20" s="19"/>
      <c r="TC20" s="19"/>
      <c r="TD20" s="19"/>
      <c r="TE20" s="19"/>
      <c r="TF20" s="19"/>
      <c r="TG20" s="19"/>
      <c r="TH20" s="19"/>
      <c r="TI20" s="19"/>
    </row>
    <row r="21" spans="1:529">
      <c r="A21" s="21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3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8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30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30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38"/>
      <c r="FB21" s="19"/>
      <c r="FC21" s="51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84"/>
      <c r="HL21" s="87"/>
      <c r="HM21" s="19"/>
      <c r="HN21" s="19"/>
      <c r="HO21" s="19"/>
      <c r="HP21" s="19"/>
      <c r="HQ21" s="19"/>
      <c r="HR21" s="19"/>
      <c r="HS21" s="19"/>
      <c r="HT21" s="19"/>
      <c r="HU21" s="19"/>
    </row>
    <row r="22" spans="1:529">
      <c r="A22" s="2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3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8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30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30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38"/>
      <c r="FB22" s="19"/>
      <c r="FC22" s="51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84"/>
      <c r="HL22" s="87"/>
      <c r="HM22" s="19"/>
      <c r="HN22" s="19"/>
      <c r="HO22" s="19"/>
      <c r="HP22" s="19"/>
      <c r="HQ22" s="19"/>
      <c r="HR22" s="19"/>
      <c r="HS22" s="19"/>
      <c r="HT22" s="19"/>
      <c r="HU22" s="19"/>
    </row>
    <row r="23" spans="1:529">
      <c r="A23" s="21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3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8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30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30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84"/>
      <c r="HL23" s="87"/>
      <c r="HM23" s="19"/>
      <c r="HN23" s="19"/>
      <c r="HO23" s="19"/>
      <c r="HP23" s="19"/>
      <c r="HQ23" s="19"/>
      <c r="HR23" s="19"/>
      <c r="HS23" s="19"/>
      <c r="HT23" s="19"/>
      <c r="HU23" s="19"/>
    </row>
    <row r="24" spans="1:529">
      <c r="A24" s="21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3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8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30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30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84"/>
      <c r="HL24" s="87"/>
      <c r="HM24" s="19"/>
      <c r="HN24" s="19"/>
      <c r="HO24" s="19"/>
      <c r="HP24" s="19"/>
      <c r="HQ24" s="19"/>
      <c r="HR24" s="19"/>
      <c r="HS24" s="19"/>
      <c r="HT24" s="19"/>
      <c r="HU24" s="19"/>
    </row>
    <row r="25" spans="1:529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529">
      <c r="A26" s="18"/>
      <c r="B26" s="18" t="s">
        <v>48</v>
      </c>
      <c r="C26" s="18" t="s">
        <v>49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1:529">
      <c r="A27" s="18"/>
      <c r="B27" s="18" t="s">
        <v>44</v>
      </c>
      <c r="C27" s="18" t="s">
        <v>50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spans="1:529">
      <c r="A28" s="18"/>
      <c r="B28" s="18" t="s">
        <v>40</v>
      </c>
      <c r="C28" s="18" t="s">
        <v>51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</sheetData>
  <mergeCells count="14">
    <mergeCell ref="RC1:SD1"/>
    <mergeCell ref="PY1:RB1"/>
    <mergeCell ref="OS1:PW1"/>
    <mergeCell ref="NN1:OQ1"/>
    <mergeCell ref="B1:AF1"/>
    <mergeCell ref="AH1:BK1"/>
    <mergeCell ref="BM1:CQ1"/>
    <mergeCell ref="CS1:DW1"/>
    <mergeCell ref="GI1:HK1"/>
    <mergeCell ref="MI1:NM1"/>
    <mergeCell ref="LE1:MH1"/>
    <mergeCell ref="IS1:JW1"/>
    <mergeCell ref="JY1:KV1"/>
    <mergeCell ref="HM1:IQ1"/>
  </mergeCells>
  <pageMargins left="0.11811023622047245" right="0.11811023622047245" top="0.74803149606299213" bottom="0.74803149606299213" header="0" footer="0"/>
  <pageSetup paperSize="9" scale="70" orientation="landscape" r:id="rId1"/>
  <colBreaks count="1" manualBreakCount="1">
    <brk id="329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B1" zoomScaleNormal="100" zoomScaleSheetLayoutView="50" workbookViewId="0">
      <selection activeCell="D2" sqref="D2:AE2"/>
    </sheetView>
  </sheetViews>
  <sheetFormatPr defaultRowHeight="15"/>
  <cols>
    <col min="1" max="1" width="49.85546875" style="18" customWidth="1"/>
    <col min="2" max="2" width="16.28515625" style="18" customWidth="1"/>
    <col min="3" max="3" width="6.7109375" style="18" customWidth="1"/>
    <col min="4" max="27" width="4.28515625" style="79" customWidth="1"/>
    <col min="28" max="31" width="3.7109375" style="18" bestFit="1" customWidth="1"/>
    <col min="32" max="16384" width="9.140625" style="18"/>
  </cols>
  <sheetData>
    <row r="1" spans="1:31">
      <c r="C1" s="26"/>
    </row>
    <row r="2" spans="1:31" ht="75.75" customHeight="1">
      <c r="A2" s="21" t="s">
        <v>36</v>
      </c>
      <c r="B2" s="21" t="s">
        <v>55</v>
      </c>
      <c r="C2" s="78" t="s">
        <v>158</v>
      </c>
      <c r="D2" s="80">
        <v>44256</v>
      </c>
      <c r="E2" s="80">
        <v>44257</v>
      </c>
      <c r="F2" s="80">
        <v>44258</v>
      </c>
      <c r="G2" s="80">
        <v>44259</v>
      </c>
      <c r="H2" s="80">
        <v>44260</v>
      </c>
      <c r="I2" s="80">
        <v>44261</v>
      </c>
      <c r="J2" s="80">
        <v>44262</v>
      </c>
      <c r="K2" s="80">
        <v>44263</v>
      </c>
      <c r="L2" s="80">
        <v>44264</v>
      </c>
      <c r="M2" s="80">
        <v>44265</v>
      </c>
      <c r="N2" s="80">
        <v>44266</v>
      </c>
      <c r="O2" s="80">
        <v>44267</v>
      </c>
      <c r="P2" s="80">
        <v>44268</v>
      </c>
      <c r="Q2" s="80">
        <v>44269</v>
      </c>
      <c r="R2" s="80">
        <v>44270</v>
      </c>
      <c r="S2" s="80">
        <v>44271</v>
      </c>
      <c r="T2" s="80">
        <v>44272</v>
      </c>
      <c r="U2" s="80">
        <v>44273</v>
      </c>
      <c r="V2" s="80">
        <v>44274</v>
      </c>
      <c r="W2" s="80">
        <v>44275</v>
      </c>
      <c r="X2" s="80">
        <v>44276</v>
      </c>
      <c r="Y2" s="80">
        <v>44277</v>
      </c>
      <c r="Z2" s="80">
        <v>44278</v>
      </c>
      <c r="AA2" s="80">
        <v>44279</v>
      </c>
      <c r="AB2" s="80">
        <v>44280</v>
      </c>
      <c r="AC2" s="80">
        <v>44281</v>
      </c>
      <c r="AD2" s="80">
        <v>44282</v>
      </c>
      <c r="AE2" s="80">
        <v>44283</v>
      </c>
    </row>
    <row r="3" spans="1:31">
      <c r="A3" s="21" t="s">
        <v>165</v>
      </c>
      <c r="B3" s="21" t="s">
        <v>168</v>
      </c>
      <c r="C3" s="76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</row>
    <row r="4" spans="1:31">
      <c r="A4" s="21" t="s">
        <v>166</v>
      </c>
      <c r="B4" s="21" t="s">
        <v>168</v>
      </c>
      <c r="C4" s="76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</row>
    <row r="5" spans="1:31">
      <c r="A5" s="21" t="s">
        <v>167</v>
      </c>
      <c r="B5" s="21" t="s">
        <v>168</v>
      </c>
      <c r="C5" s="76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</row>
    <row r="6" spans="1:31">
      <c r="A6" s="21" t="s">
        <v>169</v>
      </c>
      <c r="B6" s="21" t="s">
        <v>168</v>
      </c>
      <c r="C6" s="76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</row>
    <row r="7" spans="1:31">
      <c r="A7" s="21" t="s">
        <v>173</v>
      </c>
      <c r="B7" s="21" t="s">
        <v>168</v>
      </c>
      <c r="C7" s="7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</row>
    <row r="8" spans="1:31">
      <c r="A8" s="21" t="s">
        <v>174</v>
      </c>
      <c r="B8" s="21" t="s">
        <v>168</v>
      </c>
      <c r="C8" s="76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</row>
    <row r="9" spans="1:31">
      <c r="A9" s="21" t="s">
        <v>160</v>
      </c>
      <c r="B9" s="21" t="s">
        <v>56</v>
      </c>
      <c r="C9" s="77" t="s">
        <v>42</v>
      </c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</row>
    <row r="10" spans="1:31">
      <c r="A10" s="21" t="s">
        <v>161</v>
      </c>
      <c r="B10" s="21" t="s">
        <v>56</v>
      </c>
      <c r="C10" s="77" t="s">
        <v>42</v>
      </c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</row>
    <row r="11" spans="1:31">
      <c r="A11" s="21" t="s">
        <v>57</v>
      </c>
      <c r="B11" s="21" t="s">
        <v>56</v>
      </c>
      <c r="C11" s="77" t="s">
        <v>43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</row>
    <row r="12" spans="1:31">
      <c r="A12" s="21" t="s">
        <v>58</v>
      </c>
      <c r="B12" s="21" t="s">
        <v>56</v>
      </c>
      <c r="C12" s="77" t="s">
        <v>43</v>
      </c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</row>
    <row r="13" spans="1:31">
      <c r="A13" s="21" t="s">
        <v>171</v>
      </c>
      <c r="B13" s="21" t="s">
        <v>59</v>
      </c>
      <c r="C13" s="77" t="s">
        <v>44</v>
      </c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</row>
    <row r="14" spans="1:31">
      <c r="A14" s="21" t="s">
        <v>61</v>
      </c>
      <c r="B14" s="21" t="s">
        <v>56</v>
      </c>
      <c r="C14" s="77" t="s">
        <v>44</v>
      </c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</row>
    <row r="15" spans="1:31">
      <c r="A15" s="21" t="s">
        <v>172</v>
      </c>
      <c r="B15" s="21" t="s">
        <v>56</v>
      </c>
      <c r="C15" s="77" t="s">
        <v>38</v>
      </c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</row>
    <row r="16" spans="1:31">
      <c r="A16" s="21" t="s">
        <v>62</v>
      </c>
      <c r="B16" s="21" t="s">
        <v>56</v>
      </c>
      <c r="C16" s="77" t="s">
        <v>38</v>
      </c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</row>
    <row r="17" spans="1:31">
      <c r="A17" s="27" t="s">
        <v>60</v>
      </c>
      <c r="B17" s="21" t="s">
        <v>56</v>
      </c>
      <c r="C17" s="77" t="s">
        <v>39</v>
      </c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</row>
    <row r="18" spans="1:31" ht="33" customHeight="1">
      <c r="A18" s="27" t="s">
        <v>162</v>
      </c>
      <c r="B18" s="21" t="s">
        <v>56</v>
      </c>
      <c r="C18" s="77" t="s">
        <v>40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</row>
    <row r="19" spans="1:31" ht="17.25" customHeight="1">
      <c r="A19" s="21" t="s">
        <v>159</v>
      </c>
      <c r="B19" s="21" t="s">
        <v>56</v>
      </c>
      <c r="C19" s="77" t="s">
        <v>41</v>
      </c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</row>
    <row r="20" spans="1:31">
      <c r="A20" s="21" t="s">
        <v>163</v>
      </c>
      <c r="B20" s="21" t="s">
        <v>207</v>
      </c>
      <c r="C20" s="77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</row>
    <row r="21" spans="1:31">
      <c r="A21" s="21" t="s">
        <v>63</v>
      </c>
      <c r="B21" s="21" t="s">
        <v>207</v>
      </c>
      <c r="C21" s="77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</row>
    <row r="22" spans="1:31">
      <c r="A22" s="21" t="s">
        <v>164</v>
      </c>
      <c r="B22" s="21" t="s">
        <v>207</v>
      </c>
      <c r="C22" s="77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</row>
    <row r="23" spans="1:31" ht="93.75" customHeight="1">
      <c r="A23" s="75" t="s">
        <v>170</v>
      </c>
      <c r="B23" s="19"/>
      <c r="C23" s="19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</row>
  </sheetData>
  <pageMargins left="0.11811023622047245" right="0.11811023622047245" top="0.74803149606299213" bottom="0.74803149606299213" header="0" footer="0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75" zoomScaleNormal="75" workbookViewId="0">
      <selection activeCell="H6" sqref="H6"/>
    </sheetView>
  </sheetViews>
  <sheetFormatPr defaultRowHeight="15"/>
  <cols>
    <col min="1" max="1" width="12.42578125" customWidth="1"/>
    <col min="2" max="8" width="20.7109375" customWidth="1"/>
  </cols>
  <sheetData>
    <row r="1" spans="1:8">
      <c r="A1" s="102"/>
      <c r="B1" s="103" t="s">
        <v>353</v>
      </c>
      <c r="C1" s="103" t="s">
        <v>354</v>
      </c>
      <c r="D1" s="103" t="s">
        <v>355</v>
      </c>
      <c r="E1" s="103" t="s">
        <v>356</v>
      </c>
      <c r="F1" s="103" t="s">
        <v>357</v>
      </c>
      <c r="G1" s="103" t="s">
        <v>358</v>
      </c>
      <c r="H1" s="103" t="s">
        <v>359</v>
      </c>
    </row>
    <row r="2" spans="1:8" ht="48.75" customHeight="1">
      <c r="A2" s="103" t="s">
        <v>360</v>
      </c>
      <c r="B2" s="104"/>
      <c r="C2" s="104" t="s">
        <v>524</v>
      </c>
      <c r="D2" s="104"/>
      <c r="E2" s="105"/>
      <c r="F2" s="105" t="s">
        <v>372</v>
      </c>
      <c r="G2" s="105"/>
      <c r="H2" s="105"/>
    </row>
    <row r="3" spans="1:8" ht="48.75" customHeight="1">
      <c r="A3" s="103" t="s">
        <v>361</v>
      </c>
      <c r="B3" s="104"/>
      <c r="C3" s="121" t="s">
        <v>740</v>
      </c>
      <c r="D3" s="104"/>
      <c r="E3" s="104" t="s">
        <v>740</v>
      </c>
      <c r="F3" s="104"/>
      <c r="G3" s="105"/>
      <c r="H3" s="105" t="s">
        <v>462</v>
      </c>
    </row>
    <row r="4" spans="1:8" ht="48.75" customHeight="1">
      <c r="A4" s="103" t="s">
        <v>362</v>
      </c>
      <c r="B4" s="104"/>
      <c r="C4" s="121" t="s">
        <v>740</v>
      </c>
      <c r="D4" s="104"/>
      <c r="E4" s="104" t="s">
        <v>740</v>
      </c>
      <c r="F4" s="104"/>
      <c r="G4" s="105"/>
      <c r="H4" s="105"/>
    </row>
    <row r="5" spans="1:8" ht="48.75" customHeight="1">
      <c r="A5" s="103" t="s">
        <v>363</v>
      </c>
      <c r="B5" s="104"/>
      <c r="C5" s="104"/>
      <c r="D5" s="125"/>
      <c r="E5" s="104"/>
      <c r="F5" s="105" t="s">
        <v>741</v>
      </c>
      <c r="G5" s="105"/>
      <c r="H5" s="105" t="s">
        <v>746</v>
      </c>
    </row>
    <row r="6" spans="1:8" ht="48.75" customHeight="1">
      <c r="A6" s="103" t="s">
        <v>364</v>
      </c>
      <c r="B6" s="104"/>
      <c r="C6" s="104"/>
      <c r="D6" s="104"/>
      <c r="E6" s="105"/>
      <c r="F6" s="105" t="s">
        <v>525</v>
      </c>
      <c r="G6" s="105"/>
      <c r="H6" s="105" t="s">
        <v>746</v>
      </c>
    </row>
    <row r="7" spans="1:8" ht="48.75" customHeight="1">
      <c r="A7" s="103" t="s">
        <v>365</v>
      </c>
      <c r="B7" s="104"/>
      <c r="C7" s="104"/>
      <c r="D7" s="105" t="s">
        <v>461</v>
      </c>
      <c r="E7" s="104"/>
      <c r="F7" s="104"/>
      <c r="G7" s="105"/>
      <c r="H7" s="105"/>
    </row>
    <row r="8" spans="1:8" ht="48.75" customHeight="1">
      <c r="A8" s="103" t="s">
        <v>366</v>
      </c>
      <c r="B8" s="104"/>
      <c r="C8" s="104"/>
      <c r="D8" s="104"/>
      <c r="E8" s="105"/>
      <c r="F8" s="105"/>
      <c r="G8" s="105"/>
      <c r="H8" s="105"/>
    </row>
    <row r="9" spans="1:8" ht="48.75" customHeight="1">
      <c r="A9" s="103" t="s">
        <v>367</v>
      </c>
      <c r="B9" s="104"/>
      <c r="C9" s="104"/>
      <c r="D9" s="104"/>
      <c r="E9" s="105"/>
      <c r="F9" s="105" t="s">
        <v>373</v>
      </c>
      <c r="G9" s="105"/>
      <c r="H9" s="105"/>
    </row>
    <row r="10" spans="1:8" ht="48.75" customHeight="1">
      <c r="A10" s="103" t="s">
        <v>368</v>
      </c>
      <c r="B10" s="104"/>
      <c r="C10" s="104"/>
      <c r="D10" s="104"/>
      <c r="E10" s="105"/>
      <c r="F10" s="105"/>
      <c r="G10" s="105" t="s">
        <v>460</v>
      </c>
      <c r="H10" s="104" t="s">
        <v>523</v>
      </c>
    </row>
    <row r="11" spans="1:8" ht="48.75" customHeight="1">
      <c r="A11" s="103" t="s">
        <v>369</v>
      </c>
      <c r="B11" s="104" t="s">
        <v>374</v>
      </c>
      <c r="C11" s="104" t="s">
        <v>379</v>
      </c>
      <c r="D11" s="104" t="s">
        <v>380</v>
      </c>
      <c r="E11" s="104" t="s">
        <v>379</v>
      </c>
      <c r="F11" s="105" t="s">
        <v>374</v>
      </c>
      <c r="G11" s="105"/>
      <c r="H11" s="104" t="s">
        <v>377</v>
      </c>
    </row>
    <row r="12" spans="1:8" ht="48.75" customHeight="1">
      <c r="A12" s="103" t="s">
        <v>370</v>
      </c>
      <c r="B12" s="104"/>
      <c r="C12" s="104" t="s">
        <v>378</v>
      </c>
      <c r="D12" s="104" t="s">
        <v>666</v>
      </c>
      <c r="E12" s="105" t="s">
        <v>378</v>
      </c>
      <c r="F12" s="105"/>
      <c r="G12" s="105"/>
      <c r="H12" s="105"/>
    </row>
    <row r="13" spans="1:8" ht="48.75" customHeight="1">
      <c r="A13" s="103" t="s">
        <v>371</v>
      </c>
      <c r="B13" s="104" t="s">
        <v>376</v>
      </c>
      <c r="C13" s="104" t="s">
        <v>377</v>
      </c>
      <c r="D13" s="104" t="s">
        <v>376</v>
      </c>
      <c r="E13" s="104" t="s">
        <v>377</v>
      </c>
      <c r="F13" s="104" t="s">
        <v>376</v>
      </c>
      <c r="G13" s="105"/>
      <c r="H13" s="105"/>
    </row>
    <row r="14" spans="1:8">
      <c r="A14" s="101"/>
      <c r="B14" s="101"/>
      <c r="C14" s="101"/>
      <c r="D14" s="101"/>
    </row>
    <row r="15" spans="1:8">
      <c r="A15" s="101"/>
      <c r="B15" s="101"/>
      <c r="C15" s="101"/>
      <c r="D15" s="101"/>
    </row>
    <row r="16" spans="1:8">
      <c r="A16" s="101"/>
    </row>
  </sheetData>
  <pageMargins left="0.11811023622047245" right="0.11811023622047245" top="0.15748031496062992" bottom="0.15748031496062992" header="0.31496062992125984" footer="0.31496062992125984"/>
  <pageSetup paperSize="9" scale="8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7" workbookViewId="0">
      <selection activeCell="C11" sqref="C11:E11"/>
    </sheetView>
  </sheetViews>
  <sheetFormatPr defaultRowHeight="15"/>
  <cols>
    <col min="1" max="1" width="12.42578125" style="18" customWidth="1"/>
    <col min="2" max="8" width="20.7109375" style="18" customWidth="1"/>
    <col min="9" max="16384" width="9.140625" style="18"/>
  </cols>
  <sheetData>
    <row r="1" spans="1:8">
      <c r="A1" s="102"/>
      <c r="B1" s="103" t="s">
        <v>353</v>
      </c>
      <c r="C1" s="103" t="s">
        <v>354</v>
      </c>
      <c r="D1" s="103" t="s">
        <v>355</v>
      </c>
      <c r="E1" s="103" t="s">
        <v>356</v>
      </c>
      <c r="F1" s="103" t="s">
        <v>357</v>
      </c>
      <c r="G1" s="103" t="s">
        <v>358</v>
      </c>
      <c r="H1" s="103" t="s">
        <v>359</v>
      </c>
    </row>
    <row r="2" spans="1:8" ht="48.75" customHeight="1">
      <c r="A2" s="103" t="s">
        <v>360</v>
      </c>
      <c r="B2" s="104"/>
      <c r="C2" s="104" t="s">
        <v>402</v>
      </c>
      <c r="D2" s="104"/>
      <c r="E2" s="105"/>
      <c r="F2" s="105" t="s">
        <v>401</v>
      </c>
      <c r="G2" s="105"/>
      <c r="H2" s="105"/>
    </row>
    <row r="3" spans="1:8" ht="48.75" customHeight="1">
      <c r="A3" s="103" t="s">
        <v>361</v>
      </c>
      <c r="B3" s="104"/>
      <c r="C3" s="104"/>
      <c r="D3" s="104"/>
      <c r="E3" s="105"/>
      <c r="F3" s="105"/>
      <c r="G3" s="105"/>
      <c r="H3" s="105" t="s">
        <v>403</v>
      </c>
    </row>
    <row r="4" spans="1:8" ht="48.75" customHeight="1">
      <c r="A4" s="103" t="s">
        <v>362</v>
      </c>
      <c r="B4" s="104"/>
      <c r="C4" s="104"/>
      <c r="D4" s="104"/>
      <c r="E4" s="105"/>
      <c r="F4" s="105"/>
      <c r="G4" s="105"/>
      <c r="H4" s="105"/>
    </row>
    <row r="5" spans="1:8" ht="48.75" customHeight="1">
      <c r="A5" s="103" t="s">
        <v>363</v>
      </c>
      <c r="B5" s="104"/>
      <c r="C5" s="104"/>
      <c r="D5" s="104"/>
      <c r="E5" s="105"/>
      <c r="F5" s="105"/>
      <c r="G5" s="105"/>
      <c r="H5" s="105" t="s">
        <v>404</v>
      </c>
    </row>
    <row r="6" spans="1:8" ht="48.75" customHeight="1">
      <c r="A6" s="103" t="s">
        <v>364</v>
      </c>
      <c r="B6" s="104"/>
      <c r="C6" s="104"/>
      <c r="D6" s="104"/>
      <c r="E6" s="105"/>
      <c r="F6" s="105"/>
      <c r="G6" s="105"/>
      <c r="H6" s="105"/>
    </row>
    <row r="7" spans="1:8" ht="48.75" customHeight="1">
      <c r="A7" s="103" t="s">
        <v>365</v>
      </c>
      <c r="B7" s="104"/>
      <c r="C7" s="104"/>
      <c r="D7" s="104"/>
      <c r="E7" s="104"/>
      <c r="F7" s="104"/>
      <c r="G7" s="105"/>
      <c r="H7" s="105"/>
    </row>
    <row r="8" spans="1:8" ht="48.75" customHeight="1">
      <c r="A8" s="103" t="s">
        <v>366</v>
      </c>
      <c r="B8" s="104"/>
      <c r="C8" s="104"/>
      <c r="D8" s="104"/>
      <c r="E8" s="105"/>
      <c r="F8" s="105"/>
      <c r="G8" s="105"/>
      <c r="H8" s="105"/>
    </row>
    <row r="9" spans="1:8" ht="48.75" customHeight="1">
      <c r="A9" s="103" t="s">
        <v>367</v>
      </c>
      <c r="B9" s="104"/>
      <c r="C9" s="104"/>
      <c r="D9" s="104"/>
      <c r="E9" s="105"/>
      <c r="F9" s="105" t="s">
        <v>405</v>
      </c>
      <c r="G9" s="105"/>
      <c r="H9" s="105"/>
    </row>
    <row r="10" spans="1:8" ht="48.75" customHeight="1">
      <c r="A10" s="103" t="s">
        <v>368</v>
      </c>
      <c r="B10" s="104" t="s">
        <v>390</v>
      </c>
      <c r="C10" s="104"/>
      <c r="D10" s="104"/>
      <c r="E10" s="105"/>
      <c r="F10" s="105"/>
      <c r="G10" s="105" t="s">
        <v>374</v>
      </c>
      <c r="H10" s="105" t="s">
        <v>400</v>
      </c>
    </row>
    <row r="11" spans="1:8" ht="48.75" customHeight="1">
      <c r="A11" s="103" t="s">
        <v>369</v>
      </c>
      <c r="B11" s="104" t="s">
        <v>374</v>
      </c>
      <c r="C11" s="104" t="s">
        <v>406</v>
      </c>
      <c r="D11" s="104" t="s">
        <v>407</v>
      </c>
      <c r="E11" s="104" t="s">
        <v>406</v>
      </c>
      <c r="F11" s="105" t="s">
        <v>374</v>
      </c>
      <c r="G11" s="105" t="s">
        <v>374</v>
      </c>
      <c r="H11" s="104" t="s">
        <v>377</v>
      </c>
    </row>
    <row r="12" spans="1:8" ht="48.75" customHeight="1">
      <c r="A12" s="103" t="s">
        <v>370</v>
      </c>
      <c r="B12" s="104"/>
      <c r="C12" s="104" t="s">
        <v>378</v>
      </c>
      <c r="D12" s="104" t="s">
        <v>375</v>
      </c>
      <c r="E12" s="105" t="s">
        <v>378</v>
      </c>
      <c r="F12" s="105" t="s">
        <v>390</v>
      </c>
      <c r="G12" s="105"/>
      <c r="H12" s="105"/>
    </row>
    <row r="13" spans="1:8" ht="48.75" customHeight="1">
      <c r="A13" s="103" t="s">
        <v>371</v>
      </c>
      <c r="B13" s="104" t="s">
        <v>376</v>
      </c>
      <c r="C13" s="104" t="s">
        <v>377</v>
      </c>
      <c r="D13" s="104" t="s">
        <v>376</v>
      </c>
      <c r="E13" s="104" t="s">
        <v>377</v>
      </c>
      <c r="F13" s="104" t="s">
        <v>376</v>
      </c>
      <c r="G13" s="105"/>
      <c r="H13" s="105"/>
    </row>
    <row r="14" spans="1:8">
      <c r="A14" s="101"/>
      <c r="B14" s="101"/>
      <c r="C14" s="101"/>
      <c r="D14" s="101"/>
    </row>
    <row r="15" spans="1:8">
      <c r="A15" s="101"/>
      <c r="B15" s="101"/>
      <c r="C15" s="101"/>
      <c r="D15" s="101"/>
    </row>
    <row r="16" spans="1:8">
      <c r="A16" s="10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52" workbookViewId="0">
      <selection activeCell="H52" sqref="H52"/>
    </sheetView>
  </sheetViews>
  <sheetFormatPr defaultRowHeight="15"/>
  <cols>
    <col min="1" max="1" width="10.140625" bestFit="1" customWidth="1"/>
    <col min="6" max="7" width="10.140625" bestFit="1" customWidth="1"/>
  </cols>
  <sheetData>
    <row r="1" spans="1:3" s="18" customFormat="1">
      <c r="A1" s="107">
        <v>44075</v>
      </c>
      <c r="B1" s="18" t="s">
        <v>43</v>
      </c>
    </row>
    <row r="2" spans="1:3" s="18" customFormat="1">
      <c r="A2" s="107">
        <v>44076</v>
      </c>
      <c r="B2" s="18" t="s">
        <v>44</v>
      </c>
      <c r="C2" s="18">
        <v>2</v>
      </c>
    </row>
    <row r="3" spans="1:3" s="18" customFormat="1">
      <c r="A3" s="107">
        <v>44077</v>
      </c>
      <c r="B3" s="18" t="s">
        <v>38</v>
      </c>
      <c r="C3" s="18">
        <v>2</v>
      </c>
    </row>
    <row r="4" spans="1:3" s="18" customFormat="1">
      <c r="A4" s="107">
        <v>44078</v>
      </c>
      <c r="B4" s="18" t="s">
        <v>39</v>
      </c>
      <c r="C4" s="18">
        <v>2</v>
      </c>
    </row>
    <row r="5" spans="1:3" s="18" customFormat="1">
      <c r="A5" s="107">
        <v>44079</v>
      </c>
      <c r="B5" s="18" t="s">
        <v>40</v>
      </c>
      <c r="C5" s="18">
        <v>2</v>
      </c>
    </row>
    <row r="6" spans="1:3">
      <c r="A6" s="107">
        <v>44080</v>
      </c>
      <c r="B6" t="s">
        <v>41</v>
      </c>
    </row>
    <row r="7" spans="1:3">
      <c r="A7" s="107">
        <v>44081</v>
      </c>
      <c r="B7" t="s">
        <v>42</v>
      </c>
    </row>
    <row r="8" spans="1:3">
      <c r="A8" s="107">
        <v>44082</v>
      </c>
      <c r="B8" t="s">
        <v>43</v>
      </c>
      <c r="C8">
        <v>2</v>
      </c>
    </row>
    <row r="9" spans="1:3">
      <c r="A9" s="107">
        <v>44083</v>
      </c>
      <c r="B9" t="s">
        <v>44</v>
      </c>
      <c r="C9">
        <v>2</v>
      </c>
    </row>
    <row r="10" spans="1:3">
      <c r="A10" s="107">
        <v>44084</v>
      </c>
      <c r="B10" t="s">
        <v>38</v>
      </c>
      <c r="C10">
        <v>2</v>
      </c>
    </row>
    <row r="11" spans="1:3">
      <c r="A11" s="107">
        <v>44085</v>
      </c>
      <c r="B11" t="s">
        <v>39</v>
      </c>
      <c r="C11">
        <v>2</v>
      </c>
    </row>
    <row r="12" spans="1:3">
      <c r="A12" s="107">
        <v>44086</v>
      </c>
      <c r="B12" t="s">
        <v>40</v>
      </c>
    </row>
    <row r="13" spans="1:3">
      <c r="A13" s="107">
        <v>44087</v>
      </c>
      <c r="B13" t="s">
        <v>41</v>
      </c>
    </row>
    <row r="14" spans="1:3">
      <c r="A14" s="107">
        <v>44088</v>
      </c>
      <c r="B14" t="s">
        <v>42</v>
      </c>
    </row>
    <row r="15" spans="1:3">
      <c r="A15" s="107">
        <v>44089</v>
      </c>
      <c r="B15" t="s">
        <v>43</v>
      </c>
    </row>
    <row r="16" spans="1:3">
      <c r="A16" s="107">
        <v>44090</v>
      </c>
      <c r="B16" t="s">
        <v>44</v>
      </c>
      <c r="C16">
        <v>2</v>
      </c>
    </row>
    <row r="17" spans="1:3">
      <c r="A17" s="107">
        <v>44091</v>
      </c>
      <c r="B17" t="s">
        <v>38</v>
      </c>
      <c r="C17">
        <v>2</v>
      </c>
    </row>
    <row r="18" spans="1:3">
      <c r="A18" s="107">
        <v>44092</v>
      </c>
      <c r="B18" t="s">
        <v>39</v>
      </c>
      <c r="C18">
        <v>2</v>
      </c>
    </row>
    <row r="19" spans="1:3">
      <c r="A19" s="107">
        <v>44093</v>
      </c>
      <c r="B19" t="s">
        <v>40</v>
      </c>
      <c r="C19">
        <v>2</v>
      </c>
    </row>
    <row r="20" spans="1:3">
      <c r="A20" s="107">
        <v>44094</v>
      </c>
      <c r="B20" t="s">
        <v>41</v>
      </c>
    </row>
    <row r="21" spans="1:3">
      <c r="A21" s="107">
        <v>44095</v>
      </c>
      <c r="B21" t="s">
        <v>42</v>
      </c>
    </row>
    <row r="22" spans="1:3">
      <c r="A22" s="107">
        <v>44096</v>
      </c>
      <c r="B22" t="s">
        <v>43</v>
      </c>
    </row>
    <row r="23" spans="1:3">
      <c r="A23" s="107">
        <v>44097</v>
      </c>
      <c r="B23" t="s">
        <v>44</v>
      </c>
      <c r="C23" s="18">
        <v>2</v>
      </c>
    </row>
    <row r="24" spans="1:3">
      <c r="A24" s="107">
        <v>44098</v>
      </c>
      <c r="B24" t="s">
        <v>38</v>
      </c>
      <c r="C24" s="18">
        <v>2</v>
      </c>
    </row>
    <row r="25" spans="1:3">
      <c r="A25" s="107">
        <v>44099</v>
      </c>
      <c r="B25" t="s">
        <v>39</v>
      </c>
      <c r="C25" s="18">
        <v>2</v>
      </c>
    </row>
    <row r="26" spans="1:3">
      <c r="A26" s="107">
        <v>44100</v>
      </c>
      <c r="B26" t="s">
        <v>40</v>
      </c>
      <c r="C26">
        <v>2</v>
      </c>
    </row>
    <row r="27" spans="1:3">
      <c r="A27" s="107">
        <v>44101</v>
      </c>
      <c r="B27" t="s">
        <v>41</v>
      </c>
    </row>
    <row r="28" spans="1:3">
      <c r="A28" s="107">
        <v>44102</v>
      </c>
      <c r="B28" t="s">
        <v>42</v>
      </c>
    </row>
    <row r="29" spans="1:3">
      <c r="A29" s="107">
        <v>44103</v>
      </c>
      <c r="B29" t="s">
        <v>43</v>
      </c>
    </row>
    <row r="30" spans="1:3">
      <c r="A30" s="107">
        <v>44104</v>
      </c>
      <c r="B30" t="s">
        <v>44</v>
      </c>
      <c r="C30" s="18">
        <v>2</v>
      </c>
    </row>
    <row r="31" spans="1:3">
      <c r="A31" s="107">
        <v>44105</v>
      </c>
      <c r="B31" t="s">
        <v>38</v>
      </c>
      <c r="C31" s="18">
        <v>2</v>
      </c>
    </row>
    <row r="32" spans="1:3">
      <c r="A32" s="107">
        <v>44106</v>
      </c>
      <c r="B32" t="s">
        <v>39</v>
      </c>
      <c r="C32" s="18">
        <v>2</v>
      </c>
    </row>
    <row r="33" spans="1:3">
      <c r="A33" s="107">
        <v>44107</v>
      </c>
      <c r="B33" t="s">
        <v>40</v>
      </c>
      <c r="C33">
        <v>2</v>
      </c>
    </row>
    <row r="34" spans="1:3">
      <c r="A34" s="107">
        <v>44108</v>
      </c>
      <c r="B34" t="s">
        <v>41</v>
      </c>
    </row>
    <row r="35" spans="1:3">
      <c r="A35" s="107">
        <v>44109</v>
      </c>
      <c r="B35" t="s">
        <v>42</v>
      </c>
    </row>
    <row r="36" spans="1:3">
      <c r="A36" s="107">
        <v>44110</v>
      </c>
      <c r="B36" t="s">
        <v>43</v>
      </c>
    </row>
    <row r="37" spans="1:3">
      <c r="A37" s="107">
        <v>44111</v>
      </c>
      <c r="B37" t="s">
        <v>44</v>
      </c>
      <c r="C37" s="18">
        <v>2</v>
      </c>
    </row>
    <row r="38" spans="1:3">
      <c r="A38" s="107">
        <v>44112</v>
      </c>
      <c r="B38" t="s">
        <v>38</v>
      </c>
      <c r="C38" s="18">
        <v>2</v>
      </c>
    </row>
    <row r="39" spans="1:3">
      <c r="A39" s="107">
        <v>44113</v>
      </c>
      <c r="B39" t="s">
        <v>39</v>
      </c>
      <c r="C39" s="18">
        <v>2</v>
      </c>
    </row>
    <row r="40" spans="1:3">
      <c r="A40" s="107">
        <v>44114</v>
      </c>
      <c r="B40" t="s">
        <v>40</v>
      </c>
      <c r="C40">
        <v>2</v>
      </c>
    </row>
    <row r="41" spans="1:3">
      <c r="A41" s="107">
        <v>44115</v>
      </c>
      <c r="B41" t="s">
        <v>41</v>
      </c>
    </row>
    <row r="42" spans="1:3">
      <c r="A42" s="107">
        <v>44116</v>
      </c>
      <c r="B42" t="s">
        <v>42</v>
      </c>
    </row>
    <row r="43" spans="1:3">
      <c r="A43" s="107">
        <v>44117</v>
      </c>
      <c r="B43" t="s">
        <v>43</v>
      </c>
    </row>
    <row r="44" spans="1:3">
      <c r="A44" s="107">
        <v>44118</v>
      </c>
      <c r="B44" t="s">
        <v>44</v>
      </c>
      <c r="C44" s="18">
        <v>2</v>
      </c>
    </row>
    <row r="45" spans="1:3">
      <c r="A45" s="107">
        <v>44119</v>
      </c>
      <c r="B45" t="s">
        <v>38</v>
      </c>
      <c r="C45" s="18">
        <v>2</v>
      </c>
    </row>
    <row r="46" spans="1:3">
      <c r="A46" s="107">
        <v>44120</v>
      </c>
      <c r="B46" t="s">
        <v>39</v>
      </c>
      <c r="C46" s="18">
        <v>2</v>
      </c>
    </row>
    <row r="47" spans="1:3">
      <c r="A47" s="107">
        <v>44121</v>
      </c>
      <c r="B47" t="s">
        <v>40</v>
      </c>
      <c r="C47">
        <v>2</v>
      </c>
    </row>
    <row r="48" spans="1:3">
      <c r="A48" s="107">
        <v>44122</v>
      </c>
      <c r="B48" t="s">
        <v>41</v>
      </c>
    </row>
    <row r="49" spans="1:8">
      <c r="A49" s="107">
        <v>44123</v>
      </c>
      <c r="B49" t="s">
        <v>42</v>
      </c>
    </row>
    <row r="50" spans="1:8">
      <c r="A50" s="107">
        <v>44124</v>
      </c>
      <c r="B50" t="s">
        <v>43</v>
      </c>
    </row>
    <row r="51" spans="1:8">
      <c r="A51" s="107">
        <v>44125</v>
      </c>
      <c r="B51" t="s">
        <v>44</v>
      </c>
      <c r="C51" s="18">
        <v>2</v>
      </c>
    </row>
    <row r="52" spans="1:8">
      <c r="A52" s="107">
        <v>44126</v>
      </c>
      <c r="B52" t="s">
        <v>38</v>
      </c>
      <c r="C52" s="18">
        <v>2</v>
      </c>
      <c r="F52" s="107">
        <v>44236</v>
      </c>
      <c r="G52" s="107">
        <v>44263</v>
      </c>
      <c r="H52">
        <f>G52-F52</f>
        <v>27</v>
      </c>
    </row>
    <row r="53" spans="1:8">
      <c r="A53" s="107">
        <v>44127</v>
      </c>
      <c r="B53" t="s">
        <v>39</v>
      </c>
      <c r="C53" s="18">
        <v>2</v>
      </c>
    </row>
    <row r="54" spans="1:8">
      <c r="A54" s="107">
        <v>44128</v>
      </c>
      <c r="B54" t="s">
        <v>40</v>
      </c>
      <c r="C54">
        <v>2</v>
      </c>
    </row>
    <row r="55" spans="1:8">
      <c r="A55" s="107">
        <v>44129</v>
      </c>
      <c r="B55" t="s">
        <v>41</v>
      </c>
    </row>
    <row r="56" spans="1:8">
      <c r="A56" s="107">
        <v>44130</v>
      </c>
      <c r="B56" t="s">
        <v>42</v>
      </c>
    </row>
    <row r="57" spans="1:8">
      <c r="A57" s="107">
        <v>44131</v>
      </c>
      <c r="B57" t="s">
        <v>43</v>
      </c>
    </row>
    <row r="58" spans="1:8">
      <c r="A58" s="107">
        <v>44132</v>
      </c>
      <c r="B58" t="s">
        <v>44</v>
      </c>
      <c r="C58">
        <v>2</v>
      </c>
    </row>
    <row r="59" spans="1:8">
      <c r="A59" s="107">
        <v>44133</v>
      </c>
      <c r="B59" t="s">
        <v>38</v>
      </c>
      <c r="C59">
        <v>2</v>
      </c>
    </row>
    <row r="60" spans="1:8">
      <c r="A60" s="107">
        <v>44134</v>
      </c>
      <c r="B60" t="s">
        <v>39</v>
      </c>
      <c r="C60">
        <v>2</v>
      </c>
    </row>
    <row r="61" spans="1:8">
      <c r="A61" s="107">
        <v>44135</v>
      </c>
      <c r="B61" t="s">
        <v>40</v>
      </c>
      <c r="C61">
        <v>2</v>
      </c>
    </row>
    <row r="62" spans="1:8">
      <c r="C62">
        <f>SUM(C1:C61)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3</vt:i4>
      </vt:variant>
    </vt:vector>
  </HeadingPairs>
  <TitlesOfParts>
    <vt:vector size="10" baseType="lpstr">
      <vt:lpstr>Кассовая книга</vt:lpstr>
      <vt:lpstr>Контакты</vt:lpstr>
      <vt:lpstr>График</vt:lpstr>
      <vt:lpstr>График пом_уборка</vt:lpstr>
      <vt:lpstr>расписание зала</vt:lpstr>
      <vt:lpstr>Расписание в группу</vt:lpstr>
      <vt:lpstr>Благотворительный фонд</vt:lpstr>
      <vt:lpstr>График!Область_печати</vt:lpstr>
      <vt:lpstr>'расписание зала'!Область_печати</vt:lpstr>
      <vt:lpstr>Сотрудники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Пользователь Windows</cp:lastModifiedBy>
  <cp:lastPrinted>2021-03-01T11:58:23Z</cp:lastPrinted>
  <dcterms:created xsi:type="dcterms:W3CDTF">2019-01-09T14:33:10Z</dcterms:created>
  <dcterms:modified xsi:type="dcterms:W3CDTF">2021-03-04T18:49:32Z</dcterms:modified>
</cp:coreProperties>
</file>