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matth\Documents\school\UNI\Birmingham\Comp. Sci\CS Resources\FirstYearCSResources\resources\"/>
    </mc:Choice>
  </mc:AlternateContent>
  <xr:revisionPtr revIDLastSave="0" documentId="13_ncr:1_{A60B0E0C-8368-4161-9A75-CDCC73DFF335}" xr6:coauthVersionLast="47" xr6:coauthVersionMax="47" xr10:uidLastSave="{00000000-0000-0000-0000-000000000000}"/>
  <bookViews>
    <workbookView xWindow="28680" yWindow="-120" windowWidth="29040" windowHeight="15840" xr2:uid="{B7EF9BA6-F1C8-4970-808A-2941F4194624}"/>
  </bookViews>
  <sheets>
    <sheet name="Menu" sheetId="7" r:id="rId1"/>
    <sheet name="AI1" sheetId="1" r:id="rId2"/>
    <sheet name="DSA" sheetId="2" r:id="rId3"/>
    <sheet name="FSAD" sheetId="3" r:id="rId4"/>
    <sheet name="MLFCS" sheetId="4" r:id="rId5"/>
    <sheet name="OOP" sheetId="5" r:id="rId6"/>
    <sheet name="ToC" sheetId="6" r:id="rId7"/>
    <sheet name="AI2" sheetId="9" r:id="rId8"/>
    <sheet name="FP" sheetId="10" r:id="rId9"/>
    <sheet name="SN" sheetId="11" r:id="rId10"/>
    <sheet name="SEPP" sheetId="12" r:id="rId11"/>
    <sheet name="SPCC" sheetId="13" r:id="rId12"/>
    <sheet name="TP" sheetId="14" r:id="rId13"/>
    <sheet name="Final" sheetId="8" r:id="rId14"/>
    <sheet name="Assessments" sheetId="15" r:id="rId15"/>
    <sheet name="FYM-Select" sheetId="16" r:id="rId16"/>
    <sheet name="CyberSecMScModules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8" l="1"/>
  <c r="E6" i="8"/>
  <c r="K4" i="1"/>
  <c r="K3" i="1"/>
  <c r="J4" i="1"/>
  <c r="J3" i="1"/>
  <c r="G8" i="1"/>
  <c r="G7" i="1"/>
  <c r="G6" i="1"/>
  <c r="G5" i="1"/>
  <c r="G4" i="1"/>
  <c r="G3" i="1"/>
  <c r="K4" i="3"/>
  <c r="G3" i="3"/>
  <c r="K3" i="3" s="1"/>
  <c r="G4" i="3"/>
  <c r="G5" i="3"/>
  <c r="J3" i="3"/>
  <c r="I5" i="17"/>
  <c r="I4" i="17"/>
  <c r="I3" i="17"/>
  <c r="G4" i="16"/>
  <c r="G3" i="16"/>
  <c r="J5" i="4"/>
  <c r="K4" i="4"/>
  <c r="J4" i="4"/>
  <c r="J3" i="4"/>
  <c r="G10" i="4"/>
  <c r="G11" i="4"/>
  <c r="G6" i="4"/>
  <c r="G7" i="4"/>
  <c r="G8" i="4"/>
  <c r="G15" i="4"/>
  <c r="K5" i="4" s="1"/>
  <c r="G14" i="4"/>
  <c r="G13" i="4"/>
  <c r="G12" i="4"/>
  <c r="G9" i="4"/>
  <c r="G5" i="4"/>
  <c r="G4" i="4"/>
  <c r="G3" i="4"/>
  <c r="J4" i="2"/>
  <c r="J3" i="2"/>
  <c r="J5" i="2" s="1"/>
  <c r="J3" i="5"/>
  <c r="J5" i="5" s="1"/>
  <c r="G7" i="2"/>
  <c r="K4" i="2" s="1"/>
  <c r="G6" i="2"/>
  <c r="G5" i="2"/>
  <c r="G4" i="2"/>
  <c r="G3" i="2"/>
  <c r="J4" i="5"/>
  <c r="G4" i="5"/>
  <c r="G5" i="5"/>
  <c r="G6" i="5"/>
  <c r="G7" i="5"/>
  <c r="G8" i="5"/>
  <c r="K3" i="5" s="1"/>
  <c r="G9" i="5"/>
  <c r="G10" i="5"/>
  <c r="G3" i="5"/>
  <c r="K5" i="1" l="1"/>
  <c r="J5" i="1"/>
  <c r="J4" i="3"/>
  <c r="K3" i="2"/>
  <c r="K5" i="2" s="1"/>
  <c r="E3" i="8" s="1"/>
  <c r="I6" i="17"/>
  <c r="G5" i="16"/>
  <c r="K3" i="4"/>
  <c r="K6" i="4" s="1"/>
  <c r="E4" i="8" s="1"/>
  <c r="J6" i="4"/>
  <c r="K4" i="5"/>
  <c r="K5" i="5" s="1"/>
  <c r="E5" i="8" s="1"/>
</calcChain>
</file>

<file path=xl/sharedStrings.xml><?xml version="1.0" encoding="utf-8"?>
<sst xmlns="http://schemas.openxmlformats.org/spreadsheetml/2006/main" count="301" uniqueCount="122">
  <si>
    <t>Module</t>
  </si>
  <si>
    <t>Credits</t>
  </si>
  <si>
    <t>Year</t>
  </si>
  <si>
    <t>Semester</t>
  </si>
  <si>
    <t>Score</t>
  </si>
  <si>
    <t>Total</t>
  </si>
  <si>
    <t>Final Marks</t>
  </si>
  <si>
    <t>Artificial Intelligence 1</t>
  </si>
  <si>
    <t>Data Structures &amp; Algorithms</t>
  </si>
  <si>
    <t>Full Stack Application Development</t>
  </si>
  <si>
    <t>Mathematical and Logical Foundations of Computer Science</t>
  </si>
  <si>
    <t>Object Oriented Programming</t>
  </si>
  <si>
    <t>Theories of Computation</t>
  </si>
  <si>
    <t>Artificial Intelligence 2</t>
  </si>
  <si>
    <t>Functional Programming</t>
  </si>
  <si>
    <t>Security and Networks</t>
  </si>
  <si>
    <t>Software Engineering and Professional Practice</t>
  </si>
  <si>
    <t>Systems Programming in C/C++</t>
  </si>
  <si>
    <t>Team Project</t>
  </si>
  <si>
    <t>Assessment</t>
  </si>
  <si>
    <t>Type</t>
  </si>
  <si>
    <t>Date</t>
  </si>
  <si>
    <t>Weight</t>
  </si>
  <si>
    <t>Marks</t>
  </si>
  <si>
    <t>Out Of</t>
  </si>
  <si>
    <t>Percent</t>
  </si>
  <si>
    <t>OT</t>
  </si>
  <si>
    <t>Assignment 2</t>
  </si>
  <si>
    <t>Assignment 3</t>
  </si>
  <si>
    <t>AS</t>
  </si>
  <si>
    <t>Test - W1</t>
  </si>
  <si>
    <t>Test - W2</t>
  </si>
  <si>
    <t>Test - W3</t>
  </si>
  <si>
    <t>Test - W5</t>
  </si>
  <si>
    <t>Test - W10</t>
  </si>
  <si>
    <t>Tests</t>
  </si>
  <si>
    <t>Assignments</t>
  </si>
  <si>
    <t>Data Structures and Algorithms</t>
  </si>
  <si>
    <t>Quiz 1</t>
  </si>
  <si>
    <t>Quiz 2</t>
  </si>
  <si>
    <t>Quiz 3</t>
  </si>
  <si>
    <t>Quiz 4</t>
  </si>
  <si>
    <t>Exam</t>
  </si>
  <si>
    <t>EX</t>
  </si>
  <si>
    <t>QZ</t>
  </si>
  <si>
    <t>Quiz</t>
  </si>
  <si>
    <t>CT</t>
  </si>
  <si>
    <t>Week 5 Class Test</t>
  </si>
  <si>
    <t>Week 9 Class Test</t>
  </si>
  <si>
    <t>Graded Quiz 1</t>
  </si>
  <si>
    <t>Graded Quiz 2</t>
  </si>
  <si>
    <t>Graded Quiz 3</t>
  </si>
  <si>
    <t>Graded Quiz 4</t>
  </si>
  <si>
    <t>Graded Quiz 5</t>
  </si>
  <si>
    <t>Graded Quiz 6</t>
  </si>
  <si>
    <t>Graded Quiz 7</t>
  </si>
  <si>
    <t>Graded Quiz 8</t>
  </si>
  <si>
    <t>Graded Quiz 9</t>
  </si>
  <si>
    <t>Graded Quiz 10</t>
  </si>
  <si>
    <t>Quizs</t>
  </si>
  <si>
    <t>Class Tests</t>
  </si>
  <si>
    <t>Year 1</t>
  </si>
  <si>
    <t>Year 2</t>
  </si>
  <si>
    <t>Test - W11</t>
  </si>
  <si>
    <t>Release</t>
  </si>
  <si>
    <t>Due</t>
  </si>
  <si>
    <t>January Exam</t>
  </si>
  <si>
    <t>DSA</t>
  </si>
  <si>
    <t>January</t>
  </si>
  <si>
    <t>OOP</t>
  </si>
  <si>
    <t>Online Test 1</t>
  </si>
  <si>
    <t>Online Test 2</t>
  </si>
  <si>
    <t>Online Test 3</t>
  </si>
  <si>
    <t>Online Test 4</t>
  </si>
  <si>
    <t>Online Test 5</t>
  </si>
  <si>
    <t>Online Test 6</t>
  </si>
  <si>
    <t>N/A</t>
  </si>
  <si>
    <t>MLFCS</t>
  </si>
  <si>
    <t>Class Test 1</t>
  </si>
  <si>
    <t>Class Test 2</t>
  </si>
  <si>
    <t>Unknown</t>
  </si>
  <si>
    <t>Semester 1</t>
  </si>
  <si>
    <t>Semester 2</t>
  </si>
  <si>
    <t>Final Year Modules</t>
  </si>
  <si>
    <t>Final Year</t>
  </si>
  <si>
    <t>Name</t>
  </si>
  <si>
    <t>Select?</t>
  </si>
  <si>
    <t>Advanced Functional Programming</t>
  </si>
  <si>
    <t>Advanced Networking</t>
  </si>
  <si>
    <t>Algorithms and Complexity</t>
  </si>
  <si>
    <t>Computer Vision and Imaging</t>
  </si>
  <si>
    <t>Evolutionary Computation</t>
  </si>
  <si>
    <t>Human-Computer Interaction</t>
  </si>
  <si>
    <t>Intelligent Robotics</t>
  </si>
  <si>
    <t>Machine Learning and Intelligent Data Analysis</t>
  </si>
  <si>
    <t>Mobile &amp; Ubiquitous Computing</t>
  </si>
  <si>
    <t>Neural Computation</t>
  </si>
  <si>
    <t>Programming Language Principles, Design, and Implementation</t>
  </si>
  <si>
    <t>Security of Real-World Systems</t>
  </si>
  <si>
    <t>Teaching Computer Science in Schools</t>
  </si>
  <si>
    <t>Yes</t>
  </si>
  <si>
    <t>Computer Science Project (Compulsory)</t>
  </si>
  <si>
    <t>No</t>
  </si>
  <si>
    <t>Graded Quiz 11</t>
  </si>
  <si>
    <t>Designing and Managing Secure Systems</t>
  </si>
  <si>
    <t>Autumn</t>
  </si>
  <si>
    <t>Spring</t>
  </si>
  <si>
    <t>Summer</t>
  </si>
  <si>
    <t>Forensics, Malware, and Penetration Testing</t>
  </si>
  <si>
    <t>Network Security and Cryptography</t>
  </si>
  <si>
    <t>Project - CompSci MSc</t>
  </si>
  <si>
    <t>Secure Software and Hardware Systems</t>
  </si>
  <si>
    <t>Compulsory</t>
  </si>
  <si>
    <t>Algorithms and Complexity (Extended)</t>
  </si>
  <si>
    <t>Optional</t>
  </si>
  <si>
    <t>Machine Learning and Intelligent Data Analysis (Extended)</t>
  </si>
  <si>
    <t>Mobile &amp; Ubiquitous Computing (Extended)</t>
  </si>
  <si>
    <t>Programming Language Principles, Design, and Implementation (Extended)</t>
  </si>
  <si>
    <t>Maths &amp; Logic in Comp. Sci.</t>
  </si>
  <si>
    <t>Assignment 1</t>
  </si>
  <si>
    <t>Quiz 5</t>
  </si>
  <si>
    <t>Quizzes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</si>
</sst>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17" fontId="0" fillId="0" borderId="0" xfId="0" applyNumberFormat="1" applyAlignment="1">
      <alignment horizontal="center"/>
    </xf>
    <xf numFmtId="0" fontId="5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ill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8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SEPP!A1"/><Relationship Id="rId13" Type="http://schemas.openxmlformats.org/officeDocument/2006/relationships/hyperlink" Target="#Final!A1"/><Relationship Id="rId3" Type="http://schemas.openxmlformats.org/officeDocument/2006/relationships/hyperlink" Target="#OOP!A1"/><Relationship Id="rId7" Type="http://schemas.openxmlformats.org/officeDocument/2006/relationships/hyperlink" Target="#FP!A1"/><Relationship Id="rId12" Type="http://schemas.openxmlformats.org/officeDocument/2006/relationships/hyperlink" Target="#TP!A1"/><Relationship Id="rId2" Type="http://schemas.openxmlformats.org/officeDocument/2006/relationships/hyperlink" Target="#MLFCS!A1"/><Relationship Id="rId1" Type="http://schemas.openxmlformats.org/officeDocument/2006/relationships/hyperlink" Target="#DSA!A1"/><Relationship Id="rId6" Type="http://schemas.openxmlformats.org/officeDocument/2006/relationships/hyperlink" Target="#ToC!A1"/><Relationship Id="rId11" Type="http://schemas.openxmlformats.org/officeDocument/2006/relationships/hyperlink" Target="#SN!A1"/><Relationship Id="rId5" Type="http://schemas.openxmlformats.org/officeDocument/2006/relationships/hyperlink" Target="#FSAD!A1"/><Relationship Id="rId10" Type="http://schemas.openxmlformats.org/officeDocument/2006/relationships/hyperlink" Target="#'AI2'!A1"/><Relationship Id="rId4" Type="http://schemas.openxmlformats.org/officeDocument/2006/relationships/hyperlink" Target="#'AI1'!A1"/><Relationship Id="rId9" Type="http://schemas.openxmlformats.org/officeDocument/2006/relationships/hyperlink" Target="#SPCC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9525</xdr:rowOff>
    </xdr:from>
    <xdr:to>
      <xdr:col>2</xdr:col>
      <xdr:colOff>600075</xdr:colOff>
      <xdr:row>7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A02E7E-1F3F-498E-8687-D0F3394AE27E}"/>
            </a:ext>
          </a:extLst>
        </xdr:cNvPr>
        <xdr:cNvSpPr/>
      </xdr:nvSpPr>
      <xdr:spPr>
        <a:xfrm>
          <a:off x="609600" y="1085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DSA</a:t>
          </a:r>
        </a:p>
      </xdr:txBody>
    </xdr:sp>
    <xdr:clientData/>
  </xdr:twoCellAnchor>
  <xdr:twoCellAnchor>
    <xdr:from>
      <xdr:col>1</xdr:col>
      <xdr:colOff>0</xdr:colOff>
      <xdr:row>9</xdr:row>
      <xdr:rowOff>9525</xdr:rowOff>
    </xdr:from>
    <xdr:to>
      <xdr:col>2</xdr:col>
      <xdr:colOff>600075</xdr:colOff>
      <xdr:row>12</xdr:row>
      <xdr:rowOff>0</xdr:rowOff>
    </xdr:to>
    <xdr:sp macro="" textlink="">
      <xdr:nvSpPr>
        <xdr:cNvPr id="8" name="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630CCD-D134-4E5E-B9A1-123A725F4B57}"/>
            </a:ext>
          </a:extLst>
        </xdr:cNvPr>
        <xdr:cNvSpPr/>
      </xdr:nvSpPr>
      <xdr:spPr>
        <a:xfrm>
          <a:off x="609600" y="1847850"/>
          <a:ext cx="12096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MLFCS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2</xdr:col>
      <xdr:colOff>600075</xdr:colOff>
      <xdr:row>15</xdr:row>
      <xdr:rowOff>180975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3C9EFA-B677-4227-9A4A-F27B58965BB5}"/>
            </a:ext>
          </a:extLst>
        </xdr:cNvPr>
        <xdr:cNvSpPr/>
      </xdr:nvSpPr>
      <xdr:spPr>
        <a:xfrm>
          <a:off x="609600" y="2600325"/>
          <a:ext cx="12096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OOP</a:t>
          </a:r>
        </a:p>
      </xdr:txBody>
    </xdr:sp>
    <xdr:clientData/>
  </xdr:twoCellAnchor>
  <xdr:twoCellAnchor>
    <xdr:from>
      <xdr:col>1</xdr:col>
      <xdr:colOff>0</xdr:colOff>
      <xdr:row>18</xdr:row>
      <xdr:rowOff>235401</xdr:rowOff>
    </xdr:from>
    <xdr:to>
      <xdr:col>2</xdr:col>
      <xdr:colOff>600075</xdr:colOff>
      <xdr:row>21</xdr:row>
      <xdr:rowOff>185058</xdr:rowOff>
    </xdr:to>
    <xdr:sp macro="" textlink="">
      <xdr:nvSpPr>
        <xdr:cNvPr id="10" name="Rectangl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55F6EE7-63EF-47D6-8308-ECBA7EE9B83C}"/>
            </a:ext>
          </a:extLst>
        </xdr:cNvPr>
        <xdr:cNvSpPr/>
      </xdr:nvSpPr>
      <xdr:spPr>
        <a:xfrm>
          <a:off x="609600" y="3789587"/>
          <a:ext cx="1209675" cy="570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AI1</a:t>
          </a:r>
        </a:p>
      </xdr:txBody>
    </xdr:sp>
    <xdr:clientData/>
  </xdr:twoCellAnchor>
  <xdr:twoCellAnchor>
    <xdr:from>
      <xdr:col>1</xdr:col>
      <xdr:colOff>0</xdr:colOff>
      <xdr:row>23</xdr:row>
      <xdr:rowOff>1359</xdr:rowOff>
    </xdr:from>
    <xdr:to>
      <xdr:col>2</xdr:col>
      <xdr:colOff>600075</xdr:colOff>
      <xdr:row>25</xdr:row>
      <xdr:rowOff>185058</xdr:rowOff>
    </xdr:to>
    <xdr:sp macro="" textlink="">
      <xdr:nvSpPr>
        <xdr:cNvPr id="11" name="Rectangl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1CBE4E3-DCD6-4D3F-9E99-9E90EB09C620}"/>
            </a:ext>
          </a:extLst>
        </xdr:cNvPr>
        <xdr:cNvSpPr/>
      </xdr:nvSpPr>
      <xdr:spPr>
        <a:xfrm>
          <a:off x="609600" y="4557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FSAD</a:t>
          </a:r>
        </a:p>
      </xdr:txBody>
    </xdr:sp>
    <xdr:clientData/>
  </xdr:twoCellAnchor>
  <xdr:twoCellAnchor>
    <xdr:from>
      <xdr:col>1</xdr:col>
      <xdr:colOff>0</xdr:colOff>
      <xdr:row>27</xdr:row>
      <xdr:rowOff>1359</xdr:rowOff>
    </xdr:from>
    <xdr:to>
      <xdr:col>2</xdr:col>
      <xdr:colOff>600075</xdr:colOff>
      <xdr:row>29</xdr:row>
      <xdr:rowOff>185058</xdr:rowOff>
    </xdr:to>
    <xdr:sp macro="" textlink="">
      <xdr:nvSpPr>
        <xdr:cNvPr id="12" name="Rectangl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9BFB6AE-4D80-4416-B75C-B3711CBBF4DA}"/>
            </a:ext>
          </a:extLst>
        </xdr:cNvPr>
        <xdr:cNvSpPr/>
      </xdr:nvSpPr>
      <xdr:spPr>
        <a:xfrm>
          <a:off x="609600" y="5319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ToC</a:t>
          </a:r>
        </a:p>
      </xdr:txBody>
    </xdr:sp>
    <xdr:clientData/>
  </xdr:twoCellAnchor>
  <xdr:twoCellAnchor>
    <xdr:from>
      <xdr:col>4</xdr:col>
      <xdr:colOff>9525</xdr:colOff>
      <xdr:row>4</xdr:row>
      <xdr:rowOff>238124</xdr:rowOff>
    </xdr:from>
    <xdr:to>
      <xdr:col>6</xdr:col>
      <xdr:colOff>0</xdr:colOff>
      <xdr:row>8</xdr:row>
      <xdr:rowOff>0</xdr:rowOff>
    </xdr:to>
    <xdr:sp macro="" textlink="">
      <xdr:nvSpPr>
        <xdr:cNvPr id="13" name="Rectangle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63C0C74-F4B6-4E39-A3D7-A02DF8BF2485}"/>
            </a:ext>
          </a:extLst>
        </xdr:cNvPr>
        <xdr:cNvSpPr/>
      </xdr:nvSpPr>
      <xdr:spPr>
        <a:xfrm>
          <a:off x="2447925" y="1076324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FP</a:t>
          </a:r>
        </a:p>
      </xdr:txBody>
    </xdr:sp>
    <xdr:clientData/>
  </xdr:twoCellAnchor>
  <xdr:twoCellAnchor>
    <xdr:from>
      <xdr:col>4</xdr:col>
      <xdr:colOff>0</xdr:colOff>
      <xdr:row>9</xdr:row>
      <xdr:rowOff>9525</xdr:rowOff>
    </xdr:from>
    <xdr:to>
      <xdr:col>5</xdr:col>
      <xdr:colOff>600075</xdr:colOff>
      <xdr:row>11</xdr:row>
      <xdr:rowOff>180975</xdr:rowOff>
    </xdr:to>
    <xdr:sp macro="" textlink="">
      <xdr:nvSpPr>
        <xdr:cNvPr id="14" name="Rectangle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B2ADCBD-6392-4B4B-AB6B-7A2EDB4A75E5}"/>
            </a:ext>
          </a:extLst>
        </xdr:cNvPr>
        <xdr:cNvSpPr/>
      </xdr:nvSpPr>
      <xdr:spPr>
        <a:xfrm>
          <a:off x="2438400" y="1847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SEPP</a:t>
          </a:r>
        </a:p>
      </xdr:txBody>
    </xdr:sp>
    <xdr:clientData/>
  </xdr:twoCellAnchor>
  <xdr:twoCellAnchor>
    <xdr:from>
      <xdr:col>4</xdr:col>
      <xdr:colOff>0</xdr:colOff>
      <xdr:row>13</xdr:row>
      <xdr:rowOff>9525</xdr:rowOff>
    </xdr:from>
    <xdr:to>
      <xdr:col>5</xdr:col>
      <xdr:colOff>600075</xdr:colOff>
      <xdr:row>15</xdr:row>
      <xdr:rowOff>180975</xdr:rowOff>
    </xdr:to>
    <xdr:sp macro="" textlink="">
      <xdr:nvSpPr>
        <xdr:cNvPr id="15" name="Rectangle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0DD8CC3-1626-4588-BBBB-959AEDF229FF}"/>
            </a:ext>
          </a:extLst>
        </xdr:cNvPr>
        <xdr:cNvSpPr/>
      </xdr:nvSpPr>
      <xdr:spPr>
        <a:xfrm>
          <a:off x="2438400" y="2609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SPCC</a:t>
          </a:r>
        </a:p>
      </xdr:txBody>
    </xdr:sp>
    <xdr:clientData/>
  </xdr:twoCellAnchor>
  <xdr:twoCellAnchor>
    <xdr:from>
      <xdr:col>4</xdr:col>
      <xdr:colOff>5443</xdr:colOff>
      <xdr:row>18</xdr:row>
      <xdr:rowOff>235401</xdr:rowOff>
    </xdr:from>
    <xdr:to>
      <xdr:col>5</xdr:col>
      <xdr:colOff>605518</xdr:colOff>
      <xdr:row>21</xdr:row>
      <xdr:rowOff>185058</xdr:rowOff>
    </xdr:to>
    <xdr:sp macro="" textlink="">
      <xdr:nvSpPr>
        <xdr:cNvPr id="16" name="Rectangle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10150B9-FE0E-49A6-89C1-0A0A466A0CBE}"/>
            </a:ext>
          </a:extLst>
        </xdr:cNvPr>
        <xdr:cNvSpPr/>
      </xdr:nvSpPr>
      <xdr:spPr>
        <a:xfrm>
          <a:off x="2443843" y="3789587"/>
          <a:ext cx="1209675" cy="570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AI2</a:t>
          </a:r>
        </a:p>
      </xdr:txBody>
    </xdr:sp>
    <xdr:clientData/>
  </xdr:twoCellAnchor>
  <xdr:twoCellAnchor>
    <xdr:from>
      <xdr:col>4</xdr:col>
      <xdr:colOff>0</xdr:colOff>
      <xdr:row>23</xdr:row>
      <xdr:rowOff>1359</xdr:rowOff>
    </xdr:from>
    <xdr:to>
      <xdr:col>5</xdr:col>
      <xdr:colOff>600075</xdr:colOff>
      <xdr:row>25</xdr:row>
      <xdr:rowOff>185058</xdr:rowOff>
    </xdr:to>
    <xdr:sp macro="" textlink="">
      <xdr:nvSpPr>
        <xdr:cNvPr id="17" name="Rectangle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F539664-4EA7-431B-9A84-A0A9551132CB}"/>
            </a:ext>
          </a:extLst>
        </xdr:cNvPr>
        <xdr:cNvSpPr/>
      </xdr:nvSpPr>
      <xdr:spPr>
        <a:xfrm>
          <a:off x="2438400" y="4557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S&amp;N</a:t>
          </a:r>
        </a:p>
      </xdr:txBody>
    </xdr:sp>
    <xdr:clientData/>
  </xdr:twoCellAnchor>
  <xdr:twoCellAnchor>
    <xdr:from>
      <xdr:col>4</xdr:col>
      <xdr:colOff>0</xdr:colOff>
      <xdr:row>27</xdr:row>
      <xdr:rowOff>1359</xdr:rowOff>
    </xdr:from>
    <xdr:to>
      <xdr:col>5</xdr:col>
      <xdr:colOff>600075</xdr:colOff>
      <xdr:row>29</xdr:row>
      <xdr:rowOff>185058</xdr:rowOff>
    </xdr:to>
    <xdr:sp macro="" textlink="">
      <xdr:nvSpPr>
        <xdr:cNvPr id="18" name="Rectangle 1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72A3084-9CF5-4511-9BAC-D686247D3777}"/>
            </a:ext>
          </a:extLst>
        </xdr:cNvPr>
        <xdr:cNvSpPr/>
      </xdr:nvSpPr>
      <xdr:spPr>
        <a:xfrm>
          <a:off x="2438400" y="5319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TP</a:t>
          </a:r>
        </a:p>
      </xdr:txBody>
    </xdr:sp>
    <xdr:clientData/>
  </xdr:twoCellAnchor>
  <xdr:twoCellAnchor>
    <xdr:from>
      <xdr:col>0</xdr:col>
      <xdr:colOff>590551</xdr:colOff>
      <xdr:row>32</xdr:row>
      <xdr:rowOff>66675</xdr:rowOff>
    </xdr:from>
    <xdr:to>
      <xdr:col>9</xdr:col>
      <xdr:colOff>1</xdr:colOff>
      <xdr:row>35</xdr:row>
      <xdr:rowOff>76200</xdr:rowOff>
    </xdr:to>
    <xdr:sp macro="" textlink="">
      <xdr:nvSpPr>
        <xdr:cNvPr id="19" name="Rectangle 1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D866A4F-3224-451C-8D2C-D26149352580}"/>
            </a:ext>
          </a:extLst>
        </xdr:cNvPr>
        <xdr:cNvSpPr/>
      </xdr:nvSpPr>
      <xdr:spPr>
        <a:xfrm>
          <a:off x="590551" y="6286500"/>
          <a:ext cx="4895850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  <xdr:twoCellAnchor>
    <xdr:from>
      <xdr:col>7</xdr:col>
      <xdr:colOff>0</xdr:colOff>
      <xdr:row>5</xdr:row>
      <xdr:rowOff>9526</xdr:rowOff>
    </xdr:from>
    <xdr:to>
      <xdr:col>8</xdr:col>
      <xdr:colOff>600075</xdr:colOff>
      <xdr:row>7</xdr:row>
      <xdr:rowOff>180976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5514A7D-56EB-4A86-8837-B6333B52DE47}"/>
            </a:ext>
          </a:extLst>
        </xdr:cNvPr>
        <xdr:cNvSpPr/>
      </xdr:nvSpPr>
      <xdr:spPr>
        <a:xfrm>
          <a:off x="4267200" y="1085851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AN</a:t>
          </a:r>
        </a:p>
      </xdr:txBody>
    </xdr:sp>
    <xdr:clientData/>
  </xdr:twoCellAnchor>
  <xdr:twoCellAnchor>
    <xdr:from>
      <xdr:col>7</xdr:col>
      <xdr:colOff>9525</xdr:colOff>
      <xdr:row>9</xdr:row>
      <xdr:rowOff>9525</xdr:rowOff>
    </xdr:from>
    <xdr:to>
      <xdr:col>9</xdr:col>
      <xdr:colOff>0</xdr:colOff>
      <xdr:row>12</xdr:row>
      <xdr:rowOff>9526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E3247F7-89B8-4BB8-A743-D507051C3CDC}"/>
            </a:ext>
          </a:extLst>
        </xdr:cNvPr>
        <xdr:cNvSpPr/>
      </xdr:nvSpPr>
      <xdr:spPr>
        <a:xfrm>
          <a:off x="4276725" y="18478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SRWS</a:t>
          </a: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600075</xdr:colOff>
      <xdr:row>16</xdr:row>
      <xdr:rowOff>9524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3BB887EB-18B7-4092-8419-B04782F32B9E}"/>
            </a:ext>
          </a:extLst>
        </xdr:cNvPr>
        <xdr:cNvSpPr/>
      </xdr:nvSpPr>
      <xdr:spPr>
        <a:xfrm>
          <a:off x="4267200" y="2600325"/>
          <a:ext cx="1209675" cy="581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FYP</a:t>
          </a:r>
        </a:p>
      </xdr:txBody>
    </xdr:sp>
    <xdr:clientData/>
  </xdr:twoCellAnchor>
  <xdr:twoCellAnchor>
    <xdr:from>
      <xdr:col>7</xdr:col>
      <xdr:colOff>9525</xdr:colOff>
      <xdr:row>19</xdr:row>
      <xdr:rowOff>0</xdr:rowOff>
    </xdr:from>
    <xdr:to>
      <xdr:col>9</xdr:col>
      <xdr:colOff>0</xdr:colOff>
      <xdr:row>22</xdr:row>
      <xdr:rowOff>1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119BF917-71EB-47EA-B8E6-109AF39EF5BE}"/>
            </a:ext>
          </a:extLst>
        </xdr:cNvPr>
        <xdr:cNvSpPr/>
      </xdr:nvSpPr>
      <xdr:spPr>
        <a:xfrm>
          <a:off x="4276725" y="37909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TCSS</a:t>
          </a: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600075</xdr:colOff>
      <xdr:row>26</xdr:row>
      <xdr:rowOff>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A205C1BF-0614-4CAA-B83E-985AEBB74616}"/>
            </a:ext>
          </a:extLst>
        </xdr:cNvPr>
        <xdr:cNvSpPr/>
      </xdr:nvSpPr>
      <xdr:spPr>
        <a:xfrm>
          <a:off x="4267200" y="45529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CVI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600075</xdr:colOff>
      <xdr:row>30</xdr:row>
      <xdr:rowOff>9524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870815BE-77BC-47CF-ACC4-D484A4CC1377}"/>
            </a:ext>
          </a:extLst>
        </xdr:cNvPr>
        <xdr:cNvSpPr/>
      </xdr:nvSpPr>
      <xdr:spPr>
        <a:xfrm>
          <a:off x="4267200" y="5314950"/>
          <a:ext cx="1209675" cy="581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FYP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24</xdr:row>
      <xdr:rowOff>66675</xdr:rowOff>
    </xdr:from>
    <xdr:to>
      <xdr:col>6</xdr:col>
      <xdr:colOff>417786</xdr:colOff>
      <xdr:row>27</xdr:row>
      <xdr:rowOff>986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D3529F-CBEF-46F7-B681-5F5C33C91D6B}"/>
            </a:ext>
          </a:extLst>
        </xdr:cNvPr>
        <xdr:cNvSpPr/>
      </xdr:nvSpPr>
      <xdr:spPr>
        <a:xfrm>
          <a:off x="2590800" y="463867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6</xdr:col>
      <xdr:colOff>265386</xdr:colOff>
      <xdr:row>12</xdr:row>
      <xdr:rowOff>124811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B9BB9A-9462-45C3-AB36-CF961142B1A1}"/>
            </a:ext>
          </a:extLst>
        </xdr:cNvPr>
        <xdr:cNvSpPr/>
      </xdr:nvSpPr>
      <xdr:spPr>
        <a:xfrm>
          <a:off x="2438400" y="1905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6</xdr:col>
      <xdr:colOff>265386</xdr:colOff>
      <xdr:row>16</xdr:row>
      <xdr:rowOff>124811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2141FC-7173-481B-935B-6E7A786FBE81}"/>
            </a:ext>
          </a:extLst>
        </xdr:cNvPr>
        <xdr:cNvSpPr/>
      </xdr:nvSpPr>
      <xdr:spPr>
        <a:xfrm>
          <a:off x="2438400" y="2667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29</xdr:row>
      <xdr:rowOff>9525</xdr:rowOff>
    </xdr:from>
    <xdr:to>
      <xdr:col>6</xdr:col>
      <xdr:colOff>151086</xdr:colOff>
      <xdr:row>31</xdr:row>
      <xdr:rowOff>134336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C0D640-B08B-441A-AC98-A5ECFBAF70B9}"/>
            </a:ext>
          </a:extLst>
        </xdr:cNvPr>
        <xdr:cNvSpPr/>
      </xdr:nvSpPr>
      <xdr:spPr>
        <a:xfrm>
          <a:off x="2324100" y="553402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1300656</xdr:colOff>
      <xdr:row>15</xdr:row>
      <xdr:rowOff>39413</xdr:rowOff>
    </xdr:from>
    <xdr:to>
      <xdr:col>0</xdr:col>
      <xdr:colOff>2785242</xdr:colOff>
      <xdr:row>17</xdr:row>
      <xdr:rowOff>164224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F40FE2-89FA-4A90-A528-275983F12727}"/>
            </a:ext>
          </a:extLst>
        </xdr:cNvPr>
        <xdr:cNvSpPr/>
      </xdr:nvSpPr>
      <xdr:spPr>
        <a:xfrm>
          <a:off x="1300656" y="2975741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191894</xdr:colOff>
      <xdr:row>9</xdr:row>
      <xdr:rowOff>165875</xdr:rowOff>
    </xdr:from>
    <xdr:to>
      <xdr:col>3</xdr:col>
      <xdr:colOff>657305</xdr:colOff>
      <xdr:row>12</xdr:row>
      <xdr:rowOff>100186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1B319-0FAB-4A2D-AF86-0CAB7B526EFB}"/>
            </a:ext>
          </a:extLst>
        </xdr:cNvPr>
        <xdr:cNvSpPr/>
      </xdr:nvSpPr>
      <xdr:spPr>
        <a:xfrm>
          <a:off x="1269845" y="1954716"/>
          <a:ext cx="2017289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898072</xdr:colOff>
      <xdr:row>9</xdr:row>
      <xdr:rowOff>48985</xdr:rowOff>
    </xdr:from>
    <xdr:to>
      <xdr:col>2</xdr:col>
      <xdr:colOff>646387</xdr:colOff>
      <xdr:row>11</xdr:row>
      <xdr:rowOff>173796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88830-19DC-41CC-9BC7-32D693B1E22D}"/>
            </a:ext>
          </a:extLst>
        </xdr:cNvPr>
        <xdr:cNvSpPr/>
      </xdr:nvSpPr>
      <xdr:spPr>
        <a:xfrm>
          <a:off x="898072" y="183968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16328</xdr:colOff>
      <xdr:row>9</xdr:row>
      <xdr:rowOff>54429</xdr:rowOff>
    </xdr:from>
    <xdr:to>
      <xdr:col>4</xdr:col>
      <xdr:colOff>689928</xdr:colOff>
      <xdr:row>11</xdr:row>
      <xdr:rowOff>179240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252F94-8FA3-4E53-A76F-3B0E4BB45366}"/>
            </a:ext>
          </a:extLst>
        </xdr:cNvPr>
        <xdr:cNvSpPr/>
      </xdr:nvSpPr>
      <xdr:spPr>
        <a:xfrm>
          <a:off x="2639785" y="1845129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20411</xdr:colOff>
      <xdr:row>6</xdr:row>
      <xdr:rowOff>42182</xdr:rowOff>
    </xdr:from>
    <xdr:to>
      <xdr:col>3</xdr:col>
      <xdr:colOff>285797</xdr:colOff>
      <xdr:row>8</xdr:row>
      <xdr:rowOff>166993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665AEB-CC56-4D03-A9C2-A984FF5C31B8}"/>
            </a:ext>
          </a:extLst>
        </xdr:cNvPr>
        <xdr:cNvSpPr/>
      </xdr:nvSpPr>
      <xdr:spPr>
        <a:xfrm>
          <a:off x="1098097" y="1261382"/>
          <a:ext cx="1669643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41672</xdr:colOff>
      <xdr:row>16</xdr:row>
      <xdr:rowOff>53578</xdr:rowOff>
    </xdr:from>
    <xdr:to>
      <xdr:col>2</xdr:col>
      <xdr:colOff>871415</xdr:colOff>
      <xdr:row>18</xdr:row>
      <xdr:rowOff>178389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9680F-4973-4FCD-A3C6-69B841127B8A}"/>
            </a:ext>
          </a:extLst>
        </xdr:cNvPr>
        <xdr:cNvSpPr/>
      </xdr:nvSpPr>
      <xdr:spPr>
        <a:xfrm>
          <a:off x="1119188" y="3178969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684610</xdr:colOff>
      <xdr:row>16</xdr:row>
      <xdr:rowOff>47625</xdr:rowOff>
    </xdr:from>
    <xdr:to>
      <xdr:col>5</xdr:col>
      <xdr:colOff>627336</xdr:colOff>
      <xdr:row>18</xdr:row>
      <xdr:rowOff>172436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4FEEB6-829A-4834-BF3E-F3E172351336}"/>
            </a:ext>
          </a:extLst>
        </xdr:cNvPr>
        <xdr:cNvSpPr/>
      </xdr:nvSpPr>
      <xdr:spPr>
        <a:xfrm>
          <a:off x="3309938" y="3173016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2</xdr:col>
      <xdr:colOff>829743</xdr:colOff>
      <xdr:row>14</xdr:row>
      <xdr:rowOff>124811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C81392-B146-47E2-BD72-E5FC09F550BE}"/>
            </a:ext>
          </a:extLst>
        </xdr:cNvPr>
        <xdr:cNvSpPr/>
      </xdr:nvSpPr>
      <xdr:spPr>
        <a:xfrm>
          <a:off x="1077516" y="2363391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319088</xdr:colOff>
      <xdr:row>12</xdr:row>
      <xdr:rowOff>3572</xdr:rowOff>
    </xdr:from>
    <xdr:to>
      <xdr:col>5</xdr:col>
      <xdr:colOff>261815</xdr:colOff>
      <xdr:row>14</xdr:row>
      <xdr:rowOff>128383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D4685A9-EFAB-414B-A52A-1D6A61061881}"/>
            </a:ext>
          </a:extLst>
        </xdr:cNvPr>
        <xdr:cNvSpPr/>
      </xdr:nvSpPr>
      <xdr:spPr>
        <a:xfrm>
          <a:off x="2974182" y="2366963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265386</xdr:colOff>
      <xdr:row>3</xdr:row>
      <xdr:rowOff>124811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1FC84D-0528-460A-B3C4-F083645D25DA}"/>
            </a:ext>
          </a:extLst>
        </xdr:cNvPr>
        <xdr:cNvSpPr/>
      </xdr:nvSpPr>
      <xdr:spPr>
        <a:xfrm>
          <a:off x="609600" y="1905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20</xdr:row>
      <xdr:rowOff>85725</xdr:rowOff>
    </xdr:from>
    <xdr:to>
      <xdr:col>6</xdr:col>
      <xdr:colOff>170136</xdr:colOff>
      <xdr:row>23</xdr:row>
      <xdr:rowOff>20036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9044A8-37E0-49F0-8BC5-EB55C69457D6}"/>
            </a:ext>
          </a:extLst>
        </xdr:cNvPr>
        <xdr:cNvSpPr/>
      </xdr:nvSpPr>
      <xdr:spPr>
        <a:xfrm>
          <a:off x="2343150" y="389572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6</xdr:col>
      <xdr:colOff>265386</xdr:colOff>
      <xdr:row>8</xdr:row>
      <xdr:rowOff>124811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30780-FDFF-4EB3-97E2-F5E385C9E5CD}"/>
            </a:ext>
          </a:extLst>
        </xdr:cNvPr>
        <xdr:cNvSpPr/>
      </xdr:nvSpPr>
      <xdr:spPr>
        <a:xfrm>
          <a:off x="2438400" y="1143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A4CCE4-E406-4481-AA90-9A07CAD5BE7E}" name="OOP_10" displayName="OOP_10" ref="A2:G8" totalsRowShown="0" headerRowDxfId="83" dataDxfId="82">
  <autoFilter ref="A2:G8" xr:uid="{9EA4CCE4-E406-4481-AA90-9A07CAD5BE7E}"/>
  <tableColumns count="7">
    <tableColumn id="1" xr3:uid="{69A62117-FC87-4ECC-AB98-EF35B05A468E}" name="Assessment" dataDxfId="81"/>
    <tableColumn id="2" xr3:uid="{60753137-725D-4636-8C02-EC3D7FD23525}" name="Type" dataDxfId="80"/>
    <tableColumn id="3" xr3:uid="{05971888-5882-46B9-8195-7C40FE55BDBF}" name="Date" dataDxfId="79"/>
    <tableColumn id="4" xr3:uid="{79E72D4D-8ED7-4B0C-8D4A-E1F6B54F9E04}" name="Weight" dataDxfId="78"/>
    <tableColumn id="5" xr3:uid="{25BA5AEC-6E95-498F-9617-9DADAFA4F49D}" name="Marks" dataDxfId="77"/>
    <tableColumn id="6" xr3:uid="{8BC298BB-3525-4A67-928C-CDEF4817E4CE}" name="Out Of" dataDxfId="76"/>
    <tableColumn id="7" xr3:uid="{AD958F54-11F6-4131-85C7-2EB5FF82A984}" name="Percent" dataDxfId="75">
      <calculatedColumnFormula>IFERROR(OOP_10[[#This Row],[Marks]]/OOP_10[[#This Row],[Out Of]],0)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D3C205-D24B-481F-A0A5-97A6101B312A}" name="DSA" displayName="DSA" ref="A2:G7" totalsRowShown="0" headerRowDxfId="74" dataDxfId="73">
  <autoFilter ref="A2:G7" xr:uid="{20D3C205-D24B-481F-A0A5-97A6101B312A}"/>
  <tableColumns count="7">
    <tableColumn id="1" xr3:uid="{2270E0A8-E28C-4AF9-BFC1-A412E0725E4C}" name="Assessment" dataDxfId="72"/>
    <tableColumn id="2" xr3:uid="{7052E14A-65AF-43E2-8483-D779564FD6C0}" name="Type" dataDxfId="71"/>
    <tableColumn id="3" xr3:uid="{63A96BCC-5661-4CA8-9927-9E1FA068D3C4}" name="Date" dataDxfId="70"/>
    <tableColumn id="4" xr3:uid="{1F33FCAA-DEEE-45E2-89E6-03E71911E17F}" name="Weight" dataDxfId="69"/>
    <tableColumn id="5" xr3:uid="{F1F6B912-427B-4B79-AD72-0E5794AA2EB0}" name="Marks" dataDxfId="68"/>
    <tableColumn id="6" xr3:uid="{C6CD4014-F914-41A7-9044-7D2D5C20AB20}" name="Out Of" dataDxfId="67"/>
    <tableColumn id="7" xr3:uid="{21C62A9F-30A4-4FEA-9205-6025E71D32F4}" name="Percent" dataDxfId="66">
      <calculatedColumnFormula>IFERROR(DSA[[#This Row],[Marks]]/DSA[[#This Row],[Out Of]],0)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5ED7B2-2694-475F-9750-DB6006F821CB}" name="OOP_9" displayName="OOP_9" ref="A2:G5" totalsRowShown="0" headerRowDxfId="65" dataDxfId="64">
  <autoFilter ref="A2:G5" xr:uid="{F35ED7B2-2694-475F-9750-DB6006F821CB}"/>
  <tableColumns count="7">
    <tableColumn id="1" xr3:uid="{E80B8A59-3B9F-4512-8A91-0C6601A07EE2}" name="Assessment" dataDxfId="63"/>
    <tableColumn id="2" xr3:uid="{E5D6FFF2-E218-4868-ADD3-69587A76F673}" name="Type" dataDxfId="62"/>
    <tableColumn id="3" xr3:uid="{59C1D46E-21B1-49C7-8032-C8F8375176BE}" name="Date" dataDxfId="61"/>
    <tableColumn id="4" xr3:uid="{74073497-F8B4-4CA4-AE6C-18AF43D79BB4}" name="Weight" dataDxfId="60"/>
    <tableColumn id="5" xr3:uid="{E1196646-88EC-4C14-B54C-30FABBD9067B}" name="Marks" dataDxfId="59"/>
    <tableColumn id="6" xr3:uid="{F7783659-DAB3-47F3-B843-4B680178AE5A}" name="Out Of" dataDxfId="58"/>
    <tableColumn id="7" xr3:uid="{63276932-3C7D-439A-979B-4B0ECD257653}" name="Percent" dataDxfId="57">
      <calculatedColumnFormula>IFERROR(OOP_9[[#This Row],[Marks]]/OOP_9[[#This Row],[Out Of]],0)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AFA088-5628-4B0C-A947-DF271B3597BC}" name="MLFCS" displayName="MLFCS" ref="A2:G15" totalsRowShown="0" headerRowDxfId="56" dataDxfId="55">
  <autoFilter ref="A2:G15" xr:uid="{B4AFA088-5628-4B0C-A947-DF271B3597BC}"/>
  <tableColumns count="7">
    <tableColumn id="1" xr3:uid="{15DC20F1-D841-4813-BF61-022F87C55DD2}" name="Assessment" dataDxfId="54"/>
    <tableColumn id="2" xr3:uid="{98565EC1-AB66-491E-907F-60B1C3C06AED}" name="Type" dataDxfId="53"/>
    <tableColumn id="3" xr3:uid="{E226E69F-80DF-46D2-B2DB-919F4093C819}" name="Date" dataDxfId="52"/>
    <tableColumn id="4" xr3:uid="{14002C37-7FC0-4B1E-9971-2BD856C2B2DB}" name="Weight" dataDxfId="51"/>
    <tableColumn id="5" xr3:uid="{4896E73E-0ED6-41FF-AEF7-13DD8D5F34A7}" name="Marks" dataDxfId="50"/>
    <tableColumn id="6" xr3:uid="{1D2BE4DF-6511-493E-AE36-FF8A538CC8FF}" name="Out Of" dataDxfId="49"/>
    <tableColumn id="7" xr3:uid="{C9A7BCBC-9AE4-4642-AEA7-952B70FD4E74}" name="Percent" dataDxfId="48">
      <calculatedColumnFormula>IFERROR(MLFCS[[#This Row],[Marks]]/MLFCS[[#This Row],[Out Of]],0)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22BBBF-6102-430C-9085-5B9BC95AF7B6}" name="OOP" displayName="OOP" ref="A2:G10" totalsRowShown="0" headerRowDxfId="47" dataDxfId="46">
  <autoFilter ref="A2:G10" xr:uid="{2622BBBF-6102-430C-9085-5B9BC95AF7B6}"/>
  <tableColumns count="7">
    <tableColumn id="1" xr3:uid="{8AF69D61-70B0-4B62-8A94-84FFD4FF1E30}" name="Assessment" dataDxfId="45"/>
    <tableColumn id="2" xr3:uid="{6115B625-2524-4C13-BFC6-76AD80B08F00}" name="Type" dataDxfId="44"/>
    <tableColumn id="3" xr3:uid="{8E7F7644-5258-47D7-BE01-F1673A9FC9F3}" name="Date" dataDxfId="43"/>
    <tableColumn id="4" xr3:uid="{A9B92261-E9DB-46C0-9F8E-65E2E3C608F6}" name="Weight" dataDxfId="42"/>
    <tableColumn id="5" xr3:uid="{CB9AA16B-15AA-4947-B2F6-F7C81AF67420}" name="Marks" dataDxfId="41"/>
    <tableColumn id="6" xr3:uid="{9B24B904-A5F0-44D1-ACED-E4E0338FA6DF}" name="Out Of" dataDxfId="40"/>
    <tableColumn id="7" xr3:uid="{1A8558B6-1346-45CB-8F71-8D91CA9265F5}" name="Percent" dataDxfId="39">
      <calculatedColumnFormula>IFERROR(OOP[[#This Row],[Marks]]/OOP[[#This Row],[Out Of]],0)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7F83F0-696F-4DA9-816E-95829FA77043}" name="Table1" displayName="Table1" ref="A2:E14" totalsRowShown="0" headerRowDxfId="38" dataDxfId="37">
  <autoFilter ref="A2:E14" xr:uid="{8C7F83F0-696F-4DA9-816E-95829FA77043}"/>
  <sortState xmlns:xlrd2="http://schemas.microsoft.com/office/spreadsheetml/2017/richdata2" ref="A3:E14">
    <sortCondition ref="C2:C14"/>
  </sortState>
  <tableColumns count="5">
    <tableColumn id="1" xr3:uid="{8D63AB25-C4F5-4F25-B996-68DBB88FA60D}" name="Module" dataDxfId="36"/>
    <tableColumn id="2" xr3:uid="{1C29305E-3227-4597-BBEC-44A2B0E4CC4F}" name="Credits" dataDxfId="35"/>
    <tableColumn id="3" xr3:uid="{B27A0533-DD77-42EF-8198-23242DE0BD7D}" name="Year" dataDxfId="34"/>
    <tableColumn id="4" xr3:uid="{4D8DE3E4-490E-4E79-85EE-043DF7F56F53}" name="Semester" dataDxfId="33"/>
    <tableColumn id="5" xr3:uid="{7AE710B2-1596-40DF-AA87-0DC058FAF3E4}" name="Total" dataDxfId="3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292A9A-0DCA-4512-A38F-6D0D6C40C4F6}" name="Table5" displayName="Table5" ref="A1:E27" totalsRowShown="0" headerRowDxfId="31" dataDxfId="30">
  <autoFilter ref="A1:E27" xr:uid="{C2292A9A-0DCA-4512-A38F-6D0D6C40C4F6}"/>
  <sortState xmlns:xlrd2="http://schemas.microsoft.com/office/spreadsheetml/2017/richdata2" ref="A2:E27">
    <sortCondition ref="D1:D27"/>
  </sortState>
  <tableColumns count="5">
    <tableColumn id="1" xr3:uid="{45B78292-D524-4642-96FC-D0DF620F1A72}" name="Assessment" dataDxfId="29"/>
    <tableColumn id="2" xr3:uid="{1CA06CD8-476D-4D7E-B485-B99253CDAB02}" name="Module" dataDxfId="28"/>
    <tableColumn id="5" xr3:uid="{8951D55B-B6A3-4963-B426-3FFB2CC407BA}" name="Weight" dataDxfId="27"/>
    <tableColumn id="3" xr3:uid="{8DF606BA-0DF3-4A1F-93E7-16047639F3B4}" name="Release" dataDxfId="26"/>
    <tableColumn id="4" xr3:uid="{7E03F087-A839-4404-AF22-222490C90F19}" name="Due" dataDxfId="25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52D200-724E-48EC-90EF-DCF7D39C9B67}" name="FYModules" displayName="FYModules" ref="A2:D16" totalsRowShown="0" headerRowDxfId="24" dataDxfId="23">
  <autoFilter ref="A2:D16" xr:uid="{AA52D200-724E-48EC-90EF-DCF7D39C9B67}"/>
  <tableColumns count="4">
    <tableColumn id="1" xr3:uid="{7F7F705C-BBFB-48B0-B110-926E8E1CF419}" name="Name" dataDxfId="22"/>
    <tableColumn id="3" xr3:uid="{99F42913-A4AF-439C-AFDE-38735B9668A7}" name="Semester 1" dataDxfId="21"/>
    <tableColumn id="4" xr3:uid="{140A5CE5-3F0E-4A39-9385-36A06BB6BA02}" name="Semester 2" dataDxfId="20"/>
    <tableColumn id="2" xr3:uid="{B24B6960-A926-4304-9414-949D710BDB68}" name="Select?" dataDxfId="19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8C9EAD-B8A7-4E97-A5AD-984A0BD58BD0}" name="CyberSecModules" displayName="CyberSecModules" ref="A2:F11" totalsRowShown="0" headerRowDxfId="18" dataDxfId="17">
  <autoFilter ref="A2:F11" xr:uid="{788C9EAD-B8A7-4E97-A5AD-984A0BD58BD0}"/>
  <tableColumns count="6">
    <tableColumn id="1" xr3:uid="{D2F9F639-DE00-4891-82FC-F2AFD9BED136}" name="Name" dataDxfId="16"/>
    <tableColumn id="6" xr3:uid="{4A6B316E-C867-46CE-9E04-295046356E23}" name="Type" dataDxfId="15"/>
    <tableColumn id="3" xr3:uid="{C3FB9A35-9CAA-490E-B5DD-3FB2B7EAFF24}" name="Autumn" dataDxfId="14"/>
    <tableColumn id="4" xr3:uid="{7E3D05E3-EEED-4E51-9F2B-7A430A5FFFF9}" name="Spring" dataDxfId="13"/>
    <tableColumn id="5" xr3:uid="{CC9BCECD-842A-4322-8A50-9292CE0AE138}" name="Summer" dataDxfId="12"/>
    <tableColumn id="2" xr3:uid="{E6BCA339-BC30-44BF-9D15-3F15733224FF}" name="Select?" dataDxfId="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42EC-847E-4481-B682-80D0CF4856E5}">
  <dimension ref="B3:J19"/>
  <sheetViews>
    <sheetView tabSelected="1" zoomScaleNormal="100" workbookViewId="0"/>
  </sheetViews>
  <sheetFormatPr defaultRowHeight="15" x14ac:dyDescent="0.25"/>
  <cols>
    <col min="13" max="13" width="12.42578125" customWidth="1"/>
    <col min="14" max="14" width="13" customWidth="1"/>
    <col min="15" max="15" width="12.5703125" customWidth="1"/>
  </cols>
  <sheetData>
    <row r="3" spans="2:10" ht="21" x14ac:dyDescent="0.35">
      <c r="B3" s="15" t="s">
        <v>61</v>
      </c>
      <c r="C3" s="15"/>
      <c r="E3" s="15" t="s">
        <v>62</v>
      </c>
      <c r="F3" s="15"/>
      <c r="H3" s="15" t="s">
        <v>84</v>
      </c>
      <c r="I3" s="15"/>
    </row>
    <row r="5" spans="2:10" ht="18.75" x14ac:dyDescent="0.3">
      <c r="B5" s="14" t="s">
        <v>81</v>
      </c>
      <c r="C5" s="14"/>
      <c r="D5" s="14"/>
      <c r="E5" s="14"/>
      <c r="F5" s="14"/>
      <c r="G5" s="14"/>
      <c r="H5" s="14"/>
      <c r="I5" s="14"/>
      <c r="J5" s="11"/>
    </row>
    <row r="19" spans="2:10" ht="18.75" x14ac:dyDescent="0.3">
      <c r="B19" s="14" t="s">
        <v>82</v>
      </c>
      <c r="C19" s="14"/>
      <c r="D19" s="14"/>
      <c r="E19" s="14"/>
      <c r="F19" s="14"/>
      <c r="G19" s="14"/>
      <c r="H19" s="14"/>
      <c r="I19" s="14"/>
      <c r="J19" s="11"/>
    </row>
  </sheetData>
  <mergeCells count="5">
    <mergeCell ref="B19:I19"/>
    <mergeCell ref="B5:I5"/>
    <mergeCell ref="B3:C3"/>
    <mergeCell ref="E3:F3"/>
    <mergeCell ref="H3:I3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5692-C878-420A-BFFF-01711C712A44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CED1-6FE0-4594-B8EE-3BBD61F42FF7}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9363-34FA-4883-A197-2C5318EC9872}">
  <dimension ref="A1"/>
  <sheetViews>
    <sheetView workbookViewId="0">
      <selection activeCell="F13" sqref="F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574B-380B-4CB0-B394-14799642971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547B-EB02-4962-87B0-376B1EBB9A6D}">
  <dimension ref="A1:E14"/>
  <sheetViews>
    <sheetView zoomScale="190" zoomScaleNormal="190" workbookViewId="0">
      <selection sqref="A1:E1"/>
    </sheetView>
  </sheetViews>
  <sheetFormatPr defaultRowHeight="15" x14ac:dyDescent="0.25"/>
  <cols>
    <col min="1" max="1" width="55" bestFit="1" customWidth="1"/>
    <col min="2" max="2" width="11.85546875" bestFit="1" customWidth="1"/>
    <col min="3" max="3" width="9.5703125" bestFit="1" customWidth="1"/>
    <col min="4" max="4" width="14" bestFit="1" customWidth="1"/>
    <col min="5" max="5" width="10" bestFit="1" customWidth="1"/>
  </cols>
  <sheetData>
    <row r="1" spans="1:5" ht="21" x14ac:dyDescent="0.35">
      <c r="A1" s="15" t="s">
        <v>6</v>
      </c>
      <c r="B1" s="15"/>
      <c r="C1" s="15"/>
      <c r="D1" s="15"/>
      <c r="E1" s="15"/>
    </row>
    <row r="2" spans="1: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</row>
    <row r="3" spans="1:5" x14ac:dyDescent="0.25">
      <c r="A3" s="9" t="s">
        <v>8</v>
      </c>
      <c r="B3" s="3">
        <v>20</v>
      </c>
      <c r="C3" s="3">
        <v>1</v>
      </c>
      <c r="D3" s="3">
        <v>1</v>
      </c>
      <c r="E3" s="8">
        <f>DSA!K5</f>
        <v>0</v>
      </c>
    </row>
    <row r="4" spans="1:5" x14ac:dyDescent="0.25">
      <c r="A4" s="9" t="s">
        <v>10</v>
      </c>
      <c r="B4" s="3">
        <v>20</v>
      </c>
      <c r="C4" s="3">
        <v>1</v>
      </c>
      <c r="D4" s="3">
        <v>1</v>
      </c>
      <c r="E4" s="8">
        <f>MLFCS!K6</f>
        <v>0</v>
      </c>
    </row>
    <row r="5" spans="1:5" x14ac:dyDescent="0.25">
      <c r="A5" s="9" t="s">
        <v>11</v>
      </c>
      <c r="B5" s="3">
        <v>20</v>
      </c>
      <c r="C5" s="3">
        <v>1</v>
      </c>
      <c r="D5" s="3">
        <v>1</v>
      </c>
      <c r="E5" s="8">
        <f>OOP!K5</f>
        <v>0</v>
      </c>
    </row>
    <row r="6" spans="1:5" x14ac:dyDescent="0.25">
      <c r="A6" s="9" t="s">
        <v>7</v>
      </c>
      <c r="B6" s="3">
        <v>20</v>
      </c>
      <c r="C6" s="3">
        <v>1</v>
      </c>
      <c r="D6" s="3">
        <v>2</v>
      </c>
      <c r="E6" s="8">
        <f>'AI1'!K5</f>
        <v>0</v>
      </c>
    </row>
    <row r="7" spans="1:5" x14ac:dyDescent="0.25">
      <c r="A7" s="9" t="s">
        <v>9</v>
      </c>
      <c r="B7" s="3">
        <v>20</v>
      </c>
      <c r="C7" s="3">
        <v>1</v>
      </c>
      <c r="D7" s="3">
        <v>2</v>
      </c>
      <c r="E7" s="8">
        <f>FSAD!K4</f>
        <v>0</v>
      </c>
    </row>
    <row r="8" spans="1:5" x14ac:dyDescent="0.25">
      <c r="A8" s="9" t="s">
        <v>12</v>
      </c>
      <c r="B8" s="3">
        <v>20</v>
      </c>
      <c r="C8" s="3">
        <v>1</v>
      </c>
      <c r="D8" s="3">
        <v>2</v>
      </c>
      <c r="E8" s="3"/>
    </row>
    <row r="9" spans="1:5" x14ac:dyDescent="0.25">
      <c r="A9" s="9" t="s">
        <v>14</v>
      </c>
      <c r="B9" s="3">
        <v>20</v>
      </c>
      <c r="C9" s="3">
        <v>2</v>
      </c>
      <c r="D9" s="3">
        <v>1</v>
      </c>
      <c r="E9" s="3"/>
    </row>
    <row r="10" spans="1:5" x14ac:dyDescent="0.25">
      <c r="A10" s="9" t="s">
        <v>16</v>
      </c>
      <c r="B10" s="3">
        <v>20</v>
      </c>
      <c r="C10" s="3">
        <v>2</v>
      </c>
      <c r="D10" s="3">
        <v>1</v>
      </c>
      <c r="E10" s="3"/>
    </row>
    <row r="11" spans="1:5" x14ac:dyDescent="0.25">
      <c r="A11" s="9" t="s">
        <v>17</v>
      </c>
      <c r="B11" s="3">
        <v>20</v>
      </c>
      <c r="C11" s="3">
        <v>2</v>
      </c>
      <c r="D11" s="3">
        <v>1</v>
      </c>
      <c r="E11" s="3"/>
    </row>
    <row r="12" spans="1:5" x14ac:dyDescent="0.25">
      <c r="A12" s="9" t="s">
        <v>13</v>
      </c>
      <c r="B12" s="3">
        <v>20</v>
      </c>
      <c r="C12" s="3">
        <v>2</v>
      </c>
      <c r="D12" s="3">
        <v>2</v>
      </c>
      <c r="E12" s="3"/>
    </row>
    <row r="13" spans="1:5" x14ac:dyDescent="0.25">
      <c r="A13" s="9" t="s">
        <v>15</v>
      </c>
      <c r="B13" s="3">
        <v>20</v>
      </c>
      <c r="C13" s="3">
        <v>2</v>
      </c>
      <c r="D13" s="3">
        <v>2</v>
      </c>
      <c r="E13" s="3"/>
    </row>
    <row r="14" spans="1:5" x14ac:dyDescent="0.25">
      <c r="A14" s="9" t="s">
        <v>18</v>
      </c>
      <c r="B14" s="3">
        <v>20</v>
      </c>
      <c r="C14" s="3">
        <v>2</v>
      </c>
      <c r="D14" s="3">
        <v>2</v>
      </c>
      <c r="E14" s="3"/>
    </row>
  </sheetData>
  <mergeCells count="1">
    <mergeCell ref="A1:E1"/>
  </mergeCells>
  <conditionalFormatting sqref="E3:E14">
    <cfRule type="containsBlanks" dxfId="10" priority="1" stopIfTrue="1">
      <formula>LEN(TRIM(E3))=0</formula>
    </cfRule>
    <cfRule type="cellIs" dxfId="9" priority="3" operator="greaterThanOrEqual">
      <formula>0.4</formula>
    </cfRule>
    <cfRule type="cellIs" dxfId="8" priority="4" operator="lessThan">
      <formula>0.4</formula>
    </cfRule>
  </conditionalFormatting>
  <hyperlinks>
    <hyperlink ref="A5" location="OOP!A1" display="Object Oriented Programming" xr:uid="{1470D79B-3692-467A-BF8D-2924BE19CF37}"/>
    <hyperlink ref="A3" location="DSA!A1" display="Data Structures &amp; Algorithms" xr:uid="{FFE3D842-8AFF-4774-9FBA-DF875AEF52E5}"/>
    <hyperlink ref="A6" location="'AI1'!A1" display="Artificial Intelligence 1" xr:uid="{CE2A70CE-610A-46B0-B5E0-A987F4012DBE}"/>
    <hyperlink ref="A7" location="FSAD!A1" display="Full Stack Application Development" xr:uid="{D928EC42-7B6F-4AEB-99A7-4AC863E2D511}"/>
    <hyperlink ref="A4" location="MLFCS!A1" display="Mathematical and Logical Foundations of Computer Science" xr:uid="{E0F9E088-DCBE-45D3-9D89-F9D4CBADB536}"/>
    <hyperlink ref="A8" location="ToC!A1" display="Theories of Computation" xr:uid="{E310D1FC-3440-4119-A7F6-423226150474}"/>
    <hyperlink ref="A12" location="'AI2'!A1" display="Artificial Intelligence 2" xr:uid="{A4D6B5C3-2FDF-4988-95C9-37B146A76626}"/>
    <hyperlink ref="A9" location="FP!A1" display="Functional Programming" xr:uid="{C50E567A-3929-45DB-8466-F1DEACE9A8C1}"/>
    <hyperlink ref="A13" location="SN!A1" display="Security and Networks" xr:uid="{BF51BF97-7057-4C95-95B1-EACDB129727B}"/>
    <hyperlink ref="A10" location="SEPP!A1" display="Software Engineering and Professional Practice" xr:uid="{3F31D222-B598-4530-B223-BFAC15FB13E5}"/>
    <hyperlink ref="A11" location="SPCC!A1" display="Systems Programming in C/C++" xr:uid="{4E3297C6-0985-4F71-B807-F214FECB5582}"/>
    <hyperlink ref="A14" location="TP!A1" display="Team Project" xr:uid="{BDD03929-48A0-4950-AD17-88F22B9E1151}"/>
  </hyperlink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4DDF-9507-4FAB-B5BD-83F45E578BC6}">
  <dimension ref="A1:E27"/>
  <sheetViews>
    <sheetView zoomScale="155" zoomScaleNormal="155" workbookViewId="0">
      <selection activeCell="J5" sqref="J5"/>
    </sheetView>
  </sheetViews>
  <sheetFormatPr defaultRowHeight="15" x14ac:dyDescent="0.25"/>
  <cols>
    <col min="1" max="5" width="14.140625" customWidth="1"/>
  </cols>
  <sheetData>
    <row r="1" spans="1:5" x14ac:dyDescent="0.25">
      <c r="A1" s="1" t="s">
        <v>19</v>
      </c>
      <c r="B1" s="1" t="s">
        <v>0</v>
      </c>
      <c r="C1" s="1" t="s">
        <v>22</v>
      </c>
      <c r="D1" s="1" t="s">
        <v>64</v>
      </c>
      <c r="E1" s="1" t="s">
        <v>65</v>
      </c>
    </row>
    <row r="2" spans="1:5" x14ac:dyDescent="0.25">
      <c r="A2" s="1" t="s">
        <v>70</v>
      </c>
      <c r="B2" s="1" t="s">
        <v>69</v>
      </c>
      <c r="C2" s="5">
        <v>0.05</v>
      </c>
      <c r="D2" s="4">
        <v>44472</v>
      </c>
      <c r="E2" s="1" t="s">
        <v>76</v>
      </c>
    </row>
    <row r="3" spans="1:5" x14ac:dyDescent="0.25">
      <c r="A3" s="1" t="s">
        <v>38</v>
      </c>
      <c r="B3" s="1" t="s">
        <v>67</v>
      </c>
      <c r="C3" s="5">
        <v>0.05</v>
      </c>
      <c r="D3" s="4">
        <v>44473</v>
      </c>
      <c r="E3" s="4">
        <v>44480</v>
      </c>
    </row>
    <row r="4" spans="1:5" x14ac:dyDescent="0.25">
      <c r="A4" s="1" t="s">
        <v>49</v>
      </c>
      <c r="B4" s="1" t="s">
        <v>77</v>
      </c>
      <c r="C4" s="5">
        <v>5.0000000000000001E-3</v>
      </c>
      <c r="D4" s="4">
        <v>44473</v>
      </c>
      <c r="E4" s="4">
        <v>44481</v>
      </c>
    </row>
    <row r="5" spans="1:5" x14ac:dyDescent="0.25">
      <c r="A5" s="1" t="s">
        <v>71</v>
      </c>
      <c r="B5" s="1" t="s">
        <v>69</v>
      </c>
      <c r="C5" s="5">
        <v>0.05</v>
      </c>
      <c r="D5" s="4">
        <v>44479</v>
      </c>
      <c r="E5" s="1" t="s">
        <v>76</v>
      </c>
    </row>
    <row r="6" spans="1:5" x14ac:dyDescent="0.25">
      <c r="A6" s="1" t="s">
        <v>50</v>
      </c>
      <c r="B6" s="1" t="s">
        <v>77</v>
      </c>
      <c r="C6" s="5">
        <v>5.0000000000000001E-3</v>
      </c>
      <c r="D6" s="4">
        <v>44480</v>
      </c>
      <c r="E6" s="4">
        <v>44488</v>
      </c>
    </row>
    <row r="7" spans="1:5" x14ac:dyDescent="0.25">
      <c r="A7" s="1" t="s">
        <v>72</v>
      </c>
      <c r="B7" s="1" t="s">
        <v>69</v>
      </c>
      <c r="C7" s="5">
        <v>0.05</v>
      </c>
      <c r="D7" s="4">
        <v>44486</v>
      </c>
      <c r="E7" s="1" t="s">
        <v>76</v>
      </c>
    </row>
    <row r="8" spans="1:5" x14ac:dyDescent="0.25">
      <c r="A8" s="1" t="s">
        <v>39</v>
      </c>
      <c r="B8" s="1" t="s">
        <v>67</v>
      </c>
      <c r="C8" s="5">
        <v>0.05</v>
      </c>
      <c r="D8" s="4">
        <v>44487</v>
      </c>
      <c r="E8" s="4">
        <v>44494</v>
      </c>
    </row>
    <row r="9" spans="1:5" x14ac:dyDescent="0.25">
      <c r="A9" s="1" t="s">
        <v>51</v>
      </c>
      <c r="B9" s="1" t="s">
        <v>77</v>
      </c>
      <c r="C9" s="5">
        <v>5.0000000000000001E-3</v>
      </c>
      <c r="D9" s="4">
        <v>44487</v>
      </c>
      <c r="E9" s="4">
        <v>44495</v>
      </c>
    </row>
    <row r="10" spans="1:5" x14ac:dyDescent="0.25">
      <c r="A10" s="1" t="s">
        <v>52</v>
      </c>
      <c r="B10" s="1" t="s">
        <v>77</v>
      </c>
      <c r="C10" s="5">
        <v>5.0000000000000001E-3</v>
      </c>
      <c r="D10" s="4">
        <v>44494</v>
      </c>
      <c r="E10" s="4">
        <v>44502</v>
      </c>
    </row>
    <row r="11" spans="1:5" x14ac:dyDescent="0.25">
      <c r="A11" s="1" t="s">
        <v>78</v>
      </c>
      <c r="B11" s="1" t="s">
        <v>77</v>
      </c>
      <c r="C11" s="5">
        <v>7.0000000000000007E-2</v>
      </c>
      <c r="D11" s="4">
        <v>44494</v>
      </c>
      <c r="E11" s="1" t="s">
        <v>80</v>
      </c>
    </row>
    <row r="12" spans="1:5" x14ac:dyDescent="0.25">
      <c r="A12" s="1" t="s">
        <v>73</v>
      </c>
      <c r="B12" s="1" t="s">
        <v>69</v>
      </c>
      <c r="C12" s="5">
        <v>0.05</v>
      </c>
      <c r="D12" s="4">
        <v>44500</v>
      </c>
      <c r="E12" s="1" t="s">
        <v>76</v>
      </c>
    </row>
    <row r="13" spans="1:5" x14ac:dyDescent="0.25">
      <c r="A13" s="1" t="s">
        <v>40</v>
      </c>
      <c r="B13" s="1" t="s">
        <v>67</v>
      </c>
      <c r="C13" s="5">
        <v>0.05</v>
      </c>
      <c r="D13" s="4">
        <v>44501</v>
      </c>
      <c r="E13" s="4">
        <v>44508</v>
      </c>
    </row>
    <row r="14" spans="1:5" x14ac:dyDescent="0.25">
      <c r="A14" s="1" t="s">
        <v>27</v>
      </c>
      <c r="B14" s="1" t="s">
        <v>69</v>
      </c>
      <c r="C14" s="5">
        <v>0.35</v>
      </c>
      <c r="D14" s="4">
        <v>44501</v>
      </c>
      <c r="E14" s="4">
        <v>44508</v>
      </c>
    </row>
    <row r="15" spans="1:5" x14ac:dyDescent="0.25">
      <c r="A15" s="1" t="s">
        <v>53</v>
      </c>
      <c r="B15" s="1" t="s">
        <v>77</v>
      </c>
      <c r="C15" s="5">
        <v>5.0000000000000001E-3</v>
      </c>
      <c r="D15" s="4">
        <v>44501</v>
      </c>
      <c r="E15" s="4">
        <v>44509</v>
      </c>
    </row>
    <row r="16" spans="1:5" x14ac:dyDescent="0.25">
      <c r="A16" s="1" t="s">
        <v>54</v>
      </c>
      <c r="B16" s="1" t="s">
        <v>77</v>
      </c>
      <c r="C16" s="5">
        <v>5.0000000000000001E-3</v>
      </c>
      <c r="D16" s="4">
        <v>44508</v>
      </c>
      <c r="E16" s="4">
        <v>44516</v>
      </c>
    </row>
    <row r="17" spans="1:5" x14ac:dyDescent="0.25">
      <c r="A17" s="1" t="s">
        <v>55</v>
      </c>
      <c r="B17" s="1" t="s">
        <v>77</v>
      </c>
      <c r="C17" s="5">
        <v>5.0000000000000001E-3</v>
      </c>
      <c r="D17" s="4">
        <v>44515</v>
      </c>
      <c r="E17" s="4">
        <v>44523</v>
      </c>
    </row>
    <row r="18" spans="1:5" x14ac:dyDescent="0.25">
      <c r="A18" s="1" t="s">
        <v>28</v>
      </c>
      <c r="B18" s="1" t="s">
        <v>69</v>
      </c>
      <c r="C18" s="5">
        <v>0.35</v>
      </c>
      <c r="D18" s="4">
        <v>44519</v>
      </c>
      <c r="E18" s="4">
        <v>44526</v>
      </c>
    </row>
    <row r="19" spans="1:5" x14ac:dyDescent="0.25">
      <c r="A19" s="1" t="s">
        <v>41</v>
      </c>
      <c r="B19" s="1" t="s">
        <v>67</v>
      </c>
      <c r="C19" s="5">
        <v>0.05</v>
      </c>
      <c r="D19" s="4">
        <v>44522</v>
      </c>
      <c r="E19" s="4">
        <v>44529</v>
      </c>
    </row>
    <row r="20" spans="1:5" x14ac:dyDescent="0.25">
      <c r="A20" s="1" t="s">
        <v>56</v>
      </c>
      <c r="B20" s="1" t="s">
        <v>77</v>
      </c>
      <c r="C20" s="5">
        <v>5.0000000000000001E-3</v>
      </c>
      <c r="D20" s="4">
        <v>44522</v>
      </c>
      <c r="E20" s="4">
        <v>44530</v>
      </c>
    </row>
    <row r="21" spans="1:5" x14ac:dyDescent="0.25">
      <c r="A21" s="1" t="s">
        <v>79</v>
      </c>
      <c r="B21" s="1" t="s">
        <v>77</v>
      </c>
      <c r="C21" s="5">
        <v>0.08</v>
      </c>
      <c r="D21" s="4">
        <v>44522</v>
      </c>
      <c r="E21" s="1" t="s">
        <v>80</v>
      </c>
    </row>
    <row r="22" spans="1:5" x14ac:dyDescent="0.25">
      <c r="A22" s="1" t="s">
        <v>57</v>
      </c>
      <c r="B22" s="1" t="s">
        <v>77</v>
      </c>
      <c r="C22" s="5">
        <v>5.0000000000000001E-3</v>
      </c>
      <c r="D22" s="4">
        <v>44529</v>
      </c>
      <c r="E22" s="4">
        <v>44537</v>
      </c>
    </row>
    <row r="23" spans="1:5" x14ac:dyDescent="0.25">
      <c r="A23" s="1" t="s">
        <v>74</v>
      </c>
      <c r="B23" s="1" t="s">
        <v>69</v>
      </c>
      <c r="C23" s="5">
        <v>0.05</v>
      </c>
      <c r="D23" s="4">
        <v>44535</v>
      </c>
      <c r="E23" s="1" t="s">
        <v>76</v>
      </c>
    </row>
    <row r="24" spans="1:5" x14ac:dyDescent="0.25">
      <c r="A24" s="1" t="s">
        <v>58</v>
      </c>
      <c r="B24" s="1" t="s">
        <v>77</v>
      </c>
      <c r="C24" s="5">
        <v>5.0000000000000001E-3</v>
      </c>
      <c r="D24" s="4">
        <v>44536</v>
      </c>
      <c r="E24" s="4">
        <v>44544</v>
      </c>
    </row>
    <row r="25" spans="1:5" x14ac:dyDescent="0.25">
      <c r="A25" s="1" t="s">
        <v>75</v>
      </c>
      <c r="B25" s="1" t="s">
        <v>69</v>
      </c>
      <c r="C25" s="5">
        <v>0.05</v>
      </c>
      <c r="D25" s="4">
        <v>44542</v>
      </c>
      <c r="E25" s="1" t="s">
        <v>76</v>
      </c>
    </row>
    <row r="26" spans="1:5" x14ac:dyDescent="0.25">
      <c r="A26" s="1" t="s">
        <v>66</v>
      </c>
      <c r="B26" s="1" t="s">
        <v>67</v>
      </c>
      <c r="C26" s="5">
        <v>0.8</v>
      </c>
      <c r="D26" s="10">
        <v>44562</v>
      </c>
      <c r="E26" s="1" t="s">
        <v>68</v>
      </c>
    </row>
    <row r="27" spans="1:5" x14ac:dyDescent="0.25">
      <c r="A27" s="1" t="s">
        <v>66</v>
      </c>
      <c r="B27" s="1" t="s">
        <v>77</v>
      </c>
      <c r="C27" s="5">
        <v>0.8</v>
      </c>
      <c r="D27" s="10">
        <v>44562</v>
      </c>
      <c r="E27" s="1" t="s">
        <v>68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DF42-27C7-497C-B0AB-2197452A87A1}">
  <dimension ref="A1:I16"/>
  <sheetViews>
    <sheetView zoomScale="160" zoomScaleNormal="160" workbookViewId="0">
      <selection activeCell="F2" sqref="F2:G5"/>
    </sheetView>
  </sheetViews>
  <sheetFormatPr defaultRowHeight="15" x14ac:dyDescent="0.25"/>
  <cols>
    <col min="1" max="1" width="58.42578125" bestFit="1" customWidth="1"/>
    <col min="2" max="3" width="18.85546875" bestFit="1" customWidth="1"/>
    <col min="4" max="4" width="14.140625" bestFit="1" customWidth="1"/>
    <col min="6" max="6" width="12.28515625" customWidth="1"/>
    <col min="8" max="8" width="13.140625" customWidth="1"/>
    <col min="9" max="9" width="26.5703125" bestFit="1" customWidth="1"/>
    <col min="11" max="11" width="7" customWidth="1"/>
  </cols>
  <sheetData>
    <row r="1" spans="1:9" ht="18.75" x14ac:dyDescent="0.3">
      <c r="A1" s="14" t="s">
        <v>83</v>
      </c>
      <c r="B1" s="14"/>
      <c r="C1" s="14"/>
      <c r="D1" s="14"/>
    </row>
    <row r="2" spans="1:9" ht="18.75" x14ac:dyDescent="0.3">
      <c r="A2" s="12" t="s">
        <v>85</v>
      </c>
      <c r="B2" s="12" t="s">
        <v>81</v>
      </c>
      <c r="C2" s="12" t="s">
        <v>82</v>
      </c>
      <c r="D2" s="12" t="s">
        <v>86</v>
      </c>
      <c r="F2" s="14" t="s">
        <v>1</v>
      </c>
      <c r="G2" s="14"/>
    </row>
    <row r="3" spans="1:9" x14ac:dyDescent="0.25">
      <c r="A3" s="1" t="s">
        <v>101</v>
      </c>
      <c r="B3" s="1">
        <v>20</v>
      </c>
      <c r="C3" s="1">
        <v>20</v>
      </c>
      <c r="D3" s="1" t="s">
        <v>100</v>
      </c>
      <c r="F3" t="s">
        <v>81</v>
      </c>
      <c r="G3">
        <f>SUMIF(FYModules[Select?],"Yes",FYModules[Semester 1])</f>
        <v>60</v>
      </c>
    </row>
    <row r="4" spans="1:9" x14ac:dyDescent="0.25">
      <c r="A4" s="1" t="s">
        <v>87</v>
      </c>
      <c r="B4" s="1">
        <v>0</v>
      </c>
      <c r="C4" s="1">
        <v>20</v>
      </c>
      <c r="D4" s="1" t="s">
        <v>102</v>
      </c>
      <c r="F4" t="s">
        <v>82</v>
      </c>
      <c r="G4">
        <f>SUMIF(FYModules[Select?],"Yes",FYModules[Semester 2])</f>
        <v>60</v>
      </c>
      <c r="I4" s="13"/>
    </row>
    <row r="5" spans="1:9" x14ac:dyDescent="0.25">
      <c r="A5" s="1" t="s">
        <v>88</v>
      </c>
      <c r="B5" s="1">
        <v>20</v>
      </c>
      <c r="C5" s="1">
        <v>0</v>
      </c>
      <c r="D5" s="1" t="s">
        <v>100</v>
      </c>
      <c r="F5" t="s">
        <v>5</v>
      </c>
      <c r="G5">
        <f>SUM(G3:G4)</f>
        <v>120</v>
      </c>
    </row>
    <row r="6" spans="1:9" x14ac:dyDescent="0.25">
      <c r="A6" s="1" t="s">
        <v>89</v>
      </c>
      <c r="B6" s="1">
        <v>0</v>
      </c>
      <c r="C6" s="1">
        <v>20</v>
      </c>
      <c r="D6" s="1" t="s">
        <v>102</v>
      </c>
    </row>
    <row r="7" spans="1:9" x14ac:dyDescent="0.25">
      <c r="A7" s="1" t="s">
        <v>90</v>
      </c>
      <c r="B7" s="1">
        <v>0</v>
      </c>
      <c r="C7" s="1">
        <v>20</v>
      </c>
      <c r="D7" s="1" t="s">
        <v>102</v>
      </c>
    </row>
    <row r="8" spans="1:9" x14ac:dyDescent="0.25">
      <c r="A8" s="1" t="s">
        <v>91</v>
      </c>
      <c r="B8" s="1">
        <v>0</v>
      </c>
      <c r="C8" s="1">
        <v>20</v>
      </c>
      <c r="D8" s="1" t="s">
        <v>102</v>
      </c>
    </row>
    <row r="9" spans="1:9" x14ac:dyDescent="0.25">
      <c r="A9" s="1" t="s">
        <v>92</v>
      </c>
      <c r="B9" s="1">
        <v>20</v>
      </c>
      <c r="C9" s="1">
        <v>0</v>
      </c>
      <c r="D9" s="1" t="s">
        <v>102</v>
      </c>
    </row>
    <row r="10" spans="1:9" x14ac:dyDescent="0.25">
      <c r="A10" s="1" t="s">
        <v>93</v>
      </c>
      <c r="B10" s="1">
        <v>20</v>
      </c>
      <c r="C10" s="1">
        <v>0</v>
      </c>
      <c r="D10" s="1" t="s">
        <v>102</v>
      </c>
    </row>
    <row r="11" spans="1:9" x14ac:dyDescent="0.25">
      <c r="A11" s="1" t="s">
        <v>94</v>
      </c>
      <c r="B11" s="1">
        <v>20</v>
      </c>
      <c r="C11" s="1">
        <v>0</v>
      </c>
      <c r="D11" s="1" t="s">
        <v>102</v>
      </c>
    </row>
    <row r="12" spans="1:9" x14ac:dyDescent="0.25">
      <c r="A12" s="1" t="s">
        <v>95</v>
      </c>
      <c r="B12" s="1">
        <v>0</v>
      </c>
      <c r="C12" s="1">
        <v>20</v>
      </c>
      <c r="D12" s="1" t="s">
        <v>100</v>
      </c>
    </row>
    <row r="13" spans="1:9" x14ac:dyDescent="0.25">
      <c r="A13" s="1" t="s">
        <v>96</v>
      </c>
      <c r="B13" s="1">
        <v>20</v>
      </c>
      <c r="C13" s="1">
        <v>0</v>
      </c>
      <c r="D13" s="1" t="s">
        <v>102</v>
      </c>
    </row>
    <row r="14" spans="1:9" x14ac:dyDescent="0.25">
      <c r="A14" s="1" t="s">
        <v>97</v>
      </c>
      <c r="B14" s="1">
        <v>20</v>
      </c>
      <c r="C14" s="1">
        <v>0</v>
      </c>
      <c r="D14" s="1" t="s">
        <v>102</v>
      </c>
    </row>
    <row r="15" spans="1:9" x14ac:dyDescent="0.25">
      <c r="A15" s="1" t="s">
        <v>98</v>
      </c>
      <c r="B15" s="1">
        <v>20</v>
      </c>
      <c r="C15" s="1">
        <v>0</v>
      </c>
      <c r="D15" s="1" t="s">
        <v>100</v>
      </c>
    </row>
    <row r="16" spans="1:9" x14ac:dyDescent="0.25">
      <c r="A16" s="1" t="s">
        <v>99</v>
      </c>
      <c r="B16" s="1">
        <v>0</v>
      </c>
      <c r="C16" s="1">
        <v>20</v>
      </c>
      <c r="D16" s="1" t="s">
        <v>100</v>
      </c>
    </row>
  </sheetData>
  <mergeCells count="2">
    <mergeCell ref="A1:D1"/>
    <mergeCell ref="F2:G2"/>
  </mergeCells>
  <phoneticPr fontId="6" type="noConversion"/>
  <conditionalFormatting sqref="G5">
    <cfRule type="cellIs" dxfId="7" priority="3" stopIfTrue="1" operator="equal">
      <formula>120</formula>
    </cfRule>
    <cfRule type="notContainsText" dxfId="6" priority="4" operator="notContains" text="120">
      <formula>ISERROR(SEARCH("120",G5))</formula>
    </cfRule>
  </conditionalFormatting>
  <conditionalFormatting sqref="G3:G4">
    <cfRule type="cellIs" dxfId="5" priority="1" operator="notEqual">
      <formula>60</formula>
    </cfRule>
    <cfRule type="cellIs" dxfId="4" priority="2" operator="equal">
      <formula>60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E4E1-3160-40AF-A2D9-6B6FE8291019}">
  <dimension ref="A1:I16"/>
  <sheetViews>
    <sheetView zoomScale="145" zoomScaleNormal="145" workbookViewId="0">
      <selection sqref="A1:F1"/>
    </sheetView>
  </sheetViews>
  <sheetFormatPr defaultRowHeight="15" x14ac:dyDescent="0.25"/>
  <cols>
    <col min="1" max="1" width="69.140625" bestFit="1" customWidth="1"/>
    <col min="2" max="2" width="13.42578125" customWidth="1"/>
    <col min="3" max="3" width="17.28515625" customWidth="1"/>
    <col min="4" max="5" width="17.7109375" customWidth="1"/>
    <col min="6" max="6" width="16.28515625" customWidth="1"/>
    <col min="8" max="8" width="10.85546875" bestFit="1" customWidth="1"/>
  </cols>
  <sheetData>
    <row r="1" spans="1:9" ht="18.75" x14ac:dyDescent="0.3">
      <c r="A1" s="14" t="s">
        <v>83</v>
      </c>
      <c r="B1" s="14"/>
      <c r="C1" s="14"/>
      <c r="D1" s="14"/>
      <c r="E1" s="14"/>
      <c r="F1" s="14"/>
    </row>
    <row r="2" spans="1:9" ht="18.75" x14ac:dyDescent="0.3">
      <c r="A2" s="12" t="s">
        <v>85</v>
      </c>
      <c r="B2" s="12" t="s">
        <v>20</v>
      </c>
      <c r="C2" s="12" t="s">
        <v>105</v>
      </c>
      <c r="D2" s="12" t="s">
        <v>106</v>
      </c>
      <c r="E2" s="12" t="s">
        <v>107</v>
      </c>
      <c r="F2" s="12" t="s">
        <v>86</v>
      </c>
      <c r="H2" s="14" t="s">
        <v>1</v>
      </c>
      <c r="I2" s="14"/>
    </row>
    <row r="3" spans="1:9" x14ac:dyDescent="0.25">
      <c r="A3" s="1" t="s">
        <v>104</v>
      </c>
      <c r="B3" s="1" t="s">
        <v>112</v>
      </c>
      <c r="C3" s="1">
        <v>20</v>
      </c>
      <c r="D3" s="1">
        <v>0</v>
      </c>
      <c r="E3" s="1">
        <v>0</v>
      </c>
      <c r="F3" s="1" t="s">
        <v>100</v>
      </c>
      <c r="H3" t="s">
        <v>105</v>
      </c>
      <c r="I3">
        <f>SUMIF(CyberSecModules[Select?],"Yes",CyberSecModules[Autumn])</f>
        <v>60</v>
      </c>
    </row>
    <row r="4" spans="1:9" x14ac:dyDescent="0.25">
      <c r="A4" s="1" t="s">
        <v>108</v>
      </c>
      <c r="B4" s="1" t="s">
        <v>112</v>
      </c>
      <c r="C4" s="1">
        <v>0</v>
      </c>
      <c r="D4" s="1">
        <v>20</v>
      </c>
      <c r="E4" s="1">
        <v>0</v>
      </c>
      <c r="F4" s="1" t="s">
        <v>100</v>
      </c>
      <c r="H4" t="s">
        <v>106</v>
      </c>
      <c r="I4">
        <f>SUMIF(CyberSecModules[Select?],"Yes",CyberSecModules[Spring])</f>
        <v>60</v>
      </c>
    </row>
    <row r="5" spans="1:9" x14ac:dyDescent="0.25">
      <c r="A5" s="1" t="s">
        <v>109</v>
      </c>
      <c r="B5" s="1" t="s">
        <v>112</v>
      </c>
      <c r="C5" s="1">
        <v>20</v>
      </c>
      <c r="D5" s="1">
        <v>0</v>
      </c>
      <c r="E5" s="1">
        <v>0</v>
      </c>
      <c r="F5" s="1" t="s">
        <v>100</v>
      </c>
      <c r="H5" t="s">
        <v>107</v>
      </c>
      <c r="I5">
        <f>SUMIF(CyberSecModules[Select?],"Yes",CyberSecModules[Summer])</f>
        <v>60</v>
      </c>
    </row>
    <row r="6" spans="1:9" x14ac:dyDescent="0.25">
      <c r="A6" s="1" t="s">
        <v>110</v>
      </c>
      <c r="B6" s="1" t="s">
        <v>112</v>
      </c>
      <c r="C6" s="1">
        <v>0</v>
      </c>
      <c r="D6" s="1">
        <v>0</v>
      </c>
      <c r="E6" s="1">
        <v>60</v>
      </c>
      <c r="F6" s="1" t="s">
        <v>100</v>
      </c>
      <c r="H6" t="s">
        <v>5</v>
      </c>
      <c r="I6">
        <f>SUM(I3:I5)</f>
        <v>180</v>
      </c>
    </row>
    <row r="7" spans="1:9" x14ac:dyDescent="0.25">
      <c r="A7" s="1" t="s">
        <v>111</v>
      </c>
      <c r="B7" s="1" t="s">
        <v>112</v>
      </c>
      <c r="C7" s="1">
        <v>0</v>
      </c>
      <c r="D7" s="1">
        <v>20</v>
      </c>
      <c r="E7" s="1">
        <v>0</v>
      </c>
      <c r="F7" s="1" t="s">
        <v>100</v>
      </c>
    </row>
    <row r="8" spans="1:9" x14ac:dyDescent="0.25">
      <c r="A8" s="1" t="s">
        <v>113</v>
      </c>
      <c r="B8" s="1" t="s">
        <v>114</v>
      </c>
      <c r="C8" s="1">
        <v>0</v>
      </c>
      <c r="D8" s="1">
        <v>20</v>
      </c>
      <c r="E8" s="1">
        <v>0</v>
      </c>
      <c r="F8" s="1" t="s">
        <v>102</v>
      </c>
    </row>
    <row r="9" spans="1:9" x14ac:dyDescent="0.25">
      <c r="A9" s="1" t="s">
        <v>115</v>
      </c>
      <c r="B9" s="1" t="s">
        <v>114</v>
      </c>
      <c r="C9" s="1">
        <v>20</v>
      </c>
      <c r="D9" s="1">
        <v>0</v>
      </c>
      <c r="E9" s="1">
        <v>0</v>
      </c>
      <c r="F9" s="1" t="s">
        <v>100</v>
      </c>
    </row>
    <row r="10" spans="1:9" x14ac:dyDescent="0.25">
      <c r="A10" s="1" t="s">
        <v>116</v>
      </c>
      <c r="B10" s="1" t="s">
        <v>114</v>
      </c>
      <c r="C10" s="1">
        <v>0</v>
      </c>
      <c r="D10" s="1">
        <v>20</v>
      </c>
      <c r="E10" s="1">
        <v>0</v>
      </c>
      <c r="F10" s="1" t="s">
        <v>100</v>
      </c>
    </row>
    <row r="11" spans="1:9" x14ac:dyDescent="0.25">
      <c r="A11" s="1" t="s">
        <v>117</v>
      </c>
      <c r="B11" s="1" t="s">
        <v>114</v>
      </c>
      <c r="C11" s="1">
        <v>20</v>
      </c>
      <c r="D11" s="1">
        <v>0</v>
      </c>
      <c r="E11" s="1">
        <v>0</v>
      </c>
      <c r="F11" s="1" t="s">
        <v>102</v>
      </c>
    </row>
    <row r="12" spans="1:9" x14ac:dyDescent="0.25">
      <c r="A12" s="1"/>
      <c r="B12" s="1"/>
      <c r="C12" s="1"/>
      <c r="D12" s="1"/>
      <c r="E12" s="1"/>
      <c r="F12" s="1"/>
    </row>
    <row r="13" spans="1:9" x14ac:dyDescent="0.25">
      <c r="A13" s="1"/>
      <c r="B13" s="1"/>
      <c r="C13" s="1"/>
      <c r="D13" s="1"/>
      <c r="E13" s="1"/>
      <c r="F13" s="1"/>
    </row>
    <row r="14" spans="1:9" x14ac:dyDescent="0.25">
      <c r="A14" s="1"/>
      <c r="B14" s="1"/>
      <c r="C14" s="1"/>
      <c r="D14" s="1"/>
      <c r="E14" s="1"/>
      <c r="F14" s="1"/>
    </row>
    <row r="15" spans="1:9" x14ac:dyDescent="0.25">
      <c r="A15" s="1"/>
      <c r="B15" s="1"/>
      <c r="C15" s="1"/>
      <c r="D15" s="1"/>
      <c r="E15" s="1"/>
      <c r="F15" s="1"/>
    </row>
    <row r="16" spans="1:9" x14ac:dyDescent="0.25">
      <c r="A16" s="1"/>
      <c r="B16" s="1"/>
      <c r="C16" s="1"/>
      <c r="D16" s="1"/>
      <c r="E16" s="1"/>
      <c r="F16" s="1"/>
    </row>
  </sheetData>
  <mergeCells count="2">
    <mergeCell ref="A1:F1"/>
    <mergeCell ref="H2:I2"/>
  </mergeCells>
  <conditionalFormatting sqref="I6">
    <cfRule type="cellIs" dxfId="3" priority="1" stopIfTrue="1" operator="notEqual">
      <formula>180</formula>
    </cfRule>
    <cfRule type="cellIs" dxfId="2" priority="4" operator="equal">
      <formula>180</formula>
    </cfRule>
  </conditionalFormatting>
  <conditionalFormatting sqref="I5">
    <cfRule type="cellIs" dxfId="1" priority="2" stopIfTrue="1" operator="notEqual">
      <formula>60</formula>
    </cfRule>
    <cfRule type="cellIs" dxfId="0" priority="3" operator="equal">
      <formula>60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4FBB-AEC5-4551-9239-4C950FA59EA4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8" max="8" width="15" customWidth="1"/>
    <col min="9" max="11" width="9.42578125" customWidth="1"/>
  </cols>
  <sheetData>
    <row r="1" spans="1:11" ht="21" x14ac:dyDescent="0.35">
      <c r="A1" s="15" t="s">
        <v>7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s="1" t="s">
        <v>22</v>
      </c>
      <c r="K2" s="1" t="s">
        <v>4</v>
      </c>
    </row>
    <row r="3" spans="1:11" x14ac:dyDescent="0.25">
      <c r="A3" s="1" t="s">
        <v>38</v>
      </c>
      <c r="B3" s="1" t="s">
        <v>44</v>
      </c>
      <c r="C3" s="4">
        <v>44610</v>
      </c>
      <c r="D3" s="5">
        <v>0.04</v>
      </c>
      <c r="E3" s="6"/>
      <c r="F3" s="6">
        <v>100</v>
      </c>
      <c r="G3" s="5">
        <f>IFERROR(OOP_10[[#This Row],[Marks]]/OOP_10[[#This Row],[Out Of]],0)</f>
        <v>0</v>
      </c>
      <c r="I3" t="s">
        <v>121</v>
      </c>
      <c r="J3" s="5">
        <f>SUMIF(OOP_10[Type],"QZ",OOP_10[Weight])</f>
        <v>0.2</v>
      </c>
      <c r="K3" s="5">
        <f>(SUMIF(OOP_10[Type],"QZ",OOP_10[Percent]))/COUNTIF(OOP_10[Type],"QZ")</f>
        <v>0</v>
      </c>
    </row>
    <row r="4" spans="1:11" x14ac:dyDescent="0.25">
      <c r="A4" s="1" t="s">
        <v>39</v>
      </c>
      <c r="B4" s="1" t="s">
        <v>44</v>
      </c>
      <c r="C4" s="4">
        <v>44624</v>
      </c>
      <c r="D4" s="5">
        <v>0.04</v>
      </c>
      <c r="E4" s="6"/>
      <c r="F4" s="6">
        <v>100</v>
      </c>
      <c r="G4" s="5">
        <f>IFERROR(OOP_10[[#This Row],[Marks]]/OOP_10[[#This Row],[Out Of]],0)</f>
        <v>0</v>
      </c>
      <c r="I4" t="s">
        <v>42</v>
      </c>
      <c r="J4" s="5">
        <f>SUMIF(OOP_10[Type],"EX",OOP_10[Weight])</f>
        <v>0.8</v>
      </c>
      <c r="K4" s="5">
        <f>(SUMIF(OOP_10[Type],"EX",OOP_10[Percent]))/COUNTIF(OOP_10[Type],"EX")</f>
        <v>0</v>
      </c>
    </row>
    <row r="5" spans="1:11" x14ac:dyDescent="0.25">
      <c r="A5" s="1" t="s">
        <v>40</v>
      </c>
      <c r="B5" s="1" t="s">
        <v>44</v>
      </c>
      <c r="C5" s="4">
        <v>44638</v>
      </c>
      <c r="D5" s="5">
        <v>0.04</v>
      </c>
      <c r="E5" s="6"/>
      <c r="F5" s="6">
        <v>100</v>
      </c>
      <c r="G5" s="5">
        <f>IFERROR(OOP_10[[#This Row],[Marks]]/OOP_10[[#This Row],[Out Of]],0)</f>
        <v>0</v>
      </c>
      <c r="I5" t="s">
        <v>5</v>
      </c>
      <c r="J5" s="5">
        <f>SUM(J3:J4)</f>
        <v>1</v>
      </c>
      <c r="K5" s="5">
        <f>(J3*K3)+(J4*K4)</f>
        <v>0</v>
      </c>
    </row>
    <row r="6" spans="1:11" x14ac:dyDescent="0.25">
      <c r="A6" s="1" t="s">
        <v>41</v>
      </c>
      <c r="B6" s="1" t="s">
        <v>44</v>
      </c>
      <c r="C6" s="4">
        <v>44652</v>
      </c>
      <c r="D6" s="5">
        <v>0.04</v>
      </c>
      <c r="E6" s="6"/>
      <c r="F6" s="6">
        <v>100</v>
      </c>
      <c r="G6" s="5">
        <f>IFERROR(OOP_10[[#This Row],[Marks]]/OOP_10[[#This Row],[Out Of]],0)</f>
        <v>0</v>
      </c>
    </row>
    <row r="7" spans="1:11" x14ac:dyDescent="0.25">
      <c r="A7" s="1" t="s">
        <v>120</v>
      </c>
      <c r="B7" s="1" t="s">
        <v>44</v>
      </c>
      <c r="C7" s="4">
        <v>44687</v>
      </c>
      <c r="D7" s="5">
        <v>0.04</v>
      </c>
      <c r="E7" s="6"/>
      <c r="F7" s="6">
        <v>100</v>
      </c>
      <c r="G7" s="5">
        <f>IFERROR(OOP_10[[#This Row],[Marks]]/OOP_10[[#This Row],[Out Of]],0)</f>
        <v>0</v>
      </c>
    </row>
    <row r="8" spans="1:11" x14ac:dyDescent="0.25">
      <c r="A8" s="1" t="s">
        <v>42</v>
      </c>
      <c r="B8" s="1" t="s">
        <v>43</v>
      </c>
      <c r="C8" s="4"/>
      <c r="D8" s="5">
        <v>0.8</v>
      </c>
      <c r="E8" s="6"/>
      <c r="F8" s="6">
        <v>100</v>
      </c>
      <c r="G8" s="5">
        <f>IFERROR(OOP_10[[#This Row],[Marks]]/OOP_10[[#This Row],[Out Of]],0)</f>
        <v>0</v>
      </c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9331-E514-4DF8-906F-BF617AA0186A}">
  <dimension ref="A1:K10"/>
  <sheetViews>
    <sheetView zoomScale="175" zoomScaleNormal="17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285156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</cols>
  <sheetData>
    <row r="1" spans="1:11" ht="21" x14ac:dyDescent="0.35">
      <c r="A1" s="15" t="s">
        <v>37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38</v>
      </c>
      <c r="B3" s="1" t="s">
        <v>44</v>
      </c>
      <c r="C3" s="4">
        <v>44473</v>
      </c>
      <c r="D3" s="5">
        <v>0.05</v>
      </c>
      <c r="E3" s="6"/>
      <c r="F3" s="6">
        <v>5</v>
      </c>
      <c r="G3" s="5">
        <f>IFERROR(DSA[[#This Row],[Marks]]/DSA[[#This Row],[Out Of]],0)</f>
        <v>0</v>
      </c>
      <c r="I3" t="s">
        <v>45</v>
      </c>
      <c r="J3" s="7">
        <f>SUMIF(DSA[Type],"QZ",DSA[Weight])</f>
        <v>0.2</v>
      </c>
      <c r="K3" s="7">
        <f>(SUMIF(DSA[Type],"QZ",DSA[Percent]))/COUNTIF(DSA[Type],"QZ")</f>
        <v>0</v>
      </c>
    </row>
    <row r="4" spans="1:11" x14ac:dyDescent="0.25">
      <c r="A4" s="1" t="s">
        <v>39</v>
      </c>
      <c r="B4" s="1" t="s">
        <v>44</v>
      </c>
      <c r="C4" s="4">
        <v>44487</v>
      </c>
      <c r="D4" s="5">
        <v>0.05</v>
      </c>
      <c r="E4" s="6"/>
      <c r="F4" s="6">
        <v>5</v>
      </c>
      <c r="G4" s="5">
        <f>IFERROR(DSA[[#This Row],[Marks]]/DSA[[#This Row],[Out Of]],0)</f>
        <v>0</v>
      </c>
      <c r="I4" t="s">
        <v>42</v>
      </c>
      <c r="J4" s="7">
        <f>SUMIF(DSA[Type],"EX",DSA[Weight])</f>
        <v>0.8</v>
      </c>
      <c r="K4" s="7">
        <f>(SUMIF(DSA[Type],"EX",DSA[Percent]))/COUNTIF(DSA[Type],"EX")</f>
        <v>0</v>
      </c>
    </row>
    <row r="5" spans="1:11" x14ac:dyDescent="0.25">
      <c r="A5" s="1" t="s">
        <v>40</v>
      </c>
      <c r="B5" s="1" t="s">
        <v>44</v>
      </c>
      <c r="C5" s="4">
        <v>44501</v>
      </c>
      <c r="D5" s="5">
        <v>0.05</v>
      </c>
      <c r="E5" s="6"/>
      <c r="F5" s="6">
        <v>5</v>
      </c>
      <c r="G5" s="5">
        <f>IFERROR(DSA[[#This Row],[Marks]]/DSA[[#This Row],[Out Of]],0)</f>
        <v>0</v>
      </c>
      <c r="I5" t="s">
        <v>5</v>
      </c>
      <c r="J5" s="7">
        <f>SUM(J3:J4)</f>
        <v>1</v>
      </c>
      <c r="K5" s="7">
        <f>(J3*K3)+(J4*K4)</f>
        <v>0</v>
      </c>
    </row>
    <row r="6" spans="1:11" x14ac:dyDescent="0.25">
      <c r="A6" s="1" t="s">
        <v>41</v>
      </c>
      <c r="B6" s="1" t="s">
        <v>44</v>
      </c>
      <c r="C6" s="4">
        <v>44522</v>
      </c>
      <c r="D6" s="5">
        <v>0.05</v>
      </c>
      <c r="E6" s="6"/>
      <c r="F6" s="6">
        <v>5</v>
      </c>
      <c r="G6" s="5">
        <f>IFERROR(DSA[[#This Row],[Marks]]/DSA[[#This Row],[Out Of]],0)</f>
        <v>0</v>
      </c>
    </row>
    <row r="7" spans="1:11" x14ac:dyDescent="0.25">
      <c r="A7" s="1" t="s">
        <v>42</v>
      </c>
      <c r="B7" s="1" t="s">
        <v>43</v>
      </c>
      <c r="C7" s="4">
        <v>44571</v>
      </c>
      <c r="D7" s="5">
        <v>0.8</v>
      </c>
      <c r="E7" s="6"/>
      <c r="F7" s="6">
        <v>60</v>
      </c>
      <c r="G7" s="5">
        <f>IFERROR(DSA[[#This Row],[Marks]]/DSA[[#This Row],[Out Of]],0)</f>
        <v>0</v>
      </c>
    </row>
    <row r="8" spans="1:11" x14ac:dyDescent="0.25">
      <c r="A8" s="1"/>
      <c r="B8" s="1"/>
      <c r="C8" s="4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1F71-13EA-4CC9-8894-8953E0805102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4.8554687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2.28515625" bestFit="1" customWidth="1"/>
    <col min="10" max="10" width="10.5703125" customWidth="1"/>
    <col min="11" max="11" width="7.28515625" customWidth="1"/>
  </cols>
  <sheetData>
    <row r="1" spans="1:11" ht="21" x14ac:dyDescent="0.35">
      <c r="A1" s="15" t="s">
        <v>9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119</v>
      </c>
      <c r="B3" s="1" t="s">
        <v>29</v>
      </c>
      <c r="C3" s="4">
        <v>44634</v>
      </c>
      <c r="D3" s="5">
        <v>0.25</v>
      </c>
      <c r="E3" s="6"/>
      <c r="F3" s="6">
        <v>100</v>
      </c>
      <c r="G3" s="5">
        <f>IFERROR(OOP_9[[#This Row],[Marks]]/OOP_9[[#This Row],[Out Of]],0)</f>
        <v>0</v>
      </c>
      <c r="I3" t="s">
        <v>36</v>
      </c>
      <c r="J3" s="7">
        <f>SUMIF(OOP_9[Type],"AS",OOP_9[Weight])</f>
        <v>1</v>
      </c>
      <c r="K3" s="7">
        <f>(SUMIF(OOP_9[Type],"AS",OOP_9[Percent]))/COUNTIF(OOP_9[Type],"AS")</f>
        <v>0</v>
      </c>
    </row>
    <row r="4" spans="1:11" x14ac:dyDescent="0.25">
      <c r="A4" s="1" t="s">
        <v>27</v>
      </c>
      <c r="B4" s="1" t="s">
        <v>29</v>
      </c>
      <c r="C4" s="4">
        <v>44684</v>
      </c>
      <c r="D4" s="5">
        <v>0.5</v>
      </c>
      <c r="E4" s="6"/>
      <c r="F4" s="6">
        <v>100</v>
      </c>
      <c r="G4" s="5">
        <f>IFERROR(OOP_9[[#This Row],[Marks]]/OOP_9[[#This Row],[Out Of]],0)</f>
        <v>0</v>
      </c>
      <c r="I4" t="s">
        <v>5</v>
      </c>
      <c r="J4" s="7">
        <f>SUM(J3:J3)</f>
        <v>1</v>
      </c>
      <c r="K4" s="7">
        <f>(J3*K3)</f>
        <v>0</v>
      </c>
    </row>
    <row r="5" spans="1:11" x14ac:dyDescent="0.25">
      <c r="A5" s="1" t="s">
        <v>28</v>
      </c>
      <c r="B5" s="1" t="s">
        <v>29</v>
      </c>
      <c r="C5" s="4">
        <v>44697</v>
      </c>
      <c r="D5" s="5">
        <v>0.25</v>
      </c>
      <c r="E5" s="6"/>
      <c r="F5" s="6">
        <v>100</v>
      </c>
      <c r="G5" s="5">
        <f>IFERROR(OOP_9[[#This Row],[Marks]]/OOP_9[[#This Row],[Out Of]],0)</f>
        <v>0</v>
      </c>
    </row>
    <row r="6" spans="1:11" x14ac:dyDescent="0.25">
      <c r="A6" s="1"/>
      <c r="B6" s="1"/>
      <c r="C6" s="4"/>
      <c r="D6" s="5"/>
      <c r="E6" s="6"/>
      <c r="F6" s="6"/>
      <c r="G6" s="5"/>
    </row>
    <row r="7" spans="1:11" x14ac:dyDescent="0.25">
      <c r="A7" s="1"/>
      <c r="B7" s="1"/>
      <c r="C7" s="4"/>
      <c r="D7" s="5"/>
      <c r="E7" s="6"/>
      <c r="F7" s="6"/>
      <c r="G7" s="5"/>
    </row>
    <row r="8" spans="1:11" x14ac:dyDescent="0.25">
      <c r="A8" s="1"/>
      <c r="B8" s="1"/>
      <c r="C8" s="4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17CB-B83D-48BA-8EDF-AC71B60172C0}">
  <dimension ref="A1:K15"/>
  <sheetViews>
    <sheetView zoomScale="160" zoomScaleNormal="160" workbookViewId="0">
      <selection activeCell="E5" sqref="E5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2.28515625" bestFit="1" customWidth="1"/>
    <col min="10" max="10" width="10.140625" customWidth="1"/>
    <col min="11" max="11" width="10" customWidth="1"/>
  </cols>
  <sheetData>
    <row r="1" spans="1:11" ht="21" x14ac:dyDescent="0.35">
      <c r="A1" s="15" t="s">
        <v>118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50</v>
      </c>
      <c r="B3" s="1" t="s">
        <v>44</v>
      </c>
      <c r="C3" s="4">
        <v>44473</v>
      </c>
      <c r="D3" s="5">
        <v>5.0000000000000001E-3</v>
      </c>
      <c r="E3" s="6"/>
      <c r="F3" s="6">
        <v>8</v>
      </c>
      <c r="G3" s="5">
        <f>IFERROR(MLFCS[[#This Row],[Marks]]/MLFCS[[#This Row],[Out Of]],0)</f>
        <v>0</v>
      </c>
      <c r="I3" t="s">
        <v>59</v>
      </c>
      <c r="J3" s="7">
        <f>SUMIF(MLFCS[Type],"QZ",MLFCS[Weight])</f>
        <v>4.9999999999999996E-2</v>
      </c>
      <c r="K3" s="7">
        <f>(SUMIF(MLFCS[Type],"QZ",MLFCS[Percent]))/COUNTIF(MLFCS[Type],"QZ")</f>
        <v>0</v>
      </c>
    </row>
    <row r="4" spans="1:11" x14ac:dyDescent="0.25">
      <c r="A4" s="1" t="s">
        <v>51</v>
      </c>
      <c r="B4" s="1" t="s">
        <v>44</v>
      </c>
      <c r="C4" s="4">
        <v>44480</v>
      </c>
      <c r="D4" s="5">
        <v>5.0000000000000001E-3</v>
      </c>
      <c r="E4" s="6"/>
      <c r="F4" s="6">
        <v>8</v>
      </c>
      <c r="G4" s="5">
        <f>IFERROR(MLFCS[[#This Row],[Marks]]/MLFCS[[#This Row],[Out Of]],0)</f>
        <v>0</v>
      </c>
      <c r="I4" t="s">
        <v>60</v>
      </c>
      <c r="J4" s="7">
        <f>SUMIF(MLFCS[Type],"CT",MLFCS[Weight])</f>
        <v>0.15000000000000002</v>
      </c>
      <c r="K4" s="7">
        <f>(SUMIF(MLFCS[Type],"CT",MLFCS[Percent]))/COUNTIF(MLFCS[Type],"CT")</f>
        <v>0</v>
      </c>
    </row>
    <row r="5" spans="1:11" x14ac:dyDescent="0.25">
      <c r="A5" s="1" t="s">
        <v>52</v>
      </c>
      <c r="B5" s="1" t="s">
        <v>44</v>
      </c>
      <c r="C5" s="4">
        <v>44487</v>
      </c>
      <c r="D5" s="5">
        <v>5.0000000000000001E-3</v>
      </c>
      <c r="E5" s="6"/>
      <c r="F5" s="6">
        <v>8</v>
      </c>
      <c r="G5" s="5">
        <f>IFERROR(MLFCS[[#This Row],[Marks]]/MLFCS[[#This Row],[Out Of]],0)</f>
        <v>0</v>
      </c>
      <c r="I5" t="s">
        <v>42</v>
      </c>
      <c r="J5" s="7">
        <f>SUMIF(MLFCS[Type],"EX",MLFCS[Weight])</f>
        <v>0.8</v>
      </c>
      <c r="K5" s="7">
        <f>(SUMIF(MLFCS[Type],"EX",MLFCS[Percent]))/COUNTIF(MLFCS[Type],"EX")</f>
        <v>0</v>
      </c>
    </row>
    <row r="6" spans="1:11" x14ac:dyDescent="0.25">
      <c r="A6" s="1" t="s">
        <v>53</v>
      </c>
      <c r="B6" s="1" t="s">
        <v>44</v>
      </c>
      <c r="C6" s="4">
        <v>44494</v>
      </c>
      <c r="D6" s="5">
        <v>5.0000000000000001E-3</v>
      </c>
      <c r="E6" s="6"/>
      <c r="F6" s="6">
        <v>8</v>
      </c>
      <c r="G6" s="5">
        <f>IFERROR(MLFCS[[#This Row],[Marks]]/MLFCS[[#This Row],[Out Of]],0)</f>
        <v>0</v>
      </c>
      <c r="I6" t="s">
        <v>5</v>
      </c>
      <c r="J6" s="7">
        <f>SUM(J3:J5)</f>
        <v>1</v>
      </c>
      <c r="K6" s="7">
        <f>(J3*K3)+(J4*K4)+(J5*K5)</f>
        <v>0</v>
      </c>
    </row>
    <row r="7" spans="1:11" x14ac:dyDescent="0.25">
      <c r="A7" s="1" t="s">
        <v>54</v>
      </c>
      <c r="B7" s="1" t="s">
        <v>44</v>
      </c>
      <c r="C7" s="4">
        <v>44501</v>
      </c>
      <c r="D7" s="5">
        <v>5.0000000000000001E-3</v>
      </c>
      <c r="E7" s="6"/>
      <c r="F7" s="6">
        <v>8</v>
      </c>
      <c r="G7" s="5">
        <f>IFERROR(MLFCS[[#This Row],[Marks]]/MLFCS[[#This Row],[Out Of]],0)</f>
        <v>0</v>
      </c>
      <c r="J7" s="7"/>
      <c r="K7" s="7"/>
    </row>
    <row r="8" spans="1:11" x14ac:dyDescent="0.25">
      <c r="A8" s="1" t="s">
        <v>55</v>
      </c>
      <c r="B8" s="1" t="s">
        <v>44</v>
      </c>
      <c r="C8" s="4">
        <v>44508</v>
      </c>
      <c r="D8" s="5">
        <v>5.0000000000000001E-3</v>
      </c>
      <c r="E8" s="6"/>
      <c r="F8" s="6">
        <v>8</v>
      </c>
      <c r="G8" s="5">
        <f>IFERROR(MLFCS[[#This Row],[Marks]]/MLFCS[[#This Row],[Out Of]],0)</f>
        <v>0</v>
      </c>
      <c r="J8" s="7"/>
      <c r="K8" s="7"/>
    </row>
    <row r="9" spans="1:11" x14ac:dyDescent="0.25">
      <c r="A9" s="1" t="s">
        <v>56</v>
      </c>
      <c r="B9" s="1" t="s">
        <v>44</v>
      </c>
      <c r="C9" s="4">
        <v>44515</v>
      </c>
      <c r="D9" s="5">
        <v>5.0000000000000001E-3</v>
      </c>
      <c r="E9" s="6"/>
      <c r="F9" s="6">
        <v>8</v>
      </c>
      <c r="G9" s="5">
        <f>IFERROR(MLFCS[[#This Row],[Marks]]/MLFCS[[#This Row],[Out Of]],0)</f>
        <v>0</v>
      </c>
    </row>
    <row r="10" spans="1:11" x14ac:dyDescent="0.25">
      <c r="A10" s="1" t="s">
        <v>57</v>
      </c>
      <c r="B10" s="1" t="s">
        <v>44</v>
      </c>
      <c r="C10" s="4">
        <v>44522</v>
      </c>
      <c r="D10" s="5">
        <v>5.0000000000000001E-3</v>
      </c>
      <c r="E10" s="6"/>
      <c r="F10" s="6">
        <v>8</v>
      </c>
      <c r="G10" s="5">
        <f>IFERROR(MLFCS[[#This Row],[Marks]]/MLFCS[[#This Row],[Out Of]],0)</f>
        <v>0</v>
      </c>
    </row>
    <row r="11" spans="1:11" x14ac:dyDescent="0.25">
      <c r="A11" s="1" t="s">
        <v>58</v>
      </c>
      <c r="B11" s="1" t="s">
        <v>44</v>
      </c>
      <c r="C11" s="4">
        <v>44529</v>
      </c>
      <c r="D11" s="5">
        <v>5.0000000000000001E-3</v>
      </c>
      <c r="E11" s="6"/>
      <c r="F11" s="6">
        <v>8</v>
      </c>
      <c r="G11" s="5">
        <f>IFERROR(MLFCS[[#This Row],[Marks]]/MLFCS[[#This Row],[Out Of]],0)</f>
        <v>0</v>
      </c>
    </row>
    <row r="12" spans="1:11" x14ac:dyDescent="0.25">
      <c r="A12" s="1" t="s">
        <v>103</v>
      </c>
      <c r="B12" s="1" t="s">
        <v>44</v>
      </c>
      <c r="C12" s="4">
        <v>44536</v>
      </c>
      <c r="D12" s="5">
        <v>5.0000000000000001E-3</v>
      </c>
      <c r="E12" s="6"/>
      <c r="F12" s="6">
        <v>8</v>
      </c>
      <c r="G12" s="5">
        <f>IFERROR(MLFCS[[#This Row],[Marks]]/MLFCS[[#This Row],[Out Of]],0)</f>
        <v>0</v>
      </c>
    </row>
    <row r="13" spans="1:11" x14ac:dyDescent="0.25">
      <c r="A13" s="1" t="s">
        <v>47</v>
      </c>
      <c r="B13" s="1" t="s">
        <v>46</v>
      </c>
      <c r="C13" s="4">
        <v>44494</v>
      </c>
      <c r="D13" s="5">
        <v>7.0000000000000007E-2</v>
      </c>
      <c r="E13" s="6"/>
      <c r="F13" s="6">
        <v>40</v>
      </c>
      <c r="G13" s="5">
        <f>IFERROR(MLFCS[[#This Row],[Marks]]/MLFCS[[#This Row],[Out Of]],0)</f>
        <v>0</v>
      </c>
    </row>
    <row r="14" spans="1:11" x14ac:dyDescent="0.25">
      <c r="A14" s="1" t="s">
        <v>48</v>
      </c>
      <c r="B14" s="1" t="s">
        <v>46</v>
      </c>
      <c r="C14" s="4">
        <v>44522</v>
      </c>
      <c r="D14" s="5">
        <v>0.08</v>
      </c>
      <c r="E14" s="6"/>
      <c r="F14" s="6">
        <v>40</v>
      </c>
      <c r="G14" s="5">
        <f>IFERROR(MLFCS[[#This Row],[Marks]]/MLFCS[[#This Row],[Out Of]],0)</f>
        <v>0</v>
      </c>
    </row>
    <row r="15" spans="1:11" x14ac:dyDescent="0.25">
      <c r="A15" s="1" t="s">
        <v>42</v>
      </c>
      <c r="B15" s="1" t="s">
        <v>43</v>
      </c>
      <c r="C15" s="4">
        <v>44571</v>
      </c>
      <c r="D15" s="5">
        <v>0.8</v>
      </c>
      <c r="E15" s="6"/>
      <c r="F15" s="6">
        <v>40</v>
      </c>
      <c r="G15" s="5">
        <f>IFERROR(MLFCS[[#This Row],[Marks]]/MLFCS[[#This Row],[Out Of]],0)</f>
        <v>0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25E1-042E-4FA4-8770-4069ED8A6469}">
  <dimension ref="A1:K10"/>
  <sheetViews>
    <sheetView zoomScale="205" zoomScaleNormal="205" workbookViewId="0">
      <selection sqref="A1:K10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8554687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1.7109375" customWidth="1"/>
  </cols>
  <sheetData>
    <row r="1" spans="1:11" ht="21" x14ac:dyDescent="0.35">
      <c r="A1" s="15" t="s">
        <v>11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30</v>
      </c>
      <c r="B3" s="1" t="s">
        <v>26</v>
      </c>
      <c r="C3" s="4">
        <v>44472</v>
      </c>
      <c r="D3" s="5">
        <v>0.05</v>
      </c>
      <c r="E3" s="6"/>
      <c r="F3" s="6">
        <v>10</v>
      </c>
      <c r="G3" s="5">
        <f>IFERROR(OOP[[#This Row],[Marks]]/OOP[[#This Row],[Out Of]],0)</f>
        <v>0</v>
      </c>
      <c r="I3" t="s">
        <v>35</v>
      </c>
      <c r="J3" s="7">
        <f>SUMIF(OOP[Type],"OT",OOP[Weight])</f>
        <v>0.3</v>
      </c>
      <c r="K3" s="7">
        <f>(SUMIF(OOP[Type],"OT",OOP[Percent]))/COUNTIF(OOP[Type],"OT")</f>
        <v>0</v>
      </c>
    </row>
    <row r="4" spans="1:11" x14ac:dyDescent="0.25">
      <c r="A4" s="1" t="s">
        <v>31</v>
      </c>
      <c r="B4" s="1" t="s">
        <v>26</v>
      </c>
      <c r="C4" s="4">
        <v>44479</v>
      </c>
      <c r="D4" s="5">
        <v>0.05</v>
      </c>
      <c r="E4" s="6"/>
      <c r="F4" s="6">
        <v>10</v>
      </c>
      <c r="G4" s="5">
        <f>IFERROR(OOP[[#This Row],[Marks]]/OOP[[#This Row],[Out Of]],0)</f>
        <v>0</v>
      </c>
      <c r="I4" t="s">
        <v>36</v>
      </c>
      <c r="J4" s="7">
        <f>SUMIF(OOP[Type],"AS",OOP[Weight])</f>
        <v>0.7</v>
      </c>
      <c r="K4" s="7">
        <f>(SUMIF(OOP[Type],"AS",OOP[Percent]))/COUNTIF(OOP[Type],"AS")</f>
        <v>0</v>
      </c>
    </row>
    <row r="5" spans="1:11" x14ac:dyDescent="0.25">
      <c r="A5" s="1" t="s">
        <v>32</v>
      </c>
      <c r="B5" s="1" t="s">
        <v>26</v>
      </c>
      <c r="C5" s="4">
        <v>44486</v>
      </c>
      <c r="D5" s="5">
        <v>0.05</v>
      </c>
      <c r="E5" s="6"/>
      <c r="F5" s="6">
        <v>10</v>
      </c>
      <c r="G5" s="5">
        <f>IFERROR(OOP[[#This Row],[Marks]]/OOP[[#This Row],[Out Of]],0)</f>
        <v>0</v>
      </c>
      <c r="I5" t="s">
        <v>5</v>
      </c>
      <c r="J5" s="7">
        <f>SUM(J3:J4)</f>
        <v>1</v>
      </c>
      <c r="K5" s="7">
        <f>(J3*K3)+(J4*K4)</f>
        <v>0</v>
      </c>
    </row>
    <row r="6" spans="1:11" x14ac:dyDescent="0.25">
      <c r="A6" s="1" t="s">
        <v>33</v>
      </c>
      <c r="B6" s="1" t="s">
        <v>26</v>
      </c>
      <c r="C6" s="4">
        <v>44500</v>
      </c>
      <c r="D6" s="5">
        <v>0.05</v>
      </c>
      <c r="E6" s="6"/>
      <c r="F6" s="6">
        <v>10</v>
      </c>
      <c r="G6" s="5">
        <f>IFERROR(OOP[[#This Row],[Marks]]/OOP[[#This Row],[Out Of]],0)</f>
        <v>0</v>
      </c>
    </row>
    <row r="7" spans="1:11" x14ac:dyDescent="0.25">
      <c r="A7" s="1" t="s">
        <v>34</v>
      </c>
      <c r="B7" s="1" t="s">
        <v>26</v>
      </c>
      <c r="C7" s="4">
        <v>44535</v>
      </c>
      <c r="D7" s="5">
        <v>0.05</v>
      </c>
      <c r="E7" s="6"/>
      <c r="F7" s="6">
        <v>10</v>
      </c>
      <c r="G7" s="5">
        <f>IFERROR(OOP[[#This Row],[Marks]]/OOP[[#This Row],[Out Of]],0)</f>
        <v>0</v>
      </c>
    </row>
    <row r="8" spans="1:11" x14ac:dyDescent="0.25">
      <c r="A8" s="1" t="s">
        <v>63</v>
      </c>
      <c r="B8" s="1" t="s">
        <v>26</v>
      </c>
      <c r="C8" s="4">
        <v>44542</v>
      </c>
      <c r="D8" s="5">
        <v>0.05</v>
      </c>
      <c r="E8" s="6"/>
      <c r="F8" s="6">
        <v>10</v>
      </c>
      <c r="G8" s="5">
        <f>IFERROR(OOP[[#This Row],[Marks]]/OOP[[#This Row],[Out Of]],0)</f>
        <v>0</v>
      </c>
    </row>
    <row r="9" spans="1:11" x14ac:dyDescent="0.25">
      <c r="A9" s="1" t="s">
        <v>27</v>
      </c>
      <c r="B9" s="1" t="s">
        <v>29</v>
      </c>
      <c r="C9" s="4">
        <v>44501</v>
      </c>
      <c r="D9" s="5">
        <v>0.35</v>
      </c>
      <c r="E9" s="6"/>
      <c r="F9" s="6">
        <v>100</v>
      </c>
      <c r="G9" s="5">
        <f>IFERROR(OOP[[#This Row],[Marks]]/OOP[[#This Row],[Out Of]],0)</f>
        <v>0</v>
      </c>
    </row>
    <row r="10" spans="1:11" x14ac:dyDescent="0.25">
      <c r="A10" s="1" t="s">
        <v>28</v>
      </c>
      <c r="B10" s="1" t="s">
        <v>29</v>
      </c>
      <c r="C10" s="4">
        <v>44519</v>
      </c>
      <c r="D10" s="5">
        <v>0.35</v>
      </c>
      <c r="E10" s="6"/>
      <c r="F10" s="6">
        <v>100</v>
      </c>
      <c r="G10" s="5">
        <f>IFERROR(OOP[[#This Row],[Marks]]/OOP[[#This Row],[Out Of]],0)</f>
        <v>0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DD3F-7EDA-4652-9952-91B166EF6148}">
  <dimension ref="A1"/>
  <sheetViews>
    <sheetView workbookViewId="0">
      <selection activeCell="E9" sqref="E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63C9-5C7F-4524-B245-15CC6A0E5B8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EC4E-B1AC-44EB-8745-90E14F1A70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Menu</vt:lpstr>
      <vt:lpstr>AI1</vt:lpstr>
      <vt:lpstr>DSA</vt:lpstr>
      <vt:lpstr>FSAD</vt:lpstr>
      <vt:lpstr>MLFCS</vt:lpstr>
      <vt:lpstr>OOP</vt:lpstr>
      <vt:lpstr>ToC</vt:lpstr>
      <vt:lpstr>AI2</vt:lpstr>
      <vt:lpstr>FP</vt:lpstr>
      <vt:lpstr>SN</vt:lpstr>
      <vt:lpstr>SEPP</vt:lpstr>
      <vt:lpstr>SPCC</vt:lpstr>
      <vt:lpstr>TP</vt:lpstr>
      <vt:lpstr>Final</vt:lpstr>
      <vt:lpstr>Assessments</vt:lpstr>
      <vt:lpstr>FYM-Select</vt:lpstr>
      <vt:lpstr>CyberSecMScModules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Widdop</dc:creator>
  <cp:lastModifiedBy>Matty Widdop</cp:lastModifiedBy>
  <dcterms:created xsi:type="dcterms:W3CDTF">2021-09-28T21:42:07Z</dcterms:created>
  <dcterms:modified xsi:type="dcterms:W3CDTF">2022-02-03T16:08:53Z</dcterms:modified>
</cp:coreProperties>
</file>