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msterdamumc-my.sharepoint.com/personal/k_rozemeijer_amsterdamumc_nl/Documents/!Oude N schijf/Documenten/Toekomstige projecten/Reorganisatie/Test performances/"/>
    </mc:Choice>
  </mc:AlternateContent>
  <xr:revisionPtr revIDLastSave="112" documentId="8_{B8F3EF7E-E613-4F7A-94E1-F074EDA5C68B}" xr6:coauthVersionLast="47" xr6:coauthVersionMax="47" xr10:uidLastSave="{48FC2379-DE7E-4BB4-B608-9B10F9094F8A}"/>
  <bookViews>
    <workbookView xWindow="-120" yWindow="-120" windowWidth="29040" windowHeight="15225" activeTab="3" xr2:uid="{00000000-000D-0000-FFFF-FFFF00000000}"/>
  </bookViews>
  <sheets>
    <sheet name="Base-case" sheetId="2" r:id="rId1"/>
    <sheet name="Sens_AIN_treated" sheetId="20" r:id="rId2"/>
    <sheet name="Sens_Cyt restriction" sheetId="18" r:id="rId3"/>
    <sheet name="Sens_50% cancer prevalance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2" l="1"/>
  <c r="B29" i="2"/>
  <c r="B28" i="2"/>
  <c r="B27" i="2"/>
  <c r="B26" i="2"/>
  <c r="D23" i="2"/>
  <c r="B23" i="2"/>
  <c r="B22" i="2"/>
  <c r="C27" i="19"/>
  <c r="D27" i="19"/>
  <c r="E27" i="19"/>
  <c r="F27" i="19"/>
  <c r="G27" i="19"/>
  <c r="H27" i="19"/>
  <c r="I27" i="19"/>
  <c r="J27" i="19"/>
  <c r="K27" i="19"/>
  <c r="L27" i="19"/>
  <c r="M27" i="19"/>
  <c r="B27" i="19"/>
  <c r="B12" i="19"/>
  <c r="E36" i="18"/>
  <c r="F36" i="18"/>
  <c r="G36" i="18"/>
  <c r="H36" i="18"/>
  <c r="I36" i="18"/>
  <c r="J36" i="18"/>
  <c r="K36" i="18"/>
  <c r="L36" i="18"/>
  <c r="M36" i="18"/>
  <c r="D36" i="18"/>
  <c r="C36" i="18"/>
  <c r="B36" i="18"/>
  <c r="M7" i="18"/>
  <c r="L7" i="18"/>
  <c r="K7" i="18"/>
  <c r="J7" i="18"/>
  <c r="G7" i="18"/>
  <c r="F7" i="18"/>
  <c r="B27" i="18"/>
  <c r="B20" i="2"/>
  <c r="B34" i="18"/>
  <c r="B11" i="20"/>
  <c r="B13" i="20" s="1"/>
  <c r="C11" i="20"/>
  <c r="C13" i="20" s="1"/>
  <c r="B18" i="20"/>
  <c r="D11" i="20"/>
  <c r="C8" i="20"/>
  <c r="B8" i="20"/>
  <c r="B36" i="20" s="1"/>
  <c r="E26" i="2"/>
  <c r="B26" i="20" l="1"/>
  <c r="B28" i="20" s="1"/>
  <c r="B19" i="20"/>
  <c r="B31" i="20" s="1"/>
  <c r="D13" i="20"/>
  <c r="D26" i="20" l="1"/>
  <c r="D28" i="20" s="1"/>
  <c r="B20" i="20"/>
  <c r="B33" i="20" l="1"/>
  <c r="D8" i="20"/>
  <c r="E8" i="20"/>
  <c r="H8" i="20"/>
  <c r="I8" i="20"/>
  <c r="M7" i="20"/>
  <c r="M8" i="20" s="1"/>
  <c r="L7" i="20"/>
  <c r="L8" i="20" s="1"/>
  <c r="K7" i="20"/>
  <c r="K8" i="20" s="1"/>
  <c r="J7" i="20"/>
  <c r="J8" i="20" s="1"/>
  <c r="G7" i="20"/>
  <c r="G8" i="20" s="1"/>
  <c r="F7" i="20"/>
  <c r="F8" i="20" s="1"/>
  <c r="M20" i="20"/>
  <c r="L20" i="20"/>
  <c r="K20" i="20"/>
  <c r="J20" i="20"/>
  <c r="I20" i="20"/>
  <c r="H20" i="20"/>
  <c r="G20" i="20"/>
  <c r="F20" i="20"/>
  <c r="E20" i="20"/>
  <c r="D20" i="20"/>
  <c r="C20" i="20"/>
  <c r="M18" i="20"/>
  <c r="L18" i="20"/>
  <c r="K18" i="20"/>
  <c r="J18" i="20"/>
  <c r="I18" i="20"/>
  <c r="H18" i="20"/>
  <c r="G18" i="20"/>
  <c r="F18" i="20"/>
  <c r="E18" i="20"/>
  <c r="D18" i="20"/>
  <c r="C18" i="20"/>
  <c r="C19" i="20" s="1"/>
  <c r="M16" i="20"/>
  <c r="M17" i="20" s="1"/>
  <c r="L16" i="20"/>
  <c r="L17" i="20" s="1"/>
  <c r="K16" i="20"/>
  <c r="K17" i="20" s="1"/>
  <c r="J16" i="20"/>
  <c r="J17" i="20" s="1"/>
  <c r="I16" i="20"/>
  <c r="I17" i="20" s="1"/>
  <c r="H16" i="20"/>
  <c r="H17" i="20" s="1"/>
  <c r="G16" i="20"/>
  <c r="G17" i="20" s="1"/>
  <c r="F16" i="20"/>
  <c r="F17" i="20" s="1"/>
  <c r="E16" i="20"/>
  <c r="E17" i="20" s="1"/>
  <c r="D16" i="20"/>
  <c r="D17" i="20" s="1"/>
  <c r="C16" i="20"/>
  <c r="B16" i="20"/>
  <c r="I11" i="20"/>
  <c r="H11" i="20"/>
  <c r="E11" i="20"/>
  <c r="C26" i="20"/>
  <c r="C28" i="20" s="1"/>
  <c r="M10" i="20"/>
  <c r="M11" i="20" s="1"/>
  <c r="L10" i="20"/>
  <c r="L11" i="20" s="1"/>
  <c r="K10" i="20"/>
  <c r="K11" i="20" s="1"/>
  <c r="K12" i="20" s="1"/>
  <c r="K42" i="20" s="1"/>
  <c r="J10" i="20"/>
  <c r="J11" i="20" s="1"/>
  <c r="G10" i="20"/>
  <c r="G11" i="20" s="1"/>
  <c r="F10" i="20"/>
  <c r="F11" i="20" s="1"/>
  <c r="C17" i="20" l="1"/>
  <c r="C12" i="20"/>
  <c r="B17" i="20"/>
  <c r="B21" i="20" s="1"/>
  <c r="B12" i="20"/>
  <c r="B42" i="20" s="1"/>
  <c r="I36" i="20"/>
  <c r="I38" i="20" s="1"/>
  <c r="F36" i="20"/>
  <c r="F38" i="20" s="1"/>
  <c r="L36" i="20"/>
  <c r="L38" i="20" s="1"/>
  <c r="H36" i="20"/>
  <c r="H38" i="20" s="1"/>
  <c r="J36" i="20"/>
  <c r="J38" i="20" s="1"/>
  <c r="B38" i="20"/>
  <c r="D36" i="20"/>
  <c r="D38" i="20" s="1"/>
  <c r="K36" i="20"/>
  <c r="K38" i="20" s="1"/>
  <c r="C36" i="20"/>
  <c r="C38" i="20" s="1"/>
  <c r="G36" i="20"/>
  <c r="G38" i="20" s="1"/>
  <c r="M36" i="20"/>
  <c r="M38" i="20" s="1"/>
  <c r="E36" i="20"/>
  <c r="E38" i="20" s="1"/>
  <c r="E21" i="20"/>
  <c r="M21" i="20"/>
  <c r="H12" i="20"/>
  <c r="H42" i="20" s="1"/>
  <c r="H44" i="20" s="1"/>
  <c r="D12" i="20"/>
  <c r="E12" i="20"/>
  <c r="E42" i="20" s="1"/>
  <c r="E44" i="20" s="1"/>
  <c r="C21" i="20"/>
  <c r="G21" i="20"/>
  <c r="K21" i="20"/>
  <c r="K44" i="20"/>
  <c r="J12" i="20"/>
  <c r="J42" i="20" s="1"/>
  <c r="J44" i="20" s="1"/>
  <c r="C31" i="20"/>
  <c r="C33" i="20" s="1"/>
  <c r="I12" i="20"/>
  <c r="I42" i="20" s="1"/>
  <c r="I44" i="20" s="1"/>
  <c r="D21" i="20"/>
  <c r="H21" i="20"/>
  <c r="L21" i="20"/>
  <c r="F12" i="20"/>
  <c r="F42" i="20" s="1"/>
  <c r="F44" i="20" s="1"/>
  <c r="L12" i="20"/>
  <c r="L42" i="20" s="1"/>
  <c r="L44" i="20" s="1"/>
  <c r="G12" i="20"/>
  <c r="G42" i="20" s="1"/>
  <c r="G44" i="20" s="1"/>
  <c r="M12" i="20"/>
  <c r="M42" i="20" s="1"/>
  <c r="M44" i="20" s="1"/>
  <c r="F21" i="20"/>
  <c r="J21" i="20"/>
  <c r="I21" i="20"/>
  <c r="M13" i="20"/>
  <c r="J13" i="20"/>
  <c r="K13" i="20"/>
  <c r="G13" i="20"/>
  <c r="F13" i="20"/>
  <c r="L13" i="20"/>
  <c r="H13" i="20"/>
  <c r="E13" i="20"/>
  <c r="I13" i="20"/>
  <c r="D19" i="20"/>
  <c r="D31" i="20" s="1"/>
  <c r="D33" i="20" s="1"/>
  <c r="B44" i="20" l="1"/>
  <c r="D42" i="20"/>
  <c r="D22" i="20"/>
  <c r="D23" i="20"/>
  <c r="B23" i="20"/>
  <c r="B22" i="20"/>
  <c r="C42" i="20"/>
  <c r="C22" i="20"/>
  <c r="H19" i="20"/>
  <c r="H31" i="20" s="1"/>
  <c r="H33" i="20" s="1"/>
  <c r="H26" i="20"/>
  <c r="H28" i="20" s="1"/>
  <c r="K19" i="20"/>
  <c r="K31" i="20" s="1"/>
  <c r="K33" i="20" s="1"/>
  <c r="K26" i="20"/>
  <c r="K28" i="20" s="1"/>
  <c r="G19" i="20"/>
  <c r="G31" i="20" s="1"/>
  <c r="G33" i="20" s="1"/>
  <c r="G26" i="20"/>
  <c r="G28" i="20" s="1"/>
  <c r="L19" i="20"/>
  <c r="L31" i="20" s="1"/>
  <c r="L33" i="20" s="1"/>
  <c r="L26" i="20"/>
  <c r="L28" i="20" s="1"/>
  <c r="J19" i="20"/>
  <c r="J31" i="20" s="1"/>
  <c r="J33" i="20" s="1"/>
  <c r="J26" i="20"/>
  <c r="J28" i="20" s="1"/>
  <c r="C44" i="20"/>
  <c r="E19" i="20"/>
  <c r="E31" i="20" s="1"/>
  <c r="E33" i="20" s="1"/>
  <c r="E26" i="20"/>
  <c r="E28" i="20" s="1"/>
  <c r="I19" i="20"/>
  <c r="I31" i="20" s="1"/>
  <c r="I33" i="20" s="1"/>
  <c r="I26" i="20"/>
  <c r="I28" i="20" s="1"/>
  <c r="F19" i="20"/>
  <c r="F31" i="20" s="1"/>
  <c r="F33" i="20" s="1"/>
  <c r="F26" i="20"/>
  <c r="F28" i="20" s="1"/>
  <c r="M19" i="20"/>
  <c r="M31" i="20" s="1"/>
  <c r="M33" i="20" s="1"/>
  <c r="M26" i="20"/>
  <c r="M28" i="20" s="1"/>
  <c r="D44" i="20"/>
  <c r="E30" i="2"/>
  <c r="C27" i="2"/>
  <c r="D27" i="2"/>
  <c r="E27" i="2"/>
  <c r="H27" i="2"/>
  <c r="I27" i="2"/>
  <c r="C26" i="2"/>
  <c r="C30" i="2" s="1"/>
  <c r="M33" i="18"/>
  <c r="M34" i="18" s="1"/>
  <c r="L33" i="18"/>
  <c r="K33" i="18"/>
  <c r="J33" i="18"/>
  <c r="G33" i="18"/>
  <c r="F33" i="18"/>
  <c r="F34" i="18" s="1"/>
  <c r="I11" i="18"/>
  <c r="B11" i="18"/>
  <c r="M10" i="18"/>
  <c r="L10" i="18"/>
  <c r="K10" i="18"/>
  <c r="J10" i="18"/>
  <c r="G10" i="18"/>
  <c r="F10" i="18"/>
  <c r="L34" i="18" l="1"/>
  <c r="K34" i="18"/>
  <c r="J34" i="18"/>
  <c r="I34" i="18"/>
  <c r="H34" i="18"/>
  <c r="E34" i="18"/>
  <c r="D34" i="18"/>
  <c r="C34" i="18"/>
  <c r="G34" i="18"/>
  <c r="M29" i="19"/>
  <c r="L29" i="19"/>
  <c r="K29" i="19"/>
  <c r="J29" i="19"/>
  <c r="I29" i="19"/>
  <c r="H29" i="19"/>
  <c r="G29" i="19"/>
  <c r="F29" i="19"/>
  <c r="E29" i="19"/>
  <c r="D29" i="19"/>
  <c r="C29" i="19"/>
  <c r="B29" i="19"/>
  <c r="B5" i="19"/>
  <c r="M20" i="19"/>
  <c r="L20" i="19"/>
  <c r="K20" i="19"/>
  <c r="J20" i="19"/>
  <c r="I20" i="19"/>
  <c r="H20" i="19"/>
  <c r="G20" i="19"/>
  <c r="F20" i="19"/>
  <c r="E20" i="19"/>
  <c r="D20" i="19"/>
  <c r="C20" i="19"/>
  <c r="B20" i="19"/>
  <c r="M18" i="19"/>
  <c r="L18" i="19"/>
  <c r="K18" i="19"/>
  <c r="J18" i="19"/>
  <c r="I18" i="19"/>
  <c r="H18" i="19"/>
  <c r="G18" i="19"/>
  <c r="F18" i="19"/>
  <c r="E18" i="19"/>
  <c r="D18" i="19"/>
  <c r="C18" i="19"/>
  <c r="B18" i="19"/>
  <c r="M16" i="19"/>
  <c r="M17" i="19" s="1"/>
  <c r="M21" i="19" s="1"/>
  <c r="L16" i="19"/>
  <c r="L17" i="19" s="1"/>
  <c r="L21" i="19" s="1"/>
  <c r="K16" i="19"/>
  <c r="K17" i="19" s="1"/>
  <c r="K21" i="19" s="1"/>
  <c r="J16" i="19"/>
  <c r="J17" i="19" s="1"/>
  <c r="J21" i="19" s="1"/>
  <c r="I16" i="19"/>
  <c r="I17" i="19" s="1"/>
  <c r="I21" i="19" s="1"/>
  <c r="H16" i="19"/>
  <c r="H17" i="19" s="1"/>
  <c r="H21" i="19" s="1"/>
  <c r="G16" i="19"/>
  <c r="G17" i="19" s="1"/>
  <c r="G21" i="19" s="1"/>
  <c r="F16" i="19"/>
  <c r="F17" i="19" s="1"/>
  <c r="F21" i="19" s="1"/>
  <c r="E16" i="19"/>
  <c r="E17" i="19" s="1"/>
  <c r="E21" i="19" s="1"/>
  <c r="D16" i="19"/>
  <c r="D17" i="19" s="1"/>
  <c r="D21" i="19" s="1"/>
  <c r="C16" i="19"/>
  <c r="C17" i="19" s="1"/>
  <c r="C21" i="19" s="1"/>
  <c r="B16" i="19"/>
  <c r="B17" i="19" s="1"/>
  <c r="B21" i="19" s="1"/>
  <c r="I11" i="19"/>
  <c r="I13" i="19" s="1"/>
  <c r="I19" i="19" s="1"/>
  <c r="H11" i="19"/>
  <c r="H13" i="19" s="1"/>
  <c r="H19" i="19" s="1"/>
  <c r="E11" i="19"/>
  <c r="E13" i="19" s="1"/>
  <c r="D11" i="19"/>
  <c r="D13" i="19" s="1"/>
  <c r="D19" i="19" s="1"/>
  <c r="C11" i="19"/>
  <c r="B11" i="19"/>
  <c r="B13" i="19" s="1"/>
  <c r="M10" i="19"/>
  <c r="M11" i="19" s="1"/>
  <c r="L10" i="19"/>
  <c r="L11" i="19" s="1"/>
  <c r="K10" i="19"/>
  <c r="K11" i="19" s="1"/>
  <c r="J10" i="19"/>
  <c r="J11" i="19" s="1"/>
  <c r="G10" i="19"/>
  <c r="G11" i="19" s="1"/>
  <c r="G13" i="19" s="1"/>
  <c r="G19" i="19" s="1"/>
  <c r="F10" i="19"/>
  <c r="F11" i="19" s="1"/>
  <c r="I8" i="19"/>
  <c r="H8" i="19"/>
  <c r="E8" i="19"/>
  <c r="D8" i="19"/>
  <c r="C8" i="19"/>
  <c r="B8" i="19"/>
  <c r="M7" i="19"/>
  <c r="M8" i="19" s="1"/>
  <c r="L7" i="19"/>
  <c r="K7" i="19"/>
  <c r="K8" i="19" s="1"/>
  <c r="J7" i="19"/>
  <c r="G7" i="19"/>
  <c r="F7" i="19"/>
  <c r="M5" i="19"/>
  <c r="L5" i="19"/>
  <c r="K5" i="19"/>
  <c r="J5" i="19"/>
  <c r="I5" i="19"/>
  <c r="H5" i="19"/>
  <c r="G5" i="19"/>
  <c r="F5" i="19"/>
  <c r="E5" i="19"/>
  <c r="D5" i="19"/>
  <c r="C5" i="19"/>
  <c r="J11" i="18"/>
  <c r="G11" i="18"/>
  <c r="F11" i="18"/>
  <c r="M20" i="18"/>
  <c r="L20" i="18"/>
  <c r="K20" i="18"/>
  <c r="J20" i="18"/>
  <c r="I20" i="18"/>
  <c r="H20" i="18"/>
  <c r="G20" i="18"/>
  <c r="F20" i="18"/>
  <c r="E20" i="18"/>
  <c r="D20" i="18"/>
  <c r="C20" i="18"/>
  <c r="B20" i="18"/>
  <c r="M18" i="18"/>
  <c r="L18" i="18"/>
  <c r="K18" i="18"/>
  <c r="J18" i="18"/>
  <c r="I18" i="18"/>
  <c r="H18" i="18"/>
  <c r="G18" i="18"/>
  <c r="F18" i="18"/>
  <c r="E18" i="18"/>
  <c r="D18" i="18"/>
  <c r="C18" i="18"/>
  <c r="B18" i="18"/>
  <c r="M16" i="18"/>
  <c r="M17" i="18" s="1"/>
  <c r="M21" i="18" s="1"/>
  <c r="L16" i="18"/>
  <c r="L17" i="18" s="1"/>
  <c r="L21" i="18" s="1"/>
  <c r="K16" i="18"/>
  <c r="K17" i="18" s="1"/>
  <c r="K21" i="18" s="1"/>
  <c r="J16" i="18"/>
  <c r="J17" i="18" s="1"/>
  <c r="J21" i="18" s="1"/>
  <c r="I16" i="18"/>
  <c r="I17" i="18" s="1"/>
  <c r="I21" i="18" s="1"/>
  <c r="H16" i="18"/>
  <c r="H17" i="18" s="1"/>
  <c r="H21" i="18" s="1"/>
  <c r="G16" i="18"/>
  <c r="G17" i="18" s="1"/>
  <c r="G21" i="18" s="1"/>
  <c r="F16" i="18"/>
  <c r="F17" i="18" s="1"/>
  <c r="F21" i="18" s="1"/>
  <c r="E16" i="18"/>
  <c r="E17" i="18" s="1"/>
  <c r="E21" i="18" s="1"/>
  <c r="D16" i="18"/>
  <c r="D17" i="18" s="1"/>
  <c r="D21" i="18" s="1"/>
  <c r="C16" i="18"/>
  <c r="C17" i="18" s="1"/>
  <c r="C21" i="18" s="1"/>
  <c r="B16" i="18"/>
  <c r="B17" i="18" s="1"/>
  <c r="B21" i="18" s="1"/>
  <c r="I13" i="18"/>
  <c r="I19" i="18" s="1"/>
  <c r="I27" i="18" s="1"/>
  <c r="I29" i="18" s="1"/>
  <c r="H11" i="18"/>
  <c r="E11" i="18"/>
  <c r="D11" i="18"/>
  <c r="C11" i="18"/>
  <c r="B13" i="18"/>
  <c r="M11" i="18"/>
  <c r="L11" i="18"/>
  <c r="K11" i="18"/>
  <c r="I8" i="18"/>
  <c r="H8" i="18"/>
  <c r="E8" i="18"/>
  <c r="D8" i="18"/>
  <c r="C8" i="18"/>
  <c r="B8" i="18"/>
  <c r="L8" i="18"/>
  <c r="M5" i="18"/>
  <c r="L5" i="18"/>
  <c r="K5" i="18"/>
  <c r="J5" i="18"/>
  <c r="I5" i="18"/>
  <c r="H5" i="18"/>
  <c r="G5" i="18"/>
  <c r="F5" i="18"/>
  <c r="E5" i="18"/>
  <c r="D5" i="18"/>
  <c r="C5" i="18"/>
  <c r="B5" i="18"/>
  <c r="B19" i="19" l="1"/>
  <c r="E19" i="19"/>
  <c r="C12" i="19"/>
  <c r="C22" i="19" s="1"/>
  <c r="B12" i="18"/>
  <c r="D13" i="18"/>
  <c r="D19" i="18" s="1"/>
  <c r="D27" i="18" s="1"/>
  <c r="D29" i="18" s="1"/>
  <c r="B19" i="18"/>
  <c r="B29" i="18" s="1"/>
  <c r="H13" i="18"/>
  <c r="H19" i="18" s="1"/>
  <c r="H27" i="18" s="1"/>
  <c r="H29" i="18" s="1"/>
  <c r="E13" i="18"/>
  <c r="E19" i="18" s="1"/>
  <c r="E27" i="18" s="1"/>
  <c r="E29" i="18" s="1"/>
  <c r="C13" i="18"/>
  <c r="C19" i="18" s="1"/>
  <c r="C27" i="18" s="1"/>
  <c r="C29" i="18" s="1"/>
  <c r="F12" i="18"/>
  <c r="B38" i="18"/>
  <c r="F13" i="19"/>
  <c r="F19" i="19" s="1"/>
  <c r="M13" i="19"/>
  <c r="M19" i="19" s="1"/>
  <c r="M12" i="19"/>
  <c r="K12" i="19"/>
  <c r="K13" i="19"/>
  <c r="K19" i="19" s="1"/>
  <c r="L13" i="19"/>
  <c r="L19" i="19" s="1"/>
  <c r="J13" i="19"/>
  <c r="J19" i="19" s="1"/>
  <c r="C13" i="19"/>
  <c r="C19" i="19" s="1"/>
  <c r="F8" i="19"/>
  <c r="F12" i="19" s="1"/>
  <c r="J8" i="19"/>
  <c r="J12" i="19" s="1"/>
  <c r="D12" i="19"/>
  <c r="H12" i="19"/>
  <c r="G8" i="19"/>
  <c r="G12" i="19" s="1"/>
  <c r="E12" i="19"/>
  <c r="I12" i="19"/>
  <c r="L8" i="19"/>
  <c r="L12" i="19" s="1"/>
  <c r="K13" i="18"/>
  <c r="K19" i="18" s="1"/>
  <c r="K27" i="18" s="1"/>
  <c r="K29" i="18" s="1"/>
  <c r="F13" i="18"/>
  <c r="F19" i="18" s="1"/>
  <c r="F27" i="18" s="1"/>
  <c r="F29" i="18" s="1"/>
  <c r="L13" i="18"/>
  <c r="L19" i="18" s="1"/>
  <c r="L27" i="18" s="1"/>
  <c r="L29" i="18" s="1"/>
  <c r="L12" i="18"/>
  <c r="G13" i="18"/>
  <c r="G19" i="18" s="1"/>
  <c r="G27" i="18" s="1"/>
  <c r="G29" i="18" s="1"/>
  <c r="M13" i="18"/>
  <c r="M19" i="18" s="1"/>
  <c r="M27" i="18" s="1"/>
  <c r="M29" i="18" s="1"/>
  <c r="J13" i="18"/>
  <c r="J19" i="18" s="1"/>
  <c r="J27" i="18" s="1"/>
  <c r="J29" i="18" s="1"/>
  <c r="F8" i="18"/>
  <c r="J8" i="18"/>
  <c r="J12" i="18" s="1"/>
  <c r="D12" i="18"/>
  <c r="H12" i="18"/>
  <c r="G8" i="18"/>
  <c r="G12" i="18" s="1"/>
  <c r="K8" i="18"/>
  <c r="K12" i="18" s="1"/>
  <c r="E12" i="18"/>
  <c r="I12" i="18"/>
  <c r="M8" i="18"/>
  <c r="M12" i="18" s="1"/>
  <c r="C12" i="18"/>
  <c r="B23" i="19" l="1"/>
  <c r="D38" i="18"/>
  <c r="D23" i="18"/>
  <c r="B23" i="18"/>
  <c r="C38" i="18"/>
  <c r="M38" i="18"/>
  <c r="L38" i="18"/>
  <c r="G38" i="18"/>
  <c r="K38" i="18"/>
  <c r="H38" i="18"/>
  <c r="I38" i="18"/>
  <c r="J38" i="18"/>
  <c r="E38" i="18"/>
  <c r="F38" i="18"/>
  <c r="D23" i="19"/>
  <c r="D22" i="19"/>
  <c r="B22" i="19"/>
  <c r="C22" i="18"/>
  <c r="D22" i="18"/>
  <c r="B22" i="18"/>
  <c r="D26" i="2" l="1"/>
  <c r="D30" i="2" s="1"/>
  <c r="H26" i="2"/>
  <c r="H30" i="2" s="1"/>
  <c r="I26" i="2"/>
  <c r="I30" i="2" s="1"/>
  <c r="D11" i="2" l="1"/>
  <c r="M10" i="2"/>
  <c r="M27" i="2" s="1"/>
  <c r="L10" i="2"/>
  <c r="L27" i="2" s="1"/>
  <c r="K10" i="2"/>
  <c r="K27" i="2" s="1"/>
  <c r="J10" i="2"/>
  <c r="J27" i="2" s="1"/>
  <c r="G10" i="2"/>
  <c r="G27" i="2" s="1"/>
  <c r="F10" i="2"/>
  <c r="F27" i="2" s="1"/>
  <c r="M7" i="2"/>
  <c r="M26" i="2" s="1"/>
  <c r="M30" i="2" s="1"/>
  <c r="L7" i="2"/>
  <c r="L26" i="2" s="1"/>
  <c r="L30" i="2" s="1"/>
  <c r="K7" i="2"/>
  <c r="K26" i="2" s="1"/>
  <c r="K30" i="2" s="1"/>
  <c r="J7" i="2"/>
  <c r="J26" i="2" s="1"/>
  <c r="J30" i="2" s="1"/>
  <c r="G7" i="2"/>
  <c r="G26" i="2" s="1"/>
  <c r="G30" i="2" s="1"/>
  <c r="F7" i="2"/>
  <c r="F26" i="2" s="1"/>
  <c r="F30" i="2" s="1"/>
  <c r="D13" i="2" l="1"/>
  <c r="J11" i="2"/>
  <c r="M20" i="2"/>
  <c r="M16" i="2"/>
  <c r="M17" i="2" s="1"/>
  <c r="J20" i="2"/>
  <c r="J16" i="2"/>
  <c r="J17" i="2" s="1"/>
  <c r="B11" i="2"/>
  <c r="J13" i="2" l="1"/>
  <c r="B13" i="2"/>
  <c r="J21" i="2"/>
  <c r="M21" i="2"/>
  <c r="G8" i="2"/>
  <c r="F8" i="2"/>
  <c r="K8" i="2"/>
  <c r="C8" i="2"/>
  <c r="D8" i="2"/>
  <c r="E8" i="2"/>
  <c r="H8" i="2"/>
  <c r="I8" i="2"/>
  <c r="J8" i="2"/>
  <c r="L8" i="2"/>
  <c r="M8" i="2"/>
  <c r="B8" i="2"/>
  <c r="M18" i="2"/>
  <c r="M11" i="2"/>
  <c r="M5" i="2"/>
  <c r="J18" i="2"/>
  <c r="J5" i="2"/>
  <c r="J12" i="2" s="1"/>
  <c r="J25" i="2" s="1"/>
  <c r="J19" i="2" l="1"/>
  <c r="M13" i="2"/>
  <c r="M19" i="2" s="1"/>
  <c r="J29" i="2"/>
  <c r="M12" i="2"/>
  <c r="M25" i="2" s="1"/>
  <c r="M29" i="2" l="1"/>
  <c r="M28" i="2"/>
  <c r="J28" i="2"/>
  <c r="B5" i="2"/>
  <c r="G20" i="2"/>
  <c r="G18" i="2"/>
  <c r="L11" i="2"/>
  <c r="F11" i="2"/>
  <c r="H11" i="2"/>
  <c r="I11" i="2"/>
  <c r="C16" i="2"/>
  <c r="D16" i="2"/>
  <c r="E16" i="2"/>
  <c r="F16" i="2"/>
  <c r="G16" i="2"/>
  <c r="G17" i="2" s="1"/>
  <c r="H16" i="2"/>
  <c r="I16" i="2"/>
  <c r="K16" i="2"/>
  <c r="L16" i="2"/>
  <c r="B16" i="2"/>
  <c r="C11" i="2"/>
  <c r="E11" i="2"/>
  <c r="G11" i="2"/>
  <c r="K11" i="2"/>
  <c r="B17" i="2" l="1"/>
  <c r="B12" i="2"/>
  <c r="B25" i="2" s="1"/>
  <c r="G13" i="2"/>
  <c r="G19" i="2" s="1"/>
  <c r="G21" i="2"/>
  <c r="D20" i="2" l="1"/>
  <c r="L20" i="2" l="1"/>
  <c r="K20" i="2"/>
  <c r="L17" i="2"/>
  <c r="K17" i="2"/>
  <c r="I20" i="2"/>
  <c r="H20" i="2"/>
  <c r="I17" i="2"/>
  <c r="H17" i="2"/>
  <c r="F20" i="2"/>
  <c r="L21" i="2" l="1"/>
  <c r="K21" i="2"/>
  <c r="I21" i="2"/>
  <c r="H21" i="2"/>
  <c r="C5" i="2" l="1"/>
  <c r="D5" i="2"/>
  <c r="E5" i="2"/>
  <c r="F5" i="2"/>
  <c r="G5" i="2"/>
  <c r="H5" i="2"/>
  <c r="I5" i="2"/>
  <c r="K5" i="2"/>
  <c r="L5" i="2"/>
  <c r="K12" i="2" l="1"/>
  <c r="K25" i="2" s="1"/>
  <c r="K29" i="2" s="1"/>
  <c r="I12" i="2"/>
  <c r="I25" i="2" s="1"/>
  <c r="E12" i="2"/>
  <c r="E25" i="2" s="1"/>
  <c r="H12" i="2"/>
  <c r="H25" i="2" s="1"/>
  <c r="D12" i="2"/>
  <c r="L12" i="2"/>
  <c r="L25" i="2" s="1"/>
  <c r="G12" i="2"/>
  <c r="G25" i="2" s="1"/>
  <c r="C12" i="2"/>
  <c r="F17" i="2"/>
  <c r="F21" i="2" s="1"/>
  <c r="E20" i="2"/>
  <c r="E17" i="2"/>
  <c r="D17" i="2"/>
  <c r="D21" i="2" s="1"/>
  <c r="C20" i="2"/>
  <c r="C17" i="2"/>
  <c r="B21" i="2"/>
  <c r="D25" i="2" l="1"/>
  <c r="C25" i="2"/>
  <c r="E29" i="2"/>
  <c r="I28" i="2"/>
  <c r="H28" i="2"/>
  <c r="D22" i="2"/>
  <c r="D29" i="2"/>
  <c r="L28" i="2"/>
  <c r="C22" i="2"/>
  <c r="K28" i="2"/>
  <c r="E28" i="2"/>
  <c r="L29" i="2"/>
  <c r="H29" i="2"/>
  <c r="I29" i="2"/>
  <c r="E21" i="2"/>
  <c r="F12" i="2"/>
  <c r="F25" i="2" s="1"/>
  <c r="C21" i="2"/>
  <c r="B18" i="2"/>
  <c r="D28" i="2" l="1"/>
  <c r="C28" i="2"/>
  <c r="C29" i="2"/>
  <c r="F28" i="2"/>
  <c r="F29" i="2"/>
  <c r="G28" i="2"/>
  <c r="G29" i="2"/>
  <c r="C18" i="2"/>
  <c r="D18" i="2"/>
  <c r="E18" i="2"/>
  <c r="F18" i="2"/>
  <c r="H18" i="2"/>
  <c r="I18" i="2"/>
  <c r="K18" i="2"/>
  <c r="L18" i="2"/>
  <c r="B19" i="2"/>
  <c r="L13" i="2" l="1"/>
  <c r="L19" i="2" s="1"/>
  <c r="K13" i="2"/>
  <c r="K19" i="2" s="1"/>
  <c r="I13" i="2"/>
  <c r="I19" i="2" s="1"/>
  <c r="H13" i="2"/>
  <c r="H19" i="2" s="1"/>
  <c r="C13" i="2" l="1"/>
  <c r="C19" i="2" s="1"/>
  <c r="D19" i="2"/>
  <c r="E13" i="2"/>
  <c r="E19" i="2" s="1"/>
  <c r="F13" i="2"/>
  <c r="F19" i="2" s="1"/>
</calcChain>
</file>

<file path=xl/sharedStrings.xml><?xml version="1.0" encoding="utf-8"?>
<sst xmlns="http://schemas.openxmlformats.org/spreadsheetml/2006/main" count="167" uniqueCount="52">
  <si>
    <t>% referred HRA</t>
  </si>
  <si>
    <t>Primary cytology (ASCUS screening)</t>
  </si>
  <si>
    <t>Primary cytology (HSIL screening)</t>
  </si>
  <si>
    <t>Primary hrHPV screening</t>
  </si>
  <si>
    <t>Primary HPV16 screening</t>
  </si>
  <si>
    <t>Cancer prevalence</t>
  </si>
  <si>
    <t>Number of SCC per 100</t>
  </si>
  <si>
    <t>Number of SCC missed</t>
  </si>
  <si>
    <t>% detection cancer</t>
  </si>
  <si>
    <t>% missed cancer</t>
  </si>
  <si>
    <t>hra referral</t>
  </si>
  <si>
    <t>AIN1- prevalence</t>
  </si>
  <si>
    <t xml:space="preserve">Primary hrHPV + cytology (ASCUS) </t>
  </si>
  <si>
    <t xml:space="preserve">Primary hrHPV + cytology (HSIL) </t>
  </si>
  <si>
    <t>Primary hrHPV + cytology (HSIL)</t>
  </si>
  <si>
    <t>LSIL n</t>
  </si>
  <si>
    <t>% detection LSIL</t>
  </si>
  <si>
    <t>HSIL n</t>
  </si>
  <si>
    <t>% detection HSIL</t>
  </si>
  <si>
    <t>Cancer n</t>
  </si>
  <si>
    <t>Cancer detectie</t>
  </si>
  <si>
    <t>Risk stratification</t>
  </si>
  <si>
    <t>Single</t>
  </si>
  <si>
    <t>Co/triage, OR situation</t>
  </si>
  <si>
    <t>Co/triage, AND situation</t>
  </si>
  <si>
    <t xml:space="preserve">                               HPV16 OR hrHPV and cytology (&gt;=ASCUS)</t>
  </si>
  <si>
    <t>HPV16 OR hrHPV and cytology (HSIL)</t>
  </si>
  <si>
    <t>HSIL OR hrHPV and cytology (ASCUS/LSIL)</t>
  </si>
  <si>
    <t>HSIL OR HPV16 OR hrHPV and cytology (ASCUS/LSIL)</t>
  </si>
  <si>
    <t>Number of missed HSIL, now</t>
  </si>
  <si>
    <t>Number of missed HSIL, earlier</t>
  </si>
  <si>
    <t>HRA, now</t>
  </si>
  <si>
    <t>HRA, earlier</t>
  </si>
  <si>
    <t>HRA referral</t>
  </si>
  <si>
    <t>Specificity, AIN2+</t>
  </si>
  <si>
    <t>Sensitivity, AIN2+</t>
  </si>
  <si>
    <t>PPV, AIN2+</t>
  </si>
  <si>
    <t>NPV, AIN2+</t>
  </si>
  <si>
    <t>False positives, AIN2+</t>
  </si>
  <si>
    <t>% of missed HSIL, now</t>
  </si>
  <si>
    <t>% of missed HSIL, earlier</t>
  </si>
  <si>
    <t>Detection LSIL, now</t>
  </si>
  <si>
    <t>Detection LSIL, earlier</t>
  </si>
  <si>
    <t>LSIL detection</t>
  </si>
  <si>
    <t>HSIL detection</t>
  </si>
  <si>
    <t>Cancer detection</t>
  </si>
  <si>
    <t>% negatives</t>
  </si>
  <si>
    <t>HRA referral, now</t>
  </si>
  <si>
    <t>HSIL prevalence</t>
  </si>
  <si>
    <t>% false negatives (=missed HSIL)</t>
  </si>
  <si>
    <t>Number of HSIL per 100</t>
  </si>
  <si>
    <t>Number of HSIL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</si>
</sst>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Alignment="1">
      <alignment wrapText="1"/>
    </xf>
    <xf numFmtId="164" fontId="0" fillId="2" borderId="0" xfId="0" applyNumberFormat="1" applyFill="1" applyBorder="1"/>
    <xf numFmtId="0" fontId="1" fillId="0" borderId="0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Fill="1" applyBorder="1" applyAlignment="1">
      <alignment wrapText="1"/>
    </xf>
    <xf numFmtId="164" fontId="0" fillId="0" borderId="0" xfId="0" applyNumberFormat="1" applyFill="1" applyBorder="1" applyAlignment="1">
      <alignment wrapText="1"/>
    </xf>
    <xf numFmtId="1" fontId="0" fillId="0" borderId="0" xfId="0" applyNumberFormat="1" applyFill="1" applyBorder="1" applyAlignment="1">
      <alignment wrapText="1"/>
    </xf>
    <xf numFmtId="2" fontId="1" fillId="0" borderId="0" xfId="0" applyNumberFormat="1" applyFont="1" applyFill="1" applyAlignment="1">
      <alignment wrapText="1"/>
    </xf>
    <xf numFmtId="2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vertical="center" wrapText="1"/>
    </xf>
    <xf numFmtId="2" fontId="0" fillId="0" borderId="0" xfId="0" applyNumberFormat="1" applyFill="1" applyBorder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2" fillId="0" borderId="0" xfId="0" applyFont="1" applyFill="1"/>
    <xf numFmtId="165" fontId="0" fillId="0" borderId="0" xfId="0" applyNumberFormat="1" applyFill="1" applyBorder="1"/>
    <xf numFmtId="164" fontId="0" fillId="3" borderId="0" xfId="0" applyNumberFormat="1" applyFill="1"/>
    <xf numFmtId="2" fontId="0" fillId="0" borderId="0" xfId="0" applyNumberFormat="1"/>
    <xf numFmtId="164" fontId="3" fillId="0" borderId="0" xfId="0" applyNumberFormat="1" applyFont="1" applyFill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zoomScale="50" zoomScaleNormal="50" workbookViewId="0">
      <selection activeCell="B3" sqref="B3"/>
    </sheetView>
  </sheetViews>
  <sheetFormatPr defaultRowHeight="15" x14ac:dyDescent="0.25"/>
  <cols>
    <col min="1" max="1" width="35.7109375" style="3" customWidth="1"/>
    <col min="2" max="9" width="15.7109375" style="9" customWidth="1"/>
    <col min="10" max="10" width="24.140625" style="9" customWidth="1"/>
    <col min="11" max="11" width="19.5703125" style="9" customWidth="1"/>
    <col min="12" max="12" width="20.42578125" style="9" customWidth="1"/>
    <col min="13" max="13" width="20.140625" style="9" customWidth="1"/>
    <col min="14" max="14" width="20.140625" style="1" customWidth="1"/>
    <col min="15" max="15" width="15.7109375" style="1" customWidth="1"/>
    <col min="16" max="27" width="19.28515625" style="1" customWidth="1"/>
    <col min="28" max="16384" width="9.140625" style="1"/>
  </cols>
  <sheetData>
    <row r="1" spans="1:13" s="6" customFormat="1" ht="60.75" customHeight="1" x14ac:dyDescent="0.25">
      <c r="A1" s="3"/>
      <c r="B1" s="31" t="s">
        <v>22</v>
      </c>
      <c r="C1" s="31"/>
      <c r="D1" s="31"/>
      <c r="E1" s="31"/>
      <c r="F1" s="31" t="s">
        <v>23</v>
      </c>
      <c r="G1" s="31"/>
      <c r="H1" s="31" t="s">
        <v>24</v>
      </c>
      <c r="I1" s="31"/>
      <c r="J1" s="32" t="s">
        <v>21</v>
      </c>
      <c r="K1" s="32"/>
      <c r="L1" s="32"/>
      <c r="M1" s="32"/>
    </row>
    <row r="2" spans="1:13" s="4" customFormat="1" ht="187.5" customHeight="1" x14ac:dyDescent="0.25">
      <c r="B2" s="7" t="s">
        <v>1</v>
      </c>
      <c r="C2" s="7" t="s">
        <v>2</v>
      </c>
      <c r="D2" s="7" t="s">
        <v>3</v>
      </c>
      <c r="E2" s="7" t="s">
        <v>4</v>
      </c>
      <c r="F2" s="7" t="s">
        <v>12</v>
      </c>
      <c r="G2" s="7" t="s">
        <v>13</v>
      </c>
      <c r="H2" s="7" t="s">
        <v>12</v>
      </c>
      <c r="I2" s="7" t="s">
        <v>14</v>
      </c>
      <c r="J2" s="8" t="s">
        <v>28</v>
      </c>
      <c r="K2" s="8" t="s">
        <v>25</v>
      </c>
      <c r="L2" s="8" t="s">
        <v>26</v>
      </c>
      <c r="M2" s="8" t="s">
        <v>27</v>
      </c>
    </row>
    <row r="3" spans="1:13" x14ac:dyDescent="0.25">
      <c r="A3" s="3" t="s">
        <v>48</v>
      </c>
      <c r="B3" s="27">
        <v>0.28999999999999998</v>
      </c>
      <c r="C3" s="9">
        <v>0.28999999999999998</v>
      </c>
      <c r="D3" s="9">
        <v>0.28999999999999998</v>
      </c>
      <c r="E3" s="9">
        <v>0.28999999999999998</v>
      </c>
      <c r="F3" s="9">
        <v>0.28999999999999998</v>
      </c>
      <c r="G3" s="9">
        <v>0.28999999999999998</v>
      </c>
      <c r="H3" s="9">
        <v>0.28999999999999998</v>
      </c>
      <c r="I3" s="9">
        <v>0.28999999999999998</v>
      </c>
      <c r="J3" s="9">
        <v>0.28999999999999998</v>
      </c>
      <c r="K3" s="9">
        <v>0.28999999999999998</v>
      </c>
      <c r="L3" s="9">
        <v>0.28999999999999998</v>
      </c>
      <c r="M3" s="9">
        <v>0.28999999999999998</v>
      </c>
    </row>
    <row r="4" spans="1:13" x14ac:dyDescent="0.25">
      <c r="A4" s="3" t="s">
        <v>5</v>
      </c>
      <c r="B4" s="27">
        <v>0.02</v>
      </c>
      <c r="C4" s="9">
        <v>0.02</v>
      </c>
      <c r="D4" s="9">
        <v>0.02</v>
      </c>
      <c r="E4" s="9">
        <v>0.02</v>
      </c>
      <c r="F4" s="9">
        <v>0.02</v>
      </c>
      <c r="G4" s="9">
        <v>0.02</v>
      </c>
      <c r="H4" s="9">
        <v>0.02</v>
      </c>
      <c r="I4" s="9">
        <v>0.02</v>
      </c>
      <c r="J4" s="9">
        <v>0.02</v>
      </c>
      <c r="K4" s="9">
        <v>0.02</v>
      </c>
      <c r="L4" s="9">
        <v>0.02</v>
      </c>
      <c r="M4" s="9">
        <v>0.02</v>
      </c>
    </row>
    <row r="5" spans="1:13" x14ac:dyDescent="0.25">
      <c r="A5" s="3" t="s">
        <v>11</v>
      </c>
      <c r="B5" s="27">
        <f>1-B3-B4</f>
        <v>0.69</v>
      </c>
      <c r="C5" s="9">
        <f t="shared" ref="C5:E5" si="0">1-C3-C4</f>
        <v>0.69</v>
      </c>
      <c r="D5" s="9">
        <f t="shared" si="0"/>
        <v>0.69</v>
      </c>
      <c r="E5" s="9">
        <f t="shared" si="0"/>
        <v>0.69</v>
      </c>
      <c r="F5" s="9">
        <f t="shared" ref="F5:L5" si="1">1-F3-F4</f>
        <v>0.69</v>
      </c>
      <c r="G5" s="9">
        <f t="shared" si="1"/>
        <v>0.69</v>
      </c>
      <c r="H5" s="9">
        <f t="shared" si="1"/>
        <v>0.69</v>
      </c>
      <c r="I5" s="9">
        <f t="shared" si="1"/>
        <v>0.69</v>
      </c>
      <c r="J5" s="9">
        <f t="shared" ref="J5" si="2">1-J3-J4</f>
        <v>0.69</v>
      </c>
      <c r="K5" s="9">
        <f t="shared" si="1"/>
        <v>0.69</v>
      </c>
      <c r="L5" s="9">
        <f t="shared" si="1"/>
        <v>0.69</v>
      </c>
      <c r="M5" s="9">
        <f t="shared" ref="M5" si="3">1-M3-M4</f>
        <v>0.69</v>
      </c>
    </row>
    <row r="6" spans="1:13" x14ac:dyDescent="0.25">
      <c r="A6" s="3" t="s">
        <v>15</v>
      </c>
      <c r="B6" s="9">
        <v>175</v>
      </c>
      <c r="C6" s="9">
        <v>175</v>
      </c>
      <c r="D6" s="9">
        <v>175</v>
      </c>
      <c r="E6" s="9">
        <v>175</v>
      </c>
      <c r="F6" s="9">
        <v>175</v>
      </c>
      <c r="G6" s="9">
        <v>175</v>
      </c>
      <c r="H6" s="9">
        <v>175</v>
      </c>
      <c r="I6" s="9">
        <v>175</v>
      </c>
      <c r="J6" s="9">
        <v>175</v>
      </c>
      <c r="K6" s="9">
        <v>175</v>
      </c>
      <c r="L6" s="9">
        <v>175</v>
      </c>
      <c r="M6" s="9">
        <v>175</v>
      </c>
    </row>
    <row r="7" spans="1:13" x14ac:dyDescent="0.25">
      <c r="A7" s="3" t="s">
        <v>43</v>
      </c>
      <c r="B7" s="9">
        <v>92</v>
      </c>
      <c r="C7" s="9">
        <v>14</v>
      </c>
      <c r="D7" s="9">
        <v>88</v>
      </c>
      <c r="E7" s="9">
        <v>18</v>
      </c>
      <c r="F7" s="9">
        <f>F6-50</f>
        <v>125</v>
      </c>
      <c r="G7" s="9">
        <f>G6-85</f>
        <v>90</v>
      </c>
      <c r="H7" s="9">
        <v>55</v>
      </c>
      <c r="I7" s="9">
        <v>12</v>
      </c>
      <c r="J7" s="9">
        <f>14+15+32</f>
        <v>61</v>
      </c>
      <c r="K7" s="9">
        <f>18+41</f>
        <v>59</v>
      </c>
      <c r="L7" s="9">
        <f>18+9</f>
        <v>27</v>
      </c>
      <c r="M7" s="9">
        <f>14+43</f>
        <v>57</v>
      </c>
    </row>
    <row r="8" spans="1:13" s="2" customFormat="1" x14ac:dyDescent="0.25">
      <c r="A8" s="5" t="s">
        <v>16</v>
      </c>
      <c r="B8" s="10">
        <f>B7/B6*100</f>
        <v>52.571428571428569</v>
      </c>
      <c r="C8" s="10">
        <f t="shared" ref="C8:M8" si="4">C7/C6*100</f>
        <v>8</v>
      </c>
      <c r="D8" s="10">
        <f t="shared" si="4"/>
        <v>50.285714285714292</v>
      </c>
      <c r="E8" s="10">
        <f t="shared" si="4"/>
        <v>10.285714285714285</v>
      </c>
      <c r="F8" s="10">
        <f t="shared" si="4"/>
        <v>71.428571428571431</v>
      </c>
      <c r="G8" s="10">
        <f t="shared" si="4"/>
        <v>51.428571428571423</v>
      </c>
      <c r="H8" s="10">
        <f t="shared" si="4"/>
        <v>31.428571428571427</v>
      </c>
      <c r="I8" s="10">
        <f t="shared" si="4"/>
        <v>6.8571428571428577</v>
      </c>
      <c r="J8" s="10">
        <f t="shared" si="4"/>
        <v>34.857142857142861</v>
      </c>
      <c r="K8" s="10">
        <f t="shared" si="4"/>
        <v>33.714285714285715</v>
      </c>
      <c r="L8" s="10">
        <f t="shared" si="4"/>
        <v>15.428571428571427</v>
      </c>
      <c r="M8" s="10">
        <f t="shared" si="4"/>
        <v>32.571428571428577</v>
      </c>
    </row>
    <row r="9" spans="1:13" x14ac:dyDescent="0.25">
      <c r="A9" s="3" t="s">
        <v>17</v>
      </c>
      <c r="B9" s="9">
        <v>113</v>
      </c>
      <c r="C9" s="9">
        <v>113</v>
      </c>
      <c r="D9" s="9">
        <v>113</v>
      </c>
      <c r="E9" s="9">
        <v>113</v>
      </c>
      <c r="F9" s="9">
        <v>113</v>
      </c>
      <c r="G9" s="9">
        <v>113</v>
      </c>
      <c r="H9" s="9">
        <v>113</v>
      </c>
      <c r="I9" s="9">
        <v>113</v>
      </c>
      <c r="J9" s="9">
        <v>113</v>
      </c>
      <c r="K9" s="9">
        <v>113</v>
      </c>
      <c r="L9" s="9">
        <v>113</v>
      </c>
      <c r="M9" s="9">
        <v>113</v>
      </c>
    </row>
    <row r="10" spans="1:13" x14ac:dyDescent="0.25">
      <c r="A10" s="3" t="s">
        <v>44</v>
      </c>
      <c r="B10" s="9">
        <v>92</v>
      </c>
      <c r="C10" s="9">
        <v>52</v>
      </c>
      <c r="D10" s="9">
        <v>97</v>
      </c>
      <c r="E10" s="9">
        <v>41</v>
      </c>
      <c r="F10" s="9">
        <f>F9-5</f>
        <v>108</v>
      </c>
      <c r="G10" s="9">
        <f>G9-10</f>
        <v>103</v>
      </c>
      <c r="H10" s="10">
        <v>81</v>
      </c>
      <c r="I10" s="9">
        <v>46</v>
      </c>
      <c r="J10" s="9">
        <f>45+20+18</f>
        <v>83</v>
      </c>
      <c r="K10" s="10">
        <f>41+43</f>
        <v>84</v>
      </c>
      <c r="L10" s="10">
        <f>41+25</f>
        <v>66</v>
      </c>
      <c r="M10" s="9">
        <f>45+35</f>
        <v>80</v>
      </c>
    </row>
    <row r="11" spans="1:13" s="2" customFormat="1" x14ac:dyDescent="0.25">
      <c r="A11" s="5" t="s">
        <v>18</v>
      </c>
      <c r="B11" s="10">
        <f>B10/B9*100</f>
        <v>81.415929203539832</v>
      </c>
      <c r="C11" s="10">
        <f t="shared" ref="C11:L11" si="5">C10/C9*100</f>
        <v>46.017699115044245</v>
      </c>
      <c r="D11" s="10">
        <f>D10/D9*100</f>
        <v>85.840707964601776</v>
      </c>
      <c r="E11" s="10">
        <f t="shared" si="5"/>
        <v>36.283185840707965</v>
      </c>
      <c r="F11" s="10">
        <f t="shared" si="5"/>
        <v>95.575221238938056</v>
      </c>
      <c r="G11" s="10">
        <f t="shared" si="5"/>
        <v>91.150442477876098</v>
      </c>
      <c r="H11" s="10">
        <f t="shared" ref="H11" si="6">H10/H9*100</f>
        <v>71.681415929203538</v>
      </c>
      <c r="I11" s="10">
        <f t="shared" ref="I11" si="7">I10/I9*100</f>
        <v>40.707964601769916</v>
      </c>
      <c r="J11" s="10">
        <f>J10/J9*100</f>
        <v>73.451327433628322</v>
      </c>
      <c r="K11" s="10">
        <f t="shared" si="5"/>
        <v>74.336283185840713</v>
      </c>
      <c r="L11" s="10">
        <f t="shared" si="5"/>
        <v>58.407079646017699</v>
      </c>
      <c r="M11" s="10">
        <f t="shared" ref="M11" si="8">M10/M9*100</f>
        <v>70.796460176991147</v>
      </c>
    </row>
    <row r="12" spans="1:13" x14ac:dyDescent="0.25">
      <c r="A12" s="3" t="s">
        <v>0</v>
      </c>
      <c r="B12" s="10">
        <f>(B11*B3)+(B8*B5)+(B16*B4)</f>
        <v>61.684905183312253</v>
      </c>
      <c r="C12" s="10">
        <f>(C11*C3)+(C8*C5)+(C16*C4)</f>
        <v>20.265132743362827</v>
      </c>
      <c r="D12" s="10">
        <f>(D11*D3)+(D8*D5)+(D16*D4)</f>
        <v>60.990948166877367</v>
      </c>
      <c r="E12" s="10">
        <f t="shared" ref="E12:L12" si="9">(E11*E3)+(E8*E5)+(E16*E4)</f>
        <v>19.019266750948162</v>
      </c>
      <c r="F12" s="10">
        <f t="shared" si="9"/>
        <v>79.00252844500632</v>
      </c>
      <c r="G12" s="10">
        <f t="shared" si="9"/>
        <v>63.719342604298348</v>
      </c>
      <c r="H12" s="10">
        <f t="shared" si="9"/>
        <v>43.673324905183307</v>
      </c>
      <c r="I12" s="10">
        <f t="shared" si="9"/>
        <v>17.536738305941846</v>
      </c>
      <c r="J12" s="10">
        <f>(J11*J3)+(J8*J5)+(J16*J4)</f>
        <v>47.15231352718078</v>
      </c>
      <c r="K12" s="10">
        <f t="shared" si="9"/>
        <v>46.220379266750946</v>
      </c>
      <c r="L12" s="10">
        <f t="shared" si="9"/>
        <v>28.983767383059416</v>
      </c>
      <c r="M12" s="10">
        <f>(M11*M3)+(M8*M5)+(M16*M4)</f>
        <v>44.605259165613148</v>
      </c>
    </row>
    <row r="13" spans="1:13" x14ac:dyDescent="0.25">
      <c r="A13" s="3" t="s">
        <v>49</v>
      </c>
      <c r="B13" s="10">
        <f>100-B11</f>
        <v>18.584070796460168</v>
      </c>
      <c r="C13" s="10">
        <f t="shared" ref="C13:L13" si="10">100-C11</f>
        <v>53.982300884955755</v>
      </c>
      <c r="D13" s="10">
        <f>100-D11</f>
        <v>14.159292035398224</v>
      </c>
      <c r="E13" s="10">
        <f t="shared" si="10"/>
        <v>63.716814159292035</v>
      </c>
      <c r="F13" s="10">
        <f t="shared" si="10"/>
        <v>4.424778761061944</v>
      </c>
      <c r="G13" s="10">
        <f t="shared" si="10"/>
        <v>8.8495575221239022</v>
      </c>
      <c r="H13" s="10">
        <f t="shared" si="10"/>
        <v>28.318584070796462</v>
      </c>
      <c r="I13" s="10">
        <f t="shared" si="10"/>
        <v>59.292035398230084</v>
      </c>
      <c r="J13" s="10">
        <f>100-J11</f>
        <v>26.548672566371678</v>
      </c>
      <c r="K13" s="10">
        <f t="shared" si="10"/>
        <v>25.663716814159287</v>
      </c>
      <c r="L13" s="10">
        <f t="shared" si="10"/>
        <v>41.592920353982301</v>
      </c>
      <c r="M13" s="10">
        <f t="shared" ref="M13" si="11">100-M11</f>
        <v>29.203539823008853</v>
      </c>
    </row>
    <row r="14" spans="1:13" x14ac:dyDescent="0.25">
      <c r="A14" s="3" t="s">
        <v>19</v>
      </c>
      <c r="B14" s="10">
        <v>10</v>
      </c>
      <c r="C14" s="10">
        <v>10</v>
      </c>
      <c r="D14" s="10">
        <v>10</v>
      </c>
      <c r="E14" s="10">
        <v>10</v>
      </c>
      <c r="F14" s="10">
        <v>10</v>
      </c>
      <c r="G14" s="10">
        <v>10</v>
      </c>
      <c r="H14" s="10">
        <v>10</v>
      </c>
      <c r="I14" s="10">
        <v>10</v>
      </c>
      <c r="J14" s="10">
        <v>10</v>
      </c>
      <c r="K14" s="10">
        <v>10</v>
      </c>
      <c r="L14" s="10">
        <v>10</v>
      </c>
      <c r="M14" s="10">
        <v>10</v>
      </c>
    </row>
    <row r="15" spans="1:13" x14ac:dyDescent="0.25">
      <c r="A15" s="3" t="s">
        <v>45</v>
      </c>
      <c r="B15" s="9">
        <v>9</v>
      </c>
      <c r="C15" s="9">
        <v>7</v>
      </c>
      <c r="D15" s="9">
        <v>7</v>
      </c>
      <c r="E15" s="9">
        <v>7</v>
      </c>
      <c r="F15" s="9">
        <v>10</v>
      </c>
      <c r="G15" s="9">
        <v>9</v>
      </c>
      <c r="H15" s="10">
        <v>6</v>
      </c>
      <c r="I15" s="10">
        <v>5</v>
      </c>
      <c r="J15" s="9">
        <v>9</v>
      </c>
      <c r="K15" s="10">
        <v>7</v>
      </c>
      <c r="L15" s="10">
        <v>7</v>
      </c>
      <c r="M15" s="10">
        <v>8</v>
      </c>
    </row>
    <row r="16" spans="1:13" s="2" customFormat="1" x14ac:dyDescent="0.25">
      <c r="A16" s="5" t="s">
        <v>8</v>
      </c>
      <c r="B16" s="10">
        <f>B15/B14*100</f>
        <v>90</v>
      </c>
      <c r="C16" s="10">
        <f t="shared" ref="C16:L16" si="12">C15/C14*100</f>
        <v>70</v>
      </c>
      <c r="D16" s="10">
        <f t="shared" si="12"/>
        <v>70</v>
      </c>
      <c r="E16" s="10">
        <f t="shared" si="12"/>
        <v>70</v>
      </c>
      <c r="F16" s="10">
        <f t="shared" si="12"/>
        <v>100</v>
      </c>
      <c r="G16" s="10">
        <f t="shared" si="12"/>
        <v>90</v>
      </c>
      <c r="H16" s="10">
        <f t="shared" si="12"/>
        <v>60</v>
      </c>
      <c r="I16" s="10">
        <f t="shared" si="12"/>
        <v>50</v>
      </c>
      <c r="J16" s="10">
        <f t="shared" ref="J16" si="13">J15/J14*100</f>
        <v>90</v>
      </c>
      <c r="K16" s="10">
        <f t="shared" si="12"/>
        <v>70</v>
      </c>
      <c r="L16" s="10">
        <f t="shared" si="12"/>
        <v>70</v>
      </c>
      <c r="M16" s="10">
        <f t="shared" ref="M16" si="14">M15/M14*100</f>
        <v>80</v>
      </c>
    </row>
    <row r="17" spans="1:13" s="2" customFormat="1" x14ac:dyDescent="0.25">
      <c r="A17" s="5" t="s">
        <v>9</v>
      </c>
      <c r="B17" s="10">
        <f>100-B16</f>
        <v>10</v>
      </c>
      <c r="C17" s="10">
        <f t="shared" ref="C17:E17" si="15">100-C16</f>
        <v>30</v>
      </c>
      <c r="D17" s="10">
        <f t="shared" si="15"/>
        <v>30</v>
      </c>
      <c r="E17" s="10">
        <f t="shared" si="15"/>
        <v>30</v>
      </c>
      <c r="F17" s="10">
        <f t="shared" ref="F17:I17" si="16">100-F16</f>
        <v>0</v>
      </c>
      <c r="G17" s="10">
        <f>100-G16</f>
        <v>10</v>
      </c>
      <c r="H17" s="10">
        <f t="shared" si="16"/>
        <v>40</v>
      </c>
      <c r="I17" s="10">
        <f t="shared" si="16"/>
        <v>50</v>
      </c>
      <c r="J17" s="10">
        <f t="shared" ref="J17" si="17">100-J16</f>
        <v>10</v>
      </c>
      <c r="K17" s="10">
        <f>100-K16</f>
        <v>30</v>
      </c>
      <c r="L17" s="10">
        <f>100-L16</f>
        <v>30</v>
      </c>
      <c r="M17" s="10">
        <f>100-M16</f>
        <v>20</v>
      </c>
    </row>
    <row r="18" spans="1:13" x14ac:dyDescent="0.25">
      <c r="A18" s="3" t="s">
        <v>50</v>
      </c>
      <c r="B18" s="10">
        <f t="shared" ref="B18:L18" si="18">B3*100</f>
        <v>28.999999999999996</v>
      </c>
      <c r="C18" s="10">
        <f t="shared" si="18"/>
        <v>28.999999999999996</v>
      </c>
      <c r="D18" s="10">
        <f t="shared" si="18"/>
        <v>28.999999999999996</v>
      </c>
      <c r="E18" s="10">
        <f t="shared" si="18"/>
        <v>28.999999999999996</v>
      </c>
      <c r="F18" s="10">
        <f t="shared" si="18"/>
        <v>28.999999999999996</v>
      </c>
      <c r="G18" s="10">
        <f t="shared" si="18"/>
        <v>28.999999999999996</v>
      </c>
      <c r="H18" s="10">
        <f t="shared" si="18"/>
        <v>28.999999999999996</v>
      </c>
      <c r="I18" s="10">
        <f t="shared" si="18"/>
        <v>28.999999999999996</v>
      </c>
      <c r="J18" s="10">
        <f t="shared" ref="J18" si="19">J3*100</f>
        <v>28.999999999999996</v>
      </c>
      <c r="K18" s="10">
        <f t="shared" si="18"/>
        <v>28.999999999999996</v>
      </c>
      <c r="L18" s="10">
        <f t="shared" si="18"/>
        <v>28.999999999999996</v>
      </c>
      <c r="M18" s="10">
        <f t="shared" ref="M18" si="20">M3*100</f>
        <v>28.999999999999996</v>
      </c>
    </row>
    <row r="19" spans="1:13" x14ac:dyDescent="0.25">
      <c r="A19" s="3" t="s">
        <v>51</v>
      </c>
      <c r="B19" s="10">
        <f t="shared" ref="B19:D19" si="21">B13/100*B18</f>
        <v>5.3893805309734475</v>
      </c>
      <c r="C19" s="10">
        <f t="shared" si="21"/>
        <v>15.654867256637168</v>
      </c>
      <c r="D19" s="10">
        <f t="shared" si="21"/>
        <v>4.1061946902654842</v>
      </c>
      <c r="E19" s="10">
        <f>E13/100*E18</f>
        <v>18.477876106194689</v>
      </c>
      <c r="F19" s="10">
        <f t="shared" ref="F19:L19" si="22">F13/100*F18</f>
        <v>1.2831858407079637</v>
      </c>
      <c r="G19" s="10">
        <f>G13/100*G18</f>
        <v>2.5663716814159314</v>
      </c>
      <c r="H19" s="10">
        <f t="shared" si="22"/>
        <v>8.212389380530972</v>
      </c>
      <c r="I19" s="10">
        <f t="shared" si="22"/>
        <v>17.19469026548672</v>
      </c>
      <c r="J19" s="10">
        <f>J13/100*J18</f>
        <v>7.6991150442477858</v>
      </c>
      <c r="K19" s="10">
        <f t="shared" si="22"/>
        <v>7.4424778761061923</v>
      </c>
      <c r="L19" s="10">
        <f t="shared" si="22"/>
        <v>12.061946902654865</v>
      </c>
      <c r="M19" s="10">
        <f t="shared" ref="M19" si="23">M13/100*M18</f>
        <v>8.4690265486725664</v>
      </c>
    </row>
    <row r="20" spans="1:13" x14ac:dyDescent="0.25">
      <c r="A20" s="3" t="s">
        <v>6</v>
      </c>
      <c r="B20" s="10">
        <f>B4*100</f>
        <v>2</v>
      </c>
      <c r="C20" s="10">
        <f t="shared" ref="C20:I20" si="24">C4*100</f>
        <v>2</v>
      </c>
      <c r="D20" s="10">
        <f t="shared" si="24"/>
        <v>2</v>
      </c>
      <c r="E20" s="10">
        <f t="shared" si="24"/>
        <v>2</v>
      </c>
      <c r="F20" s="10">
        <f t="shared" si="24"/>
        <v>2</v>
      </c>
      <c r="G20" s="10">
        <f t="shared" si="24"/>
        <v>2</v>
      </c>
      <c r="H20" s="10">
        <f t="shared" si="24"/>
        <v>2</v>
      </c>
      <c r="I20" s="10">
        <f t="shared" si="24"/>
        <v>2</v>
      </c>
      <c r="J20" s="10">
        <f t="shared" ref="J20" si="25">J4*100</f>
        <v>2</v>
      </c>
      <c r="K20" s="10">
        <f t="shared" ref="K20:M20" si="26">K4*100</f>
        <v>2</v>
      </c>
      <c r="L20" s="10">
        <f t="shared" si="26"/>
        <v>2</v>
      </c>
      <c r="M20" s="10">
        <f t="shared" si="26"/>
        <v>2</v>
      </c>
    </row>
    <row r="21" spans="1:13" x14ac:dyDescent="0.25">
      <c r="A21" s="3" t="s">
        <v>7</v>
      </c>
      <c r="B21" s="10">
        <f>B17/100*B20</f>
        <v>0.2</v>
      </c>
      <c r="C21" s="10">
        <f t="shared" ref="C21" si="27">C17/100*C20</f>
        <v>0.6</v>
      </c>
      <c r="D21" s="10">
        <f>D17/100*D20</f>
        <v>0.6</v>
      </c>
      <c r="E21" s="10">
        <f>E17/100*E20</f>
        <v>0.6</v>
      </c>
      <c r="F21" s="10">
        <f t="shared" ref="F21:I21" si="28">F17/100*F20</f>
        <v>0</v>
      </c>
      <c r="G21" s="10">
        <f>G17/100*G20</f>
        <v>0.2</v>
      </c>
      <c r="H21" s="10">
        <f t="shared" si="28"/>
        <v>0.8</v>
      </c>
      <c r="I21" s="10">
        <f t="shared" si="28"/>
        <v>1</v>
      </c>
      <c r="J21" s="10">
        <f>J17/100*J20</f>
        <v>0.2</v>
      </c>
      <c r="K21" s="10">
        <f t="shared" ref="K21:M21" si="29">K17/100*K20</f>
        <v>0.6</v>
      </c>
      <c r="L21" s="10">
        <f t="shared" si="29"/>
        <v>0.6</v>
      </c>
      <c r="M21" s="10">
        <f t="shared" si="29"/>
        <v>0.4</v>
      </c>
    </row>
    <row r="22" spans="1:13" x14ac:dyDescent="0.25">
      <c r="A22" s="3" t="s">
        <v>46</v>
      </c>
      <c r="B22" s="10">
        <f>100-B12</f>
        <v>38.315094816687747</v>
      </c>
      <c r="C22" s="10">
        <f>100-C12</f>
        <v>79.734867256637173</v>
      </c>
      <c r="D22" s="10">
        <f>100-D12</f>
        <v>39.009051833122633</v>
      </c>
    </row>
    <row r="23" spans="1:13" x14ac:dyDescent="0.25">
      <c r="B23" s="10">
        <f>B12-C12</f>
        <v>41.419772439949426</v>
      </c>
      <c r="C23" s="10"/>
      <c r="D23" s="10">
        <f>D12-E12</f>
        <v>41.971681415929204</v>
      </c>
    </row>
    <row r="25" spans="1:13" s="2" customFormat="1" x14ac:dyDescent="0.25">
      <c r="A25" s="5" t="s">
        <v>10</v>
      </c>
      <c r="B25" s="10">
        <f>B12</f>
        <v>61.684905183312253</v>
      </c>
      <c r="C25" s="10">
        <f t="shared" ref="C25:I25" si="30">C12</f>
        <v>20.265132743362827</v>
      </c>
      <c r="D25" s="10">
        <f t="shared" si="30"/>
        <v>60.990948166877367</v>
      </c>
      <c r="E25" s="10">
        <f t="shared" si="30"/>
        <v>19.019266750948162</v>
      </c>
      <c r="F25" s="10">
        <f t="shared" si="30"/>
        <v>79.00252844500632</v>
      </c>
      <c r="G25" s="10">
        <f t="shared" si="30"/>
        <v>63.719342604298348</v>
      </c>
      <c r="H25" s="10">
        <f t="shared" si="30"/>
        <v>43.673324905183307</v>
      </c>
      <c r="I25" s="10">
        <f t="shared" si="30"/>
        <v>17.536738305941846</v>
      </c>
      <c r="J25" s="10">
        <f t="shared" ref="J25" si="31">J12</f>
        <v>47.15231352718078</v>
      </c>
      <c r="K25" s="10">
        <f t="shared" ref="K25:M25" si="32">K12</f>
        <v>46.220379266750946</v>
      </c>
      <c r="L25" s="10">
        <f t="shared" si="32"/>
        <v>28.983767383059416</v>
      </c>
      <c r="M25" s="10">
        <f t="shared" si="32"/>
        <v>44.605259165613148</v>
      </c>
    </row>
    <row r="26" spans="1:13" x14ac:dyDescent="0.25">
      <c r="A26" s="3" t="s">
        <v>34</v>
      </c>
      <c r="B26" s="10">
        <f>(B6-B7)/B6*100</f>
        <v>47.428571428571431</v>
      </c>
      <c r="C26" s="10">
        <f t="shared" ref="B26:M26" si="33">(C6-C7)/C6*100</f>
        <v>92</v>
      </c>
      <c r="D26" s="10">
        <f t="shared" si="33"/>
        <v>49.714285714285715</v>
      </c>
      <c r="E26" s="10">
        <f t="shared" si="33"/>
        <v>89.714285714285708</v>
      </c>
      <c r="F26" s="10">
        <f t="shared" si="33"/>
        <v>28.571428571428569</v>
      </c>
      <c r="G26" s="10">
        <f t="shared" si="33"/>
        <v>48.571428571428569</v>
      </c>
      <c r="H26" s="10">
        <f t="shared" si="33"/>
        <v>68.571428571428569</v>
      </c>
      <c r="I26" s="10">
        <f t="shared" si="33"/>
        <v>93.142857142857139</v>
      </c>
      <c r="J26" s="10">
        <f t="shared" si="33"/>
        <v>65.142857142857153</v>
      </c>
      <c r="K26" s="10">
        <f t="shared" si="33"/>
        <v>66.285714285714278</v>
      </c>
      <c r="L26" s="10">
        <f t="shared" si="33"/>
        <v>84.571428571428569</v>
      </c>
      <c r="M26" s="10">
        <f t="shared" si="33"/>
        <v>67.428571428571431</v>
      </c>
    </row>
    <row r="27" spans="1:13" x14ac:dyDescent="0.25">
      <c r="A27" s="3" t="s">
        <v>35</v>
      </c>
      <c r="B27" s="10">
        <f>(B10+B15)/(B9+B14)*100</f>
        <v>82.113821138211378</v>
      </c>
      <c r="C27" s="10">
        <f t="shared" ref="B27:M27" si="34">(C10+C15)/(C9+C14)*100</f>
        <v>47.967479674796749</v>
      </c>
      <c r="D27" s="10">
        <f t="shared" si="34"/>
        <v>84.552845528455293</v>
      </c>
      <c r="E27" s="10">
        <f t="shared" si="34"/>
        <v>39.024390243902438</v>
      </c>
      <c r="F27" s="10">
        <f t="shared" si="34"/>
        <v>95.934959349593498</v>
      </c>
      <c r="G27" s="10">
        <f t="shared" si="34"/>
        <v>91.056910569105682</v>
      </c>
      <c r="H27" s="10">
        <f t="shared" si="34"/>
        <v>70.731707317073173</v>
      </c>
      <c r="I27" s="10">
        <f t="shared" si="34"/>
        <v>41.463414634146339</v>
      </c>
      <c r="J27" s="10">
        <f t="shared" si="34"/>
        <v>74.796747967479675</v>
      </c>
      <c r="K27" s="10">
        <f t="shared" si="34"/>
        <v>73.983739837398375</v>
      </c>
      <c r="L27" s="10">
        <f t="shared" si="34"/>
        <v>59.349593495934961</v>
      </c>
      <c r="M27" s="10">
        <f t="shared" si="34"/>
        <v>71.544715447154474</v>
      </c>
    </row>
    <row r="28" spans="1:13" x14ac:dyDescent="0.25">
      <c r="A28" s="3" t="s">
        <v>36</v>
      </c>
      <c r="B28" s="10">
        <f>((B3*B11)+(B4*B16))/(B25)*(100)</f>
        <v>41.194226356533228</v>
      </c>
      <c r="C28" s="10">
        <f t="shared" ref="B28:M28" si="35">((C3*C11)+(C4*C16))/(C25)*(100)</f>
        <v>72.761096263690206</v>
      </c>
      <c r="D28" s="10">
        <f t="shared" si="35"/>
        <v>43.110996139610776</v>
      </c>
      <c r="E28" s="10">
        <f t="shared" si="35"/>
        <v>62.684455977836052</v>
      </c>
      <c r="F28" s="10">
        <f t="shared" si="35"/>
        <v>37.615016562384987</v>
      </c>
      <c r="G28" s="10">
        <f t="shared" si="35"/>
        <v>44.309352803460179</v>
      </c>
      <c r="H28" s="10">
        <f t="shared" si="35"/>
        <v>50.34563012366263</v>
      </c>
      <c r="I28" s="10">
        <f t="shared" si="35"/>
        <v>73.019905475663876</v>
      </c>
      <c r="J28" s="10">
        <f t="shared" si="35"/>
        <v>48.992049865031099</v>
      </c>
      <c r="K28" s="10">
        <f t="shared" si="35"/>
        <v>49.669696545325635</v>
      </c>
      <c r="L28" s="10">
        <f t="shared" si="35"/>
        <v>63.270080990449337</v>
      </c>
      <c r="M28" s="10">
        <f t="shared" si="35"/>
        <v>49.615166160470437</v>
      </c>
    </row>
    <row r="29" spans="1:13" x14ac:dyDescent="0.25">
      <c r="A29" s="3" t="s">
        <v>37</v>
      </c>
      <c r="B29" s="10">
        <f>(B5*(100-B8))/(100-B25)*100</f>
        <v>85.412066555714048</v>
      </c>
      <c r="C29" s="10">
        <f t="shared" ref="B29:M29" si="36">(C5*(100-C8))/(100-C25)*100</f>
        <v>79.61385299066373</v>
      </c>
      <c r="D29" s="10">
        <f t="shared" si="36"/>
        <v>87.935634246127819</v>
      </c>
      <c r="E29" s="10">
        <f t="shared" si="36"/>
        <v>76.441462875469739</v>
      </c>
      <c r="F29" s="10">
        <f t="shared" si="36"/>
        <v>93.888855439821768</v>
      </c>
      <c r="G29" s="10">
        <f t="shared" si="36"/>
        <v>92.37507840267611</v>
      </c>
      <c r="H29" s="10">
        <f t="shared" si="36"/>
        <v>83.999784533065181</v>
      </c>
      <c r="I29" s="10">
        <f t="shared" si="36"/>
        <v>77.93600460167373</v>
      </c>
      <c r="J29" s="10">
        <f t="shared" si="36"/>
        <v>85.053054217783981</v>
      </c>
      <c r="K29" s="10">
        <f t="shared" si="36"/>
        <v>85.045491644506939</v>
      </c>
      <c r="L29" s="10">
        <f t="shared" si="36"/>
        <v>82.170348332960671</v>
      </c>
      <c r="M29" s="10">
        <f t="shared" si="36"/>
        <v>83.989406909243911</v>
      </c>
    </row>
    <row r="30" spans="1:13" x14ac:dyDescent="0.25">
      <c r="A30" s="3" t="s">
        <v>38</v>
      </c>
      <c r="B30" s="10">
        <f>100-B26</f>
        <v>52.571428571428569</v>
      </c>
      <c r="C30" s="10">
        <f t="shared" ref="C30:M30" si="37">100-C26</f>
        <v>8</v>
      </c>
      <c r="D30" s="10">
        <f t="shared" si="37"/>
        <v>50.285714285714285</v>
      </c>
      <c r="E30" s="10">
        <f t="shared" si="37"/>
        <v>10.285714285714292</v>
      </c>
      <c r="F30" s="10">
        <f t="shared" si="37"/>
        <v>71.428571428571431</v>
      </c>
      <c r="G30" s="10">
        <f t="shared" si="37"/>
        <v>51.428571428571431</v>
      </c>
      <c r="H30" s="10">
        <f t="shared" si="37"/>
        <v>31.428571428571431</v>
      </c>
      <c r="I30" s="10">
        <f t="shared" si="37"/>
        <v>6.8571428571428612</v>
      </c>
      <c r="J30" s="10">
        <f t="shared" si="37"/>
        <v>34.857142857142847</v>
      </c>
      <c r="K30" s="10">
        <f t="shared" si="37"/>
        <v>33.714285714285722</v>
      </c>
      <c r="L30" s="10">
        <f t="shared" si="37"/>
        <v>15.428571428571431</v>
      </c>
      <c r="M30" s="10">
        <f t="shared" si="37"/>
        <v>32.571428571428569</v>
      </c>
    </row>
    <row r="31" spans="1:13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</sheetData>
  <mergeCells count="4">
    <mergeCell ref="B1:E1"/>
    <mergeCell ref="F1:G1"/>
    <mergeCell ref="H1:I1"/>
    <mergeCell ref="J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657F-27E8-4798-8358-DB8F0A32A1BB}">
  <dimension ref="A1:N44"/>
  <sheetViews>
    <sheetView zoomScale="50" zoomScaleNormal="50" workbookViewId="0">
      <selection activeCell="B1" sqref="B1:E1"/>
    </sheetView>
  </sheetViews>
  <sheetFormatPr defaultRowHeight="15" x14ac:dyDescent="0.25"/>
  <cols>
    <col min="1" max="13" width="35.42578125" customWidth="1"/>
  </cols>
  <sheetData>
    <row r="1" spans="1:13" x14ac:dyDescent="0.25">
      <c r="B1" s="35" t="s">
        <v>22</v>
      </c>
      <c r="C1" s="35"/>
      <c r="D1" s="35"/>
      <c r="E1" s="35"/>
      <c r="F1" s="35" t="s">
        <v>23</v>
      </c>
      <c r="G1" s="35"/>
      <c r="H1" s="35" t="s">
        <v>24</v>
      </c>
      <c r="I1" s="35"/>
      <c r="J1" s="35" t="s">
        <v>21</v>
      </c>
      <c r="K1" s="35"/>
      <c r="L1" s="35"/>
      <c r="M1" s="35"/>
    </row>
    <row r="2" spans="1:13" x14ac:dyDescent="0.25"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13</v>
      </c>
      <c r="H2" t="s">
        <v>12</v>
      </c>
      <c r="I2" t="s">
        <v>14</v>
      </c>
      <c r="J2" t="s">
        <v>28</v>
      </c>
      <c r="K2" t="s">
        <v>25</v>
      </c>
      <c r="L2" t="s">
        <v>26</v>
      </c>
      <c r="M2" t="s">
        <v>27</v>
      </c>
    </row>
    <row r="3" spans="1:13" x14ac:dyDescent="0.25">
      <c r="A3" t="s">
        <v>48</v>
      </c>
      <c r="B3">
        <v>0.24399999999999999</v>
      </c>
      <c r="C3">
        <v>0.24399999999999999</v>
      </c>
      <c r="D3">
        <v>0.24399999999999999</v>
      </c>
      <c r="E3">
        <v>0.24399999999999999</v>
      </c>
      <c r="F3">
        <v>0.24399999999999999</v>
      </c>
      <c r="G3">
        <v>0.24399999999999999</v>
      </c>
      <c r="H3">
        <v>0.24399999999999999</v>
      </c>
      <c r="I3">
        <v>0.24399999999999999</v>
      </c>
      <c r="J3">
        <v>0.24399999999999999</v>
      </c>
      <c r="K3">
        <v>0.24399999999999999</v>
      </c>
      <c r="L3">
        <v>0.24399999999999999</v>
      </c>
      <c r="M3">
        <v>0.24399999999999999</v>
      </c>
    </row>
    <row r="4" spans="1:13" x14ac:dyDescent="0.25">
      <c r="A4" t="s">
        <v>5</v>
      </c>
      <c r="B4">
        <v>2.1999999999999999E-2</v>
      </c>
      <c r="C4">
        <v>2.1999999999999999E-2</v>
      </c>
      <c r="D4">
        <v>2.1999999999999999E-2</v>
      </c>
      <c r="E4">
        <v>2.1999999999999999E-2</v>
      </c>
      <c r="F4">
        <v>2.1999999999999999E-2</v>
      </c>
      <c r="G4">
        <v>2.1999999999999999E-2</v>
      </c>
      <c r="H4">
        <v>2.1999999999999999E-2</v>
      </c>
      <c r="I4">
        <v>2.1999999999999999E-2</v>
      </c>
      <c r="J4">
        <v>2.1999999999999999E-2</v>
      </c>
      <c r="K4">
        <v>2.1999999999999999E-2</v>
      </c>
      <c r="L4">
        <v>2.1999999999999999E-2</v>
      </c>
      <c r="M4">
        <v>2.1999999999999999E-2</v>
      </c>
    </row>
    <row r="5" spans="1:13" x14ac:dyDescent="0.25">
      <c r="A5" t="s">
        <v>11</v>
      </c>
      <c r="B5">
        <v>0.73399999999999999</v>
      </c>
      <c r="C5">
        <v>0.73399999999999999</v>
      </c>
      <c r="D5">
        <v>0.73399999999999999</v>
      </c>
      <c r="E5">
        <v>0.73399999999999999</v>
      </c>
      <c r="F5">
        <v>0.73399999999999999</v>
      </c>
      <c r="G5">
        <v>0.73399999999999999</v>
      </c>
      <c r="H5">
        <v>0.73399999999999999</v>
      </c>
      <c r="I5">
        <v>0.73399999999999999</v>
      </c>
      <c r="J5">
        <v>0.73399999999999999</v>
      </c>
      <c r="K5">
        <v>0.73399999999999999</v>
      </c>
      <c r="L5">
        <v>0.73399999999999999</v>
      </c>
      <c r="M5">
        <v>0.73399999999999999</v>
      </c>
    </row>
    <row r="6" spans="1:13" x14ac:dyDescent="0.25">
      <c r="A6" t="s">
        <v>15</v>
      </c>
      <c r="B6">
        <v>94</v>
      </c>
      <c r="C6">
        <v>94</v>
      </c>
      <c r="D6">
        <v>94</v>
      </c>
      <c r="E6">
        <v>94</v>
      </c>
      <c r="F6">
        <v>94</v>
      </c>
      <c r="G6">
        <v>94</v>
      </c>
      <c r="H6">
        <v>94</v>
      </c>
      <c r="I6">
        <v>94</v>
      </c>
      <c r="J6">
        <v>94</v>
      </c>
      <c r="K6">
        <v>94</v>
      </c>
      <c r="L6">
        <v>94</v>
      </c>
      <c r="M6">
        <v>94</v>
      </c>
    </row>
    <row r="7" spans="1:13" x14ac:dyDescent="0.25">
      <c r="A7" t="s">
        <v>43</v>
      </c>
      <c r="B7">
        <v>47</v>
      </c>
      <c r="C7">
        <v>7</v>
      </c>
      <c r="D7">
        <v>50</v>
      </c>
      <c r="E7">
        <v>12</v>
      </c>
      <c r="F7">
        <f>F6-27</f>
        <v>67</v>
      </c>
      <c r="G7">
        <f>G6-43</f>
        <v>51</v>
      </c>
      <c r="H7">
        <v>30</v>
      </c>
      <c r="I7">
        <v>6</v>
      </c>
      <c r="J7">
        <f>7+10+17</f>
        <v>34</v>
      </c>
      <c r="K7">
        <f>12+21</f>
        <v>33</v>
      </c>
      <c r="L7">
        <f>12+4</f>
        <v>16</v>
      </c>
      <c r="M7">
        <f>7+24</f>
        <v>31</v>
      </c>
    </row>
    <row r="8" spans="1:13" x14ac:dyDescent="0.25">
      <c r="A8" t="s">
        <v>16</v>
      </c>
      <c r="B8" s="14">
        <f>B7/B6*100</f>
        <v>50</v>
      </c>
      <c r="C8" s="14">
        <f>C7/C6*100</f>
        <v>7.4468085106382977</v>
      </c>
      <c r="D8" s="14">
        <f t="shared" ref="D8:M8" si="0">D7/D6*100</f>
        <v>53.191489361702125</v>
      </c>
      <c r="E8" s="14">
        <f t="shared" si="0"/>
        <v>12.76595744680851</v>
      </c>
      <c r="F8" s="14">
        <f t="shared" si="0"/>
        <v>71.276595744680847</v>
      </c>
      <c r="G8" s="14">
        <f t="shared" si="0"/>
        <v>54.255319148936167</v>
      </c>
      <c r="H8" s="14">
        <f t="shared" si="0"/>
        <v>31.914893617021278</v>
      </c>
      <c r="I8" s="14">
        <f t="shared" si="0"/>
        <v>6.3829787234042552</v>
      </c>
      <c r="J8" s="14">
        <f t="shared" si="0"/>
        <v>36.170212765957451</v>
      </c>
      <c r="K8" s="14">
        <f t="shared" si="0"/>
        <v>35.106382978723403</v>
      </c>
      <c r="L8" s="14">
        <f t="shared" si="0"/>
        <v>17.021276595744681</v>
      </c>
      <c r="M8" s="14">
        <f t="shared" si="0"/>
        <v>32.978723404255319</v>
      </c>
    </row>
    <row r="9" spans="1:13" x14ac:dyDescent="0.25">
      <c r="A9" t="s">
        <v>17</v>
      </c>
      <c r="B9">
        <v>56</v>
      </c>
      <c r="C9">
        <v>56</v>
      </c>
      <c r="D9">
        <v>56</v>
      </c>
      <c r="E9">
        <v>56</v>
      </c>
      <c r="F9">
        <v>56</v>
      </c>
      <c r="G9">
        <v>56</v>
      </c>
      <c r="H9">
        <v>56</v>
      </c>
      <c r="I9">
        <v>56</v>
      </c>
      <c r="J9">
        <v>56</v>
      </c>
      <c r="K9">
        <v>56</v>
      </c>
      <c r="L9">
        <v>56</v>
      </c>
      <c r="M9">
        <v>56</v>
      </c>
    </row>
    <row r="10" spans="1:13" x14ac:dyDescent="0.25">
      <c r="A10" t="s">
        <v>44</v>
      </c>
      <c r="B10">
        <v>40</v>
      </c>
      <c r="C10">
        <v>20</v>
      </c>
      <c r="D10">
        <v>49</v>
      </c>
      <c r="E10">
        <v>19</v>
      </c>
      <c r="F10">
        <f>F9-3</f>
        <v>53</v>
      </c>
      <c r="G10">
        <f>G9-5</f>
        <v>51</v>
      </c>
      <c r="H10">
        <v>36</v>
      </c>
      <c r="I10">
        <v>18</v>
      </c>
      <c r="J10">
        <f>20+12+8</f>
        <v>40</v>
      </c>
      <c r="K10">
        <f>19+19</f>
        <v>38</v>
      </c>
      <c r="L10">
        <f>19+11</f>
        <v>30</v>
      </c>
      <c r="M10">
        <f>20+18</f>
        <v>38</v>
      </c>
    </row>
    <row r="11" spans="1:13" x14ac:dyDescent="0.25">
      <c r="A11" t="s">
        <v>18</v>
      </c>
      <c r="B11" s="14">
        <f>B10/B9*100</f>
        <v>71.428571428571431</v>
      </c>
      <c r="C11" s="14">
        <f>C10/C9*100</f>
        <v>35.714285714285715</v>
      </c>
      <c r="D11" s="14">
        <f>D10/D9*100</f>
        <v>87.5</v>
      </c>
      <c r="E11" s="14">
        <f t="shared" ref="E11:M11" si="1">E10/E9*100</f>
        <v>33.928571428571431</v>
      </c>
      <c r="F11" s="14">
        <f t="shared" si="1"/>
        <v>94.642857142857139</v>
      </c>
      <c r="G11" s="14">
        <f t="shared" si="1"/>
        <v>91.071428571428569</v>
      </c>
      <c r="H11" s="14">
        <f t="shared" si="1"/>
        <v>64.285714285714292</v>
      </c>
      <c r="I11" s="14">
        <f t="shared" si="1"/>
        <v>32.142857142857146</v>
      </c>
      <c r="J11" s="14">
        <f>J10/J9*100</f>
        <v>71.428571428571431</v>
      </c>
      <c r="K11" s="14">
        <f t="shared" si="1"/>
        <v>67.857142857142861</v>
      </c>
      <c r="L11" s="14">
        <f t="shared" si="1"/>
        <v>53.571428571428569</v>
      </c>
      <c r="M11" s="14">
        <f t="shared" si="1"/>
        <v>67.857142857142861</v>
      </c>
    </row>
    <row r="12" spans="1:13" s="1" customFormat="1" x14ac:dyDescent="0.25">
      <c r="A12" s="1" t="s">
        <v>0</v>
      </c>
      <c r="B12" s="10">
        <f>(B11*B3)+(B8*B5)+(B16*B4)</f>
        <v>56.10857142857143</v>
      </c>
      <c r="C12" s="10">
        <f>(C11*C3)+(C8*C5)+(C16*C4)</f>
        <v>15.720243161094224</v>
      </c>
      <c r="D12" s="10">
        <f t="shared" ref="D12:M12" si="2">(D11*D3)+(D8*D5)+(D16*D4)</f>
        <v>61.932553191489355</v>
      </c>
      <c r="E12" s="10">
        <f t="shared" si="2"/>
        <v>19.188784194528875</v>
      </c>
      <c r="F12" s="10">
        <f t="shared" si="2"/>
        <v>77.609878419452883</v>
      </c>
      <c r="G12" s="10">
        <f t="shared" si="2"/>
        <v>64.024832826747726</v>
      </c>
      <c r="H12" s="10">
        <f t="shared" si="2"/>
        <v>40.431246200607909</v>
      </c>
      <c r="I12" s="10">
        <f t="shared" si="2"/>
        <v>13.627963525835867</v>
      </c>
      <c r="J12" s="10">
        <f t="shared" si="2"/>
        <v>45.957507598784197</v>
      </c>
      <c r="K12" s="10">
        <f t="shared" si="2"/>
        <v>43.865227963525832</v>
      </c>
      <c r="L12" s="10">
        <f t="shared" si="2"/>
        <v>27.105045592705167</v>
      </c>
      <c r="M12" s="10">
        <f t="shared" si="2"/>
        <v>42.523525835866259</v>
      </c>
    </row>
    <row r="13" spans="1:13" s="1" customFormat="1" x14ac:dyDescent="0.25">
      <c r="A13" s="1" t="s">
        <v>49</v>
      </c>
      <c r="B13" s="2">
        <f>100-B11</f>
        <v>28.571428571428569</v>
      </c>
      <c r="C13" s="2">
        <f>100-C11</f>
        <v>64.285714285714278</v>
      </c>
      <c r="D13" s="2">
        <f>100-D11</f>
        <v>12.5</v>
      </c>
      <c r="E13" s="2">
        <f t="shared" ref="E13:M13" si="3">100-E11</f>
        <v>66.071428571428569</v>
      </c>
      <c r="F13" s="2">
        <f t="shared" si="3"/>
        <v>5.3571428571428612</v>
      </c>
      <c r="G13" s="2">
        <f t="shared" si="3"/>
        <v>8.9285714285714306</v>
      </c>
      <c r="H13" s="2">
        <f t="shared" si="3"/>
        <v>35.714285714285708</v>
      </c>
      <c r="I13" s="2">
        <f t="shared" si="3"/>
        <v>67.857142857142861</v>
      </c>
      <c r="J13" s="2">
        <f>100-J11</f>
        <v>28.571428571428569</v>
      </c>
      <c r="K13" s="2">
        <f t="shared" si="3"/>
        <v>32.142857142857139</v>
      </c>
      <c r="L13" s="2">
        <f t="shared" si="3"/>
        <v>46.428571428571431</v>
      </c>
      <c r="M13" s="2">
        <f t="shared" si="3"/>
        <v>32.142857142857139</v>
      </c>
    </row>
    <row r="14" spans="1:13" s="1" customFormat="1" x14ac:dyDescent="0.25">
      <c r="A14" s="1" t="s">
        <v>19</v>
      </c>
      <c r="B14" s="1">
        <v>10</v>
      </c>
      <c r="C14" s="1">
        <v>10</v>
      </c>
      <c r="D14" s="1">
        <v>10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>
        <v>10</v>
      </c>
      <c r="K14" s="1">
        <v>10</v>
      </c>
      <c r="L14" s="1">
        <v>10</v>
      </c>
      <c r="M14" s="1">
        <v>10</v>
      </c>
    </row>
    <row r="15" spans="1:13" s="1" customFormat="1" x14ac:dyDescent="0.25">
      <c r="A15" s="1" t="s">
        <v>20</v>
      </c>
      <c r="B15" s="1">
        <v>9</v>
      </c>
      <c r="C15" s="1">
        <v>7</v>
      </c>
      <c r="D15" s="1">
        <v>7</v>
      </c>
      <c r="E15" s="1">
        <v>7</v>
      </c>
      <c r="F15" s="1">
        <v>10</v>
      </c>
      <c r="G15" s="1">
        <v>9</v>
      </c>
      <c r="H15" s="1">
        <v>6</v>
      </c>
      <c r="I15" s="1">
        <v>5</v>
      </c>
      <c r="J15" s="1">
        <v>9</v>
      </c>
      <c r="K15" s="1">
        <v>7</v>
      </c>
      <c r="L15" s="1">
        <v>7</v>
      </c>
      <c r="M15" s="1">
        <v>8</v>
      </c>
    </row>
    <row r="16" spans="1:13" s="1" customFormat="1" x14ac:dyDescent="0.25">
      <c r="A16" s="1" t="s">
        <v>8</v>
      </c>
      <c r="B16" s="1">
        <f>B15/B14*100</f>
        <v>90</v>
      </c>
      <c r="C16" s="1">
        <f t="shared" ref="C16:M16" si="4">C15/C14*100</f>
        <v>70</v>
      </c>
      <c r="D16" s="1">
        <f t="shared" si="4"/>
        <v>70</v>
      </c>
      <c r="E16" s="1">
        <f t="shared" si="4"/>
        <v>70</v>
      </c>
      <c r="F16" s="1">
        <f t="shared" si="4"/>
        <v>100</v>
      </c>
      <c r="G16" s="1">
        <f t="shared" si="4"/>
        <v>90</v>
      </c>
      <c r="H16" s="1">
        <f t="shared" si="4"/>
        <v>60</v>
      </c>
      <c r="I16" s="1">
        <f t="shared" si="4"/>
        <v>50</v>
      </c>
      <c r="J16" s="1">
        <f t="shared" si="4"/>
        <v>90</v>
      </c>
      <c r="K16" s="1">
        <f t="shared" si="4"/>
        <v>70</v>
      </c>
      <c r="L16" s="1">
        <f t="shared" si="4"/>
        <v>70</v>
      </c>
      <c r="M16" s="1">
        <f t="shared" si="4"/>
        <v>80</v>
      </c>
    </row>
    <row r="17" spans="1:14" s="1" customFormat="1" x14ac:dyDescent="0.25">
      <c r="A17" s="1" t="s">
        <v>9</v>
      </c>
      <c r="B17" s="1">
        <f t="shared" ref="B17:J17" si="5">100-B16</f>
        <v>10</v>
      </c>
      <c r="C17" s="1">
        <f t="shared" si="5"/>
        <v>30</v>
      </c>
      <c r="D17" s="1">
        <f t="shared" si="5"/>
        <v>30</v>
      </c>
      <c r="E17" s="1">
        <f t="shared" si="5"/>
        <v>30</v>
      </c>
      <c r="F17" s="1">
        <f t="shared" si="5"/>
        <v>0</v>
      </c>
      <c r="G17" s="1">
        <f>100-G16</f>
        <v>10</v>
      </c>
      <c r="H17" s="1">
        <f t="shared" si="5"/>
        <v>40</v>
      </c>
      <c r="I17" s="1">
        <f t="shared" si="5"/>
        <v>50</v>
      </c>
      <c r="J17" s="1">
        <f t="shared" si="5"/>
        <v>10</v>
      </c>
      <c r="K17" s="1">
        <f>100-K16</f>
        <v>30</v>
      </c>
      <c r="L17" s="1">
        <f>100-L16</f>
        <v>30</v>
      </c>
      <c r="M17" s="1">
        <f>100-M16</f>
        <v>20</v>
      </c>
    </row>
    <row r="18" spans="1:14" s="1" customFormat="1" x14ac:dyDescent="0.25">
      <c r="A18" s="1" t="s">
        <v>50</v>
      </c>
      <c r="B18" s="1">
        <f>B3*100</f>
        <v>24.4</v>
      </c>
      <c r="C18" s="1">
        <f t="shared" ref="C18:M18" si="6">C3*100</f>
        <v>24.4</v>
      </c>
      <c r="D18" s="1">
        <f t="shared" si="6"/>
        <v>24.4</v>
      </c>
      <c r="E18" s="1">
        <f t="shared" si="6"/>
        <v>24.4</v>
      </c>
      <c r="F18" s="1">
        <f t="shared" si="6"/>
        <v>24.4</v>
      </c>
      <c r="G18" s="1">
        <f t="shared" si="6"/>
        <v>24.4</v>
      </c>
      <c r="H18" s="1">
        <f t="shared" si="6"/>
        <v>24.4</v>
      </c>
      <c r="I18" s="1">
        <f t="shared" si="6"/>
        <v>24.4</v>
      </c>
      <c r="J18" s="1">
        <f t="shared" si="6"/>
        <v>24.4</v>
      </c>
      <c r="K18" s="1">
        <f t="shared" si="6"/>
        <v>24.4</v>
      </c>
      <c r="L18" s="1">
        <f t="shared" si="6"/>
        <v>24.4</v>
      </c>
      <c r="M18" s="1">
        <f t="shared" si="6"/>
        <v>24.4</v>
      </c>
    </row>
    <row r="19" spans="1:14" s="1" customFormat="1" x14ac:dyDescent="0.25">
      <c r="A19" s="1" t="s">
        <v>51</v>
      </c>
      <c r="B19" s="2">
        <f>B13/100*B18</f>
        <v>6.9714285714285706</v>
      </c>
      <c r="C19" s="2">
        <f>C13/100*C18</f>
        <v>15.685714285714283</v>
      </c>
      <c r="D19" s="2">
        <f t="shared" ref="D19" si="7">D13/100*D18</f>
        <v>3.05</v>
      </c>
      <c r="E19" s="2">
        <f>E13/100*E18</f>
        <v>16.12142857142857</v>
      </c>
      <c r="F19" s="2">
        <f t="shared" ref="F19:M19" si="8">F13/100*F18</f>
        <v>1.3071428571428581</v>
      </c>
      <c r="G19" s="2">
        <f>G13/100*G18</f>
        <v>2.1785714285714288</v>
      </c>
      <c r="H19" s="2">
        <f t="shared" si="8"/>
        <v>8.7142857142857117</v>
      </c>
      <c r="I19" s="2">
        <f t="shared" si="8"/>
        <v>16.557142857142857</v>
      </c>
      <c r="J19" s="2">
        <f>J13/100*J18</f>
        <v>6.9714285714285706</v>
      </c>
      <c r="K19" s="2">
        <f t="shared" si="8"/>
        <v>7.8428571428571416</v>
      </c>
      <c r="L19" s="2">
        <f t="shared" si="8"/>
        <v>11.328571428571429</v>
      </c>
      <c r="M19" s="2">
        <f t="shared" si="8"/>
        <v>7.8428571428571416</v>
      </c>
      <c r="N19" s="2"/>
    </row>
    <row r="20" spans="1:14" s="1" customFormat="1" x14ac:dyDescent="0.25">
      <c r="A20" s="1" t="s">
        <v>6</v>
      </c>
      <c r="B20" s="2">
        <f>B4*100</f>
        <v>2.1999999999999997</v>
      </c>
      <c r="C20" s="2">
        <f t="shared" ref="C20:M20" si="9">C4*100</f>
        <v>2.1999999999999997</v>
      </c>
      <c r="D20" s="2">
        <f t="shared" si="9"/>
        <v>2.1999999999999997</v>
      </c>
      <c r="E20" s="2">
        <f t="shared" si="9"/>
        <v>2.1999999999999997</v>
      </c>
      <c r="F20" s="2">
        <f t="shared" si="9"/>
        <v>2.1999999999999997</v>
      </c>
      <c r="G20" s="2">
        <f t="shared" si="9"/>
        <v>2.1999999999999997</v>
      </c>
      <c r="H20" s="2">
        <f t="shared" si="9"/>
        <v>2.1999999999999997</v>
      </c>
      <c r="I20" s="2">
        <f t="shared" si="9"/>
        <v>2.1999999999999997</v>
      </c>
      <c r="J20" s="2">
        <f t="shared" si="9"/>
        <v>2.1999999999999997</v>
      </c>
      <c r="K20" s="2">
        <f t="shared" si="9"/>
        <v>2.1999999999999997</v>
      </c>
      <c r="L20" s="2">
        <f t="shared" si="9"/>
        <v>2.1999999999999997</v>
      </c>
      <c r="M20" s="2">
        <f t="shared" si="9"/>
        <v>2.1999999999999997</v>
      </c>
      <c r="N20" s="2"/>
    </row>
    <row r="21" spans="1:14" x14ac:dyDescent="0.25">
      <c r="A21" t="s">
        <v>7</v>
      </c>
      <c r="B21" s="14">
        <f>B17/100*B20</f>
        <v>0.21999999999999997</v>
      </c>
      <c r="C21" s="14">
        <f t="shared" ref="C21" si="10">C17/100*C20</f>
        <v>0.65999999999999992</v>
      </c>
      <c r="D21" s="14">
        <f>D17/100*D20</f>
        <v>0.65999999999999992</v>
      </c>
      <c r="E21" s="14">
        <f>E17/100*E20</f>
        <v>0.65999999999999992</v>
      </c>
      <c r="F21" s="14">
        <f t="shared" ref="F21:I21" si="11">F17/100*F20</f>
        <v>0</v>
      </c>
      <c r="G21" s="14">
        <f>G17/100*G20</f>
        <v>0.21999999999999997</v>
      </c>
      <c r="H21" s="14">
        <f t="shared" si="11"/>
        <v>0.87999999999999989</v>
      </c>
      <c r="I21" s="14">
        <f t="shared" si="11"/>
        <v>1.0999999999999999</v>
      </c>
      <c r="J21" s="14">
        <f>J17/100*J20</f>
        <v>0.21999999999999997</v>
      </c>
      <c r="K21" s="14">
        <f t="shared" ref="K21:M21" si="12">K17/100*K20</f>
        <v>0.65999999999999992</v>
      </c>
      <c r="L21" s="14">
        <f t="shared" si="12"/>
        <v>0.65999999999999992</v>
      </c>
      <c r="M21" s="14">
        <f t="shared" si="12"/>
        <v>0.43999999999999995</v>
      </c>
      <c r="N21" s="14"/>
    </row>
    <row r="22" spans="1:14" x14ac:dyDescent="0.25">
      <c r="A22" t="s">
        <v>46</v>
      </c>
      <c r="B22" s="14">
        <f>100-B12</f>
        <v>43.89142857142857</v>
      </c>
      <c r="C22" s="14">
        <f>100-C12</f>
        <v>84.279756838905769</v>
      </c>
      <c r="D22" s="14">
        <f>100-D12</f>
        <v>38.067446808510645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x14ac:dyDescent="0.25">
      <c r="B23" s="14">
        <f>B12-C12</f>
        <v>40.388328267477206</v>
      </c>
      <c r="C23" s="14"/>
      <c r="D23" s="14">
        <f>D12-E12</f>
        <v>42.743768996960483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x14ac:dyDescent="0.2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x14ac:dyDescent="0.25">
      <c r="A26" t="s">
        <v>39</v>
      </c>
      <c r="B26" s="14">
        <f>B13</f>
        <v>28.571428571428569</v>
      </c>
      <c r="C26" s="14">
        <f t="shared" ref="C26:M26" si="13">C13</f>
        <v>64.285714285714278</v>
      </c>
      <c r="D26" s="14">
        <f t="shared" si="13"/>
        <v>12.5</v>
      </c>
      <c r="E26" s="14">
        <f t="shared" si="13"/>
        <v>66.071428571428569</v>
      </c>
      <c r="F26" s="14">
        <f t="shared" si="13"/>
        <v>5.3571428571428612</v>
      </c>
      <c r="G26" s="14">
        <f t="shared" si="13"/>
        <v>8.9285714285714306</v>
      </c>
      <c r="H26" s="14">
        <f t="shared" si="13"/>
        <v>35.714285714285708</v>
      </c>
      <c r="I26" s="14">
        <f t="shared" si="13"/>
        <v>67.857142857142861</v>
      </c>
      <c r="J26" s="14">
        <f t="shared" si="13"/>
        <v>28.571428571428569</v>
      </c>
      <c r="K26" s="14">
        <f t="shared" si="13"/>
        <v>32.142857142857139</v>
      </c>
      <c r="L26" s="14">
        <f t="shared" si="13"/>
        <v>46.428571428571431</v>
      </c>
      <c r="M26" s="14">
        <f t="shared" si="13"/>
        <v>32.142857142857139</v>
      </c>
      <c r="N26" s="14"/>
    </row>
    <row r="27" spans="1:14" x14ac:dyDescent="0.25">
      <c r="A27" t="s">
        <v>40</v>
      </c>
      <c r="B27" s="14">
        <v>18.584070796460168</v>
      </c>
      <c r="C27" s="14">
        <v>53.982300884955755</v>
      </c>
      <c r="D27" s="14">
        <v>14.159292035398224</v>
      </c>
      <c r="E27" s="14">
        <v>63.716814159292035</v>
      </c>
      <c r="F27" s="14">
        <v>4.424778761061944</v>
      </c>
      <c r="G27" s="14">
        <v>8.8495575221239022</v>
      </c>
      <c r="H27" s="14">
        <v>28.318584070796462</v>
      </c>
      <c r="I27" s="14">
        <v>59.292035398230084</v>
      </c>
      <c r="J27" s="14">
        <v>26.548672566371678</v>
      </c>
      <c r="K27" s="14">
        <v>25.663716814159287</v>
      </c>
      <c r="L27" s="14">
        <v>41.592920353982301</v>
      </c>
      <c r="M27" s="14">
        <v>29.203539823008853</v>
      </c>
    </row>
    <row r="28" spans="1:14" s="1" customFormat="1" x14ac:dyDescent="0.25">
      <c r="B28" s="2">
        <f>B26-B27</f>
        <v>9.9873577749684017</v>
      </c>
      <c r="C28" s="2">
        <f t="shared" ref="C28:M28" si="14">C26-C27</f>
        <v>10.303413400758522</v>
      </c>
      <c r="D28" s="2">
        <f t="shared" si="14"/>
        <v>-1.6592920353982237</v>
      </c>
      <c r="E28" s="2">
        <f t="shared" si="14"/>
        <v>2.3546144121365344</v>
      </c>
      <c r="F28" s="2">
        <f t="shared" si="14"/>
        <v>0.93236409608091719</v>
      </c>
      <c r="G28" s="2">
        <f t="shared" si="14"/>
        <v>7.901390644752837E-2</v>
      </c>
      <c r="H28" s="2">
        <f t="shared" si="14"/>
        <v>7.3957016434892466</v>
      </c>
      <c r="I28" s="2">
        <f t="shared" si="14"/>
        <v>8.5651074589127774</v>
      </c>
      <c r="J28" s="2">
        <f t="shared" si="14"/>
        <v>2.0227560050568911</v>
      </c>
      <c r="K28" s="2">
        <f t="shared" si="14"/>
        <v>6.4791403286978522</v>
      </c>
      <c r="L28" s="2">
        <f t="shared" si="14"/>
        <v>4.8356510745891299</v>
      </c>
      <c r="M28" s="2">
        <f t="shared" si="14"/>
        <v>2.9393173198482856</v>
      </c>
    </row>
    <row r="29" spans="1:14" s="1" customFormat="1" x14ac:dyDescent="0.25"/>
    <row r="31" spans="1:14" x14ac:dyDescent="0.25">
      <c r="A31" t="s">
        <v>29</v>
      </c>
      <c r="B31" s="14">
        <f>B19</f>
        <v>6.9714285714285706</v>
      </c>
      <c r="C31" s="14">
        <f t="shared" ref="C31:L31" si="15">C19</f>
        <v>15.685714285714283</v>
      </c>
      <c r="D31" s="29">
        <f t="shared" si="15"/>
        <v>3.05</v>
      </c>
      <c r="E31" s="14">
        <f t="shared" si="15"/>
        <v>16.12142857142857</v>
      </c>
      <c r="F31" s="14">
        <f t="shared" si="15"/>
        <v>1.3071428571428581</v>
      </c>
      <c r="G31" s="14">
        <f t="shared" si="15"/>
        <v>2.1785714285714288</v>
      </c>
      <c r="H31" s="14">
        <f t="shared" si="15"/>
        <v>8.7142857142857117</v>
      </c>
      <c r="I31" s="14">
        <f t="shared" si="15"/>
        <v>16.557142857142857</v>
      </c>
      <c r="J31" s="14">
        <f t="shared" si="15"/>
        <v>6.9714285714285706</v>
      </c>
      <c r="K31" s="14">
        <f t="shared" si="15"/>
        <v>7.8428571428571416</v>
      </c>
      <c r="L31" s="14">
        <f t="shared" si="15"/>
        <v>11.328571428571429</v>
      </c>
      <c r="M31" s="14">
        <f>M19</f>
        <v>7.8428571428571416</v>
      </c>
    </row>
    <row r="32" spans="1:14" x14ac:dyDescent="0.25">
      <c r="A32" t="s">
        <v>30</v>
      </c>
      <c r="B32" s="14">
        <v>5.3893805309734475</v>
      </c>
      <c r="C32" s="14">
        <v>15.654867256637168</v>
      </c>
      <c r="D32" s="29">
        <v>4.1061946902654842</v>
      </c>
      <c r="E32" s="14">
        <v>18.477876106194689</v>
      </c>
      <c r="F32" s="14">
        <v>1.2831858407079637</v>
      </c>
      <c r="G32" s="14">
        <v>2.5663716814159314</v>
      </c>
      <c r="H32" s="14">
        <v>8.212389380530972</v>
      </c>
      <c r="I32" s="14">
        <v>17.19469026548672</v>
      </c>
      <c r="J32" s="14">
        <v>7.6991150442477858</v>
      </c>
      <c r="K32" s="14">
        <v>7.4424778761061923</v>
      </c>
      <c r="L32" s="14">
        <v>12.061946902654865</v>
      </c>
      <c r="M32" s="14">
        <v>8.4690265486725664</v>
      </c>
    </row>
    <row r="33" spans="1:13" x14ac:dyDescent="0.25">
      <c r="B33" s="14">
        <f>B31-B32</f>
        <v>1.5820480404551232</v>
      </c>
      <c r="C33" s="14">
        <f>C31-C32</f>
        <v>3.0847029077115451E-2</v>
      </c>
      <c r="D33" s="14">
        <f t="shared" ref="D33:M33" si="16">D31-D32</f>
        <v>-1.0561946902654844</v>
      </c>
      <c r="E33" s="14">
        <f>E31-E32</f>
        <v>-2.3564475347661187</v>
      </c>
      <c r="F33" s="14">
        <f t="shared" si="16"/>
        <v>2.395701643489434E-2</v>
      </c>
      <c r="G33" s="14">
        <f t="shared" si="16"/>
        <v>-0.38780025284450259</v>
      </c>
      <c r="H33" s="28">
        <f t="shared" si="16"/>
        <v>0.50189633375473974</v>
      </c>
      <c r="I33" s="14">
        <f t="shared" si="16"/>
        <v>-0.63754740834386325</v>
      </c>
      <c r="J33" s="14">
        <f t="shared" si="16"/>
        <v>-0.72768647281921517</v>
      </c>
      <c r="K33" s="14">
        <f t="shared" si="16"/>
        <v>0.40037926675094937</v>
      </c>
      <c r="L33" s="14">
        <f t="shared" si="16"/>
        <v>-0.73337547408343617</v>
      </c>
      <c r="M33" s="14">
        <f t="shared" si="16"/>
        <v>-0.6261694058154248</v>
      </c>
    </row>
    <row r="34" spans="1:13" s="1" customFormat="1" x14ac:dyDescent="0.25">
      <c r="C34" s="26"/>
      <c r="D34" s="26"/>
    </row>
    <row r="35" spans="1:13" s="1" customFormat="1" x14ac:dyDescent="0.25">
      <c r="C35" s="26"/>
      <c r="D35" s="26"/>
    </row>
    <row r="36" spans="1:13" s="1" customFormat="1" x14ac:dyDescent="0.25">
      <c r="A36" t="s">
        <v>41</v>
      </c>
      <c r="B36" s="2">
        <f>B8</f>
        <v>50</v>
      </c>
      <c r="C36" s="30">
        <f t="shared" ref="C36:M36" si="17">C8</f>
        <v>7.4468085106382977</v>
      </c>
      <c r="D36" s="30">
        <f t="shared" si="17"/>
        <v>53.191489361702125</v>
      </c>
      <c r="E36" s="30">
        <f t="shared" si="17"/>
        <v>12.76595744680851</v>
      </c>
      <c r="F36" s="30">
        <f t="shared" si="17"/>
        <v>71.276595744680847</v>
      </c>
      <c r="G36" s="2">
        <f t="shared" si="17"/>
        <v>54.255319148936167</v>
      </c>
      <c r="H36" s="2">
        <f t="shared" si="17"/>
        <v>31.914893617021278</v>
      </c>
      <c r="I36" s="2">
        <f t="shared" si="17"/>
        <v>6.3829787234042552</v>
      </c>
      <c r="J36" s="2">
        <f t="shared" si="17"/>
        <v>36.170212765957451</v>
      </c>
      <c r="K36" s="2">
        <f t="shared" si="17"/>
        <v>35.106382978723403</v>
      </c>
      <c r="L36" s="2">
        <f t="shared" si="17"/>
        <v>17.021276595744681</v>
      </c>
      <c r="M36" s="2">
        <f t="shared" si="17"/>
        <v>32.978723404255319</v>
      </c>
    </row>
    <row r="37" spans="1:13" s="1" customFormat="1" x14ac:dyDescent="0.25">
      <c r="A37" t="s">
        <v>42</v>
      </c>
      <c r="B37" s="2">
        <v>52.571428571428569</v>
      </c>
      <c r="C37" s="30">
        <v>8</v>
      </c>
      <c r="D37" s="30">
        <v>50.285714285714292</v>
      </c>
      <c r="E37" s="30">
        <v>10.285714285714285</v>
      </c>
      <c r="F37" s="30">
        <v>71.428571428571431</v>
      </c>
      <c r="G37" s="2">
        <v>51.428571428571423</v>
      </c>
      <c r="H37" s="2">
        <v>31.428571428571427</v>
      </c>
      <c r="I37" s="2">
        <v>6.8571428571428577</v>
      </c>
      <c r="J37" s="2">
        <v>34.857142857142861</v>
      </c>
      <c r="K37" s="2">
        <v>33.714285714285715</v>
      </c>
      <c r="L37" s="2">
        <v>15.428571428571427</v>
      </c>
      <c r="M37" s="2">
        <v>32.571428571428577</v>
      </c>
    </row>
    <row r="38" spans="1:13" s="1" customFormat="1" x14ac:dyDescent="0.25">
      <c r="B38" s="14">
        <f>B36-B37</f>
        <v>-2.5714285714285694</v>
      </c>
      <c r="C38" s="14">
        <f t="shared" ref="C38:M38" si="18">C36-C37</f>
        <v>-0.55319148936170226</v>
      </c>
      <c r="D38" s="14">
        <f t="shared" si="18"/>
        <v>2.9057750759878331</v>
      </c>
      <c r="E38" s="14">
        <f t="shared" si="18"/>
        <v>2.4802431610942257</v>
      </c>
      <c r="F38" s="14">
        <f t="shared" si="18"/>
        <v>-0.15197568389058347</v>
      </c>
      <c r="G38" s="14">
        <f t="shared" si="18"/>
        <v>2.8267477203647431</v>
      </c>
      <c r="H38" s="14">
        <f t="shared" si="18"/>
        <v>0.48632218844985076</v>
      </c>
      <c r="I38" s="14">
        <f t="shared" si="18"/>
        <v>-0.47416413373860244</v>
      </c>
      <c r="J38" s="14">
        <f t="shared" si="18"/>
        <v>1.3130699088145903</v>
      </c>
      <c r="K38" s="14">
        <f t="shared" si="18"/>
        <v>1.3920972644376874</v>
      </c>
      <c r="L38" s="14">
        <f t="shared" si="18"/>
        <v>1.5927051671732535</v>
      </c>
      <c r="M38" s="14">
        <f t="shared" si="18"/>
        <v>0.40729483282674295</v>
      </c>
    </row>
    <row r="39" spans="1:13" s="1" customFormat="1" x14ac:dyDescent="0.25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2" spans="1:13" x14ac:dyDescent="0.25">
      <c r="A42" t="s">
        <v>47</v>
      </c>
      <c r="B42" s="14">
        <f t="shared" ref="B42:M42" si="19">B12</f>
        <v>56.10857142857143</v>
      </c>
      <c r="C42" s="14">
        <f t="shared" si="19"/>
        <v>15.720243161094224</v>
      </c>
      <c r="D42" s="14">
        <f t="shared" si="19"/>
        <v>61.932553191489355</v>
      </c>
      <c r="E42" s="14">
        <f t="shared" si="19"/>
        <v>19.188784194528875</v>
      </c>
      <c r="F42" s="14">
        <f t="shared" si="19"/>
        <v>77.609878419452883</v>
      </c>
      <c r="G42" s="14">
        <f t="shared" si="19"/>
        <v>64.024832826747726</v>
      </c>
      <c r="H42" s="14">
        <f t="shared" si="19"/>
        <v>40.431246200607909</v>
      </c>
      <c r="I42" s="14">
        <f t="shared" si="19"/>
        <v>13.627963525835867</v>
      </c>
      <c r="J42" s="14">
        <f t="shared" si="19"/>
        <v>45.957507598784197</v>
      </c>
      <c r="K42" s="14">
        <f t="shared" si="19"/>
        <v>43.865227963525832</v>
      </c>
      <c r="L42" s="14">
        <f t="shared" si="19"/>
        <v>27.105045592705167</v>
      </c>
      <c r="M42" s="14">
        <f t="shared" si="19"/>
        <v>42.523525835866259</v>
      </c>
    </row>
    <row r="43" spans="1:13" x14ac:dyDescent="0.25">
      <c r="A43" t="s">
        <v>32</v>
      </c>
      <c r="B43" s="14">
        <v>61.684905183312253</v>
      </c>
      <c r="C43" s="14">
        <v>20.265132743362827</v>
      </c>
      <c r="D43" s="14">
        <v>60.990948166877367</v>
      </c>
      <c r="E43" s="14">
        <v>19.019266750948201</v>
      </c>
      <c r="F43" s="14">
        <v>79.00252844500632</v>
      </c>
      <c r="G43" s="14">
        <v>63.719342604298348</v>
      </c>
      <c r="H43" s="14">
        <v>43.673324905183307</v>
      </c>
      <c r="I43" s="14">
        <v>17.536738305941846</v>
      </c>
      <c r="J43" s="14">
        <v>47.15231352718078</v>
      </c>
      <c r="K43" s="14">
        <v>46.220379266750946</v>
      </c>
      <c r="L43" s="14">
        <v>28.983767383059416</v>
      </c>
      <c r="M43" s="14">
        <v>44.605259165613148</v>
      </c>
    </row>
    <row r="44" spans="1:13" x14ac:dyDescent="0.25">
      <c r="B44" s="14">
        <f>B42-B43</f>
        <v>-5.5763337547408227</v>
      </c>
      <c r="C44" s="14">
        <f>C42-C43</f>
        <v>-4.5448895822686026</v>
      </c>
      <c r="D44" s="14">
        <f t="shared" ref="D44:M44" si="20">D42-D43</f>
        <v>0.94160502461198803</v>
      </c>
      <c r="E44" s="14">
        <f t="shared" si="20"/>
        <v>0.16951744358067344</v>
      </c>
      <c r="F44" s="14">
        <f t="shared" si="20"/>
        <v>-1.3926500255534364</v>
      </c>
      <c r="G44" s="14">
        <f t="shared" si="20"/>
        <v>0.30549022244937873</v>
      </c>
      <c r="H44" s="14">
        <f t="shared" si="20"/>
        <v>-3.2420787045753983</v>
      </c>
      <c r="I44" s="14">
        <f t="shared" si="20"/>
        <v>-3.9087747801059791</v>
      </c>
      <c r="J44" s="14">
        <f t="shared" si="20"/>
        <v>-1.1948059283965833</v>
      </c>
      <c r="K44" s="14">
        <f t="shared" si="20"/>
        <v>-2.3551513032251137</v>
      </c>
      <c r="L44" s="14">
        <f t="shared" si="20"/>
        <v>-1.8787217903542484</v>
      </c>
      <c r="M44" s="14">
        <f t="shared" si="20"/>
        <v>-2.0817333297468892</v>
      </c>
    </row>
  </sheetData>
  <mergeCells count="4">
    <mergeCell ref="J1:M1"/>
    <mergeCell ref="H1:I1"/>
    <mergeCell ref="F1:G1"/>
    <mergeCell ref="B1:E1"/>
  </mergeCells>
  <conditionalFormatting sqref="B28:M28">
    <cfRule type="colorScale" priority="3">
      <colorScale>
        <cfvo type="min"/>
        <cfvo type="max"/>
        <color rgb="FFFCFCFF"/>
        <color rgb="FF63BE7B"/>
      </colorScale>
    </cfRule>
  </conditionalFormatting>
  <conditionalFormatting sqref="B33:M33">
    <cfRule type="colorScale" priority="5">
      <colorScale>
        <cfvo type="min"/>
        <cfvo type="max"/>
        <color theme="5"/>
        <color theme="5" tint="0.59999389629810485"/>
      </colorScale>
    </cfRule>
  </conditionalFormatting>
  <conditionalFormatting sqref="B38:M39">
    <cfRule type="colorScale" priority="1">
      <colorScale>
        <cfvo type="min"/>
        <cfvo type="max"/>
        <color theme="5"/>
        <color theme="5" tint="0.59999389629810485"/>
      </colorScale>
    </cfRule>
  </conditionalFormatting>
  <conditionalFormatting sqref="B44:M44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D85D-6922-430B-9C76-2E61287E2827}">
  <dimension ref="A1:M38"/>
  <sheetViews>
    <sheetView zoomScale="50" zoomScaleNormal="50" workbookViewId="0">
      <selection activeCell="A17" sqref="A17"/>
    </sheetView>
  </sheetViews>
  <sheetFormatPr defaultRowHeight="15" x14ac:dyDescent="0.25"/>
  <cols>
    <col min="1" max="1" width="30.42578125" style="11" customWidth="1"/>
    <col min="2" max="13" width="14.7109375" style="11" customWidth="1"/>
  </cols>
  <sheetData>
    <row r="1" spans="1:13" x14ac:dyDescent="0.25">
      <c r="A1" s="3"/>
      <c r="B1" s="31" t="s">
        <v>22</v>
      </c>
      <c r="C1" s="31"/>
      <c r="D1" s="31"/>
      <c r="E1" s="31"/>
      <c r="F1" s="31" t="s">
        <v>23</v>
      </c>
      <c r="G1" s="31"/>
      <c r="H1" s="31" t="s">
        <v>24</v>
      </c>
      <c r="I1" s="31"/>
      <c r="J1" s="32" t="s">
        <v>21</v>
      </c>
      <c r="K1" s="32"/>
      <c r="L1" s="32"/>
      <c r="M1" s="32"/>
    </row>
    <row r="2" spans="1:13" ht="89.25" customHeight="1" x14ac:dyDescent="0.25">
      <c r="A2" s="4"/>
      <c r="B2" s="13" t="s">
        <v>1</v>
      </c>
      <c r="C2" s="13" t="s">
        <v>2</v>
      </c>
      <c r="D2" s="13" t="s">
        <v>3</v>
      </c>
      <c r="E2" s="13" t="s">
        <v>4</v>
      </c>
      <c r="F2" s="13" t="s">
        <v>12</v>
      </c>
      <c r="G2" s="13" t="s">
        <v>13</v>
      </c>
      <c r="H2" s="13" t="s">
        <v>12</v>
      </c>
      <c r="I2" s="13" t="s">
        <v>14</v>
      </c>
      <c r="J2" s="8" t="s">
        <v>28</v>
      </c>
      <c r="K2" s="8" t="s">
        <v>25</v>
      </c>
      <c r="L2" s="8" t="s">
        <v>26</v>
      </c>
      <c r="M2" s="8" t="s">
        <v>27</v>
      </c>
    </row>
    <row r="3" spans="1:13" x14ac:dyDescent="0.25">
      <c r="A3" s="3" t="s">
        <v>48</v>
      </c>
      <c r="B3" s="15">
        <v>0.28999999999999998</v>
      </c>
      <c r="C3" s="15">
        <v>0.28999999999999998</v>
      </c>
      <c r="D3" s="15">
        <v>0.28999999999999998</v>
      </c>
      <c r="E3" s="15">
        <v>0.28999999999999998</v>
      </c>
      <c r="F3" s="15">
        <v>0.28999999999999998</v>
      </c>
      <c r="G3" s="15">
        <v>0.28999999999999998</v>
      </c>
      <c r="H3" s="15">
        <v>0.28999999999999998</v>
      </c>
      <c r="I3" s="15">
        <v>0.28999999999999998</v>
      </c>
      <c r="J3" s="15">
        <v>0.28999999999999998</v>
      </c>
      <c r="K3" s="15">
        <v>0.28999999999999998</v>
      </c>
      <c r="L3" s="15">
        <v>0.28999999999999998</v>
      </c>
      <c r="M3" s="15">
        <v>0.28999999999999998</v>
      </c>
    </row>
    <row r="4" spans="1:13" x14ac:dyDescent="0.25">
      <c r="A4" s="3" t="s">
        <v>5</v>
      </c>
      <c r="B4" s="15">
        <v>0.02</v>
      </c>
      <c r="C4" s="15">
        <v>0.02</v>
      </c>
      <c r="D4" s="15">
        <v>0.02</v>
      </c>
      <c r="E4" s="15">
        <v>0.02</v>
      </c>
      <c r="F4" s="15">
        <v>0.02</v>
      </c>
      <c r="G4" s="15">
        <v>0.02</v>
      </c>
      <c r="H4" s="15">
        <v>0.02</v>
      </c>
      <c r="I4" s="15">
        <v>0.02</v>
      </c>
      <c r="J4" s="15">
        <v>0.02</v>
      </c>
      <c r="K4" s="15">
        <v>0.02</v>
      </c>
      <c r="L4" s="15">
        <v>0.02</v>
      </c>
      <c r="M4" s="15">
        <v>0.02</v>
      </c>
    </row>
    <row r="5" spans="1:13" x14ac:dyDescent="0.25">
      <c r="A5" s="3" t="s">
        <v>11</v>
      </c>
      <c r="B5" s="15">
        <f>1-B3-B4</f>
        <v>0.69</v>
      </c>
      <c r="C5" s="15">
        <f t="shared" ref="C5:M5" si="0">1-C3-C4</f>
        <v>0.69</v>
      </c>
      <c r="D5" s="15">
        <f t="shared" si="0"/>
        <v>0.69</v>
      </c>
      <c r="E5" s="15">
        <f t="shared" si="0"/>
        <v>0.69</v>
      </c>
      <c r="F5" s="15">
        <f t="shared" si="0"/>
        <v>0.69</v>
      </c>
      <c r="G5" s="15">
        <f t="shared" si="0"/>
        <v>0.69</v>
      </c>
      <c r="H5" s="15">
        <f t="shared" si="0"/>
        <v>0.69</v>
      </c>
      <c r="I5" s="15">
        <f t="shared" si="0"/>
        <v>0.69</v>
      </c>
      <c r="J5" s="15">
        <f t="shared" si="0"/>
        <v>0.69</v>
      </c>
      <c r="K5" s="15">
        <f t="shared" si="0"/>
        <v>0.69</v>
      </c>
      <c r="L5" s="15">
        <f t="shared" si="0"/>
        <v>0.69</v>
      </c>
      <c r="M5" s="15">
        <f t="shared" si="0"/>
        <v>0.69</v>
      </c>
    </row>
    <row r="6" spans="1:13" x14ac:dyDescent="0.25">
      <c r="A6" s="3" t="s">
        <v>15</v>
      </c>
      <c r="B6">
        <v>135</v>
      </c>
      <c r="C6">
        <v>135</v>
      </c>
      <c r="D6">
        <v>135</v>
      </c>
      <c r="E6">
        <v>135</v>
      </c>
      <c r="F6">
        <v>135</v>
      </c>
      <c r="G6">
        <v>135</v>
      </c>
      <c r="H6">
        <v>135</v>
      </c>
      <c r="I6">
        <v>135</v>
      </c>
      <c r="J6">
        <v>135</v>
      </c>
      <c r="K6">
        <v>135</v>
      </c>
      <c r="L6">
        <v>135</v>
      </c>
      <c r="M6">
        <v>135</v>
      </c>
    </row>
    <row r="7" spans="1:13" x14ac:dyDescent="0.25">
      <c r="A7" s="3" t="s">
        <v>43</v>
      </c>
      <c r="B7">
        <v>68</v>
      </c>
      <c r="C7">
        <v>9</v>
      </c>
      <c r="D7">
        <v>63</v>
      </c>
      <c r="E7">
        <v>14</v>
      </c>
      <c r="F7">
        <f>F6-41</f>
        <v>94</v>
      </c>
      <c r="G7">
        <f>G6-71</f>
        <v>64</v>
      </c>
      <c r="H7">
        <v>37</v>
      </c>
      <c r="I7">
        <v>8</v>
      </c>
      <c r="J7">
        <f>9+13+20</f>
        <v>42</v>
      </c>
      <c r="K7">
        <f>14+27</f>
        <v>41</v>
      </c>
      <c r="L7">
        <f>14+7</f>
        <v>21</v>
      </c>
      <c r="M7">
        <f>9+29</f>
        <v>38</v>
      </c>
    </row>
    <row r="8" spans="1:13" x14ac:dyDescent="0.25">
      <c r="A8" s="5" t="s">
        <v>16</v>
      </c>
      <c r="B8" s="16">
        <f>B7/B6*100</f>
        <v>50.370370370370367</v>
      </c>
      <c r="C8" s="16">
        <f t="shared" ref="C8:M8" si="1">C7/C6*100</f>
        <v>6.666666666666667</v>
      </c>
      <c r="D8" s="16">
        <f t="shared" si="1"/>
        <v>46.666666666666664</v>
      </c>
      <c r="E8" s="16">
        <f t="shared" si="1"/>
        <v>10.37037037037037</v>
      </c>
      <c r="F8" s="16">
        <f t="shared" si="1"/>
        <v>69.629629629629633</v>
      </c>
      <c r="G8" s="16">
        <f t="shared" si="1"/>
        <v>47.407407407407412</v>
      </c>
      <c r="H8" s="16">
        <f t="shared" si="1"/>
        <v>27.407407407407408</v>
      </c>
      <c r="I8" s="16">
        <f t="shared" si="1"/>
        <v>5.9259259259259265</v>
      </c>
      <c r="J8" s="16">
        <f t="shared" si="1"/>
        <v>31.111111111111111</v>
      </c>
      <c r="K8" s="16">
        <f t="shared" si="1"/>
        <v>30.37037037037037</v>
      </c>
      <c r="L8" s="16">
        <f t="shared" si="1"/>
        <v>15.555555555555555</v>
      </c>
      <c r="M8" s="16">
        <f t="shared" si="1"/>
        <v>28.148148148148149</v>
      </c>
    </row>
    <row r="9" spans="1:13" x14ac:dyDescent="0.25">
      <c r="A9" s="3" t="s">
        <v>17</v>
      </c>
      <c r="B9" s="15">
        <v>69</v>
      </c>
      <c r="C9" s="15">
        <v>69</v>
      </c>
      <c r="D9" s="15">
        <v>69</v>
      </c>
      <c r="E9" s="15">
        <v>69</v>
      </c>
      <c r="F9" s="15">
        <v>69</v>
      </c>
      <c r="G9" s="15">
        <v>69</v>
      </c>
      <c r="H9" s="15">
        <v>69</v>
      </c>
      <c r="I9" s="15">
        <v>69</v>
      </c>
      <c r="J9" s="15">
        <v>69</v>
      </c>
      <c r="K9" s="15">
        <v>69</v>
      </c>
      <c r="L9" s="15">
        <v>69</v>
      </c>
      <c r="M9" s="15">
        <v>69</v>
      </c>
    </row>
    <row r="10" spans="1:13" x14ac:dyDescent="0.25">
      <c r="A10" s="3" t="s">
        <v>44</v>
      </c>
      <c r="B10" s="15">
        <v>55</v>
      </c>
      <c r="C10" s="15">
        <v>28</v>
      </c>
      <c r="D10" s="15">
        <v>57</v>
      </c>
      <c r="E10" s="15">
        <v>22</v>
      </c>
      <c r="F10" s="15">
        <f>F9-4</f>
        <v>65</v>
      </c>
      <c r="G10" s="15">
        <f>G9-8</f>
        <v>61</v>
      </c>
      <c r="H10" s="17">
        <v>47</v>
      </c>
      <c r="I10" s="17">
        <v>24</v>
      </c>
      <c r="J10" s="17">
        <f>28+10+14</f>
        <v>52</v>
      </c>
      <c r="K10" s="17">
        <f>22+26</f>
        <v>48</v>
      </c>
      <c r="L10" s="17">
        <f>22+12</f>
        <v>34</v>
      </c>
      <c r="M10" s="15">
        <f>28+23</f>
        <v>51</v>
      </c>
    </row>
    <row r="11" spans="1:13" x14ac:dyDescent="0.25">
      <c r="A11" s="5" t="s">
        <v>18</v>
      </c>
      <c r="B11" s="16">
        <f>B10/B9*100</f>
        <v>79.710144927536234</v>
      </c>
      <c r="C11" s="16">
        <f t="shared" ref="C11:M11" si="2">C10/C9*100</f>
        <v>40.579710144927539</v>
      </c>
      <c r="D11" s="16">
        <f>D10/D9*100</f>
        <v>82.608695652173907</v>
      </c>
      <c r="E11" s="16">
        <f t="shared" si="2"/>
        <v>31.884057971014489</v>
      </c>
      <c r="F11" s="16">
        <f t="shared" si="2"/>
        <v>94.20289855072464</v>
      </c>
      <c r="G11" s="16">
        <f t="shared" si="2"/>
        <v>88.405797101449281</v>
      </c>
      <c r="H11" s="16">
        <f t="shared" si="2"/>
        <v>68.115942028985515</v>
      </c>
      <c r="I11" s="16">
        <f>I10/I9*100</f>
        <v>34.782608695652172</v>
      </c>
      <c r="J11" s="16">
        <f>J10/J9*100</f>
        <v>75.362318840579718</v>
      </c>
      <c r="K11" s="16">
        <f t="shared" si="2"/>
        <v>69.565217391304344</v>
      </c>
      <c r="L11" s="16">
        <f t="shared" si="2"/>
        <v>49.275362318840585</v>
      </c>
      <c r="M11" s="16">
        <f t="shared" si="2"/>
        <v>73.91304347826086</v>
      </c>
    </row>
    <row r="12" spans="1:13" x14ac:dyDescent="0.25">
      <c r="A12" s="3" t="s">
        <v>0</v>
      </c>
      <c r="B12" s="16">
        <f>(B11*B3)+(B8*B5)+(B16*B4)</f>
        <v>59.671497584541058</v>
      </c>
      <c r="C12" s="16">
        <f>(C11*C3)+(C8*C5)+(C16*C4)</f>
        <v>17.768115942028984</v>
      </c>
      <c r="D12" s="16">
        <f>(D11*D3)+(D8*D5)+(D16*D4)</f>
        <v>57.556521739130424</v>
      </c>
      <c r="E12" s="16">
        <f t="shared" ref="E12:L12" si="3">(E11*E3)+(E8*E5)+(E16*E4)</f>
        <v>17.801932367149753</v>
      </c>
      <c r="F12" s="16">
        <f>(F11*F3)+(F8*F5)+(F16*F4)</f>
        <v>77.363285024154592</v>
      </c>
      <c r="G12" s="16">
        <f t="shared" si="3"/>
        <v>60.148792270531395</v>
      </c>
      <c r="H12" s="16">
        <f t="shared" si="3"/>
        <v>39.864734299516911</v>
      </c>
      <c r="I12" s="16">
        <f t="shared" si="3"/>
        <v>15.175845410628018</v>
      </c>
      <c r="J12" s="16">
        <f>(J11*J3)+(J8*J5)+(J16*J4)</f>
        <v>45.121739130434776</v>
      </c>
      <c r="K12" s="16">
        <f t="shared" si="3"/>
        <v>42.529468599033812</v>
      </c>
      <c r="L12" s="16">
        <f t="shared" si="3"/>
        <v>26.423188405797099</v>
      </c>
      <c r="M12" s="16">
        <f>(M11*M3)+(M8*M5)+(M16*M4)</f>
        <v>42.457004830917874</v>
      </c>
    </row>
    <row r="13" spans="1:13" x14ac:dyDescent="0.25">
      <c r="A13" s="3" t="s">
        <v>49</v>
      </c>
      <c r="B13" s="16">
        <f>100-B11</f>
        <v>20.289855072463766</v>
      </c>
      <c r="C13" s="16">
        <f t="shared" ref="C13:M13" si="4">100-C11</f>
        <v>59.420289855072461</v>
      </c>
      <c r="D13" s="16">
        <f>100-D11</f>
        <v>17.391304347826093</v>
      </c>
      <c r="E13" s="16">
        <f t="shared" si="4"/>
        <v>68.115942028985515</v>
      </c>
      <c r="F13" s="16">
        <f t="shared" si="4"/>
        <v>5.7971014492753596</v>
      </c>
      <c r="G13" s="16">
        <f t="shared" si="4"/>
        <v>11.594202898550719</v>
      </c>
      <c r="H13" s="16">
        <f t="shared" si="4"/>
        <v>31.884057971014485</v>
      </c>
      <c r="I13" s="16">
        <f t="shared" si="4"/>
        <v>65.217391304347828</v>
      </c>
      <c r="J13" s="16">
        <f>100-J11</f>
        <v>24.637681159420282</v>
      </c>
      <c r="K13" s="16">
        <f t="shared" si="4"/>
        <v>30.434782608695656</v>
      </c>
      <c r="L13" s="16">
        <f t="shared" si="4"/>
        <v>50.724637681159415</v>
      </c>
      <c r="M13" s="16">
        <f t="shared" si="4"/>
        <v>26.08695652173914</v>
      </c>
    </row>
    <row r="14" spans="1:13" x14ac:dyDescent="0.25">
      <c r="A14" s="3" t="s">
        <v>19</v>
      </c>
      <c r="B14" s="16">
        <v>10</v>
      </c>
      <c r="C14" s="16">
        <v>10</v>
      </c>
      <c r="D14" s="16">
        <v>10</v>
      </c>
      <c r="E14" s="16">
        <v>10</v>
      </c>
      <c r="F14" s="16">
        <v>10</v>
      </c>
      <c r="G14" s="16">
        <v>10</v>
      </c>
      <c r="H14" s="16">
        <v>10</v>
      </c>
      <c r="I14" s="16">
        <v>10</v>
      </c>
      <c r="J14" s="16">
        <v>10</v>
      </c>
      <c r="K14" s="16">
        <v>10</v>
      </c>
      <c r="L14" s="16">
        <v>10</v>
      </c>
      <c r="M14" s="16">
        <v>10</v>
      </c>
    </row>
    <row r="15" spans="1:13" x14ac:dyDescent="0.25">
      <c r="A15" s="3" t="s">
        <v>45</v>
      </c>
      <c r="B15" s="15">
        <v>9</v>
      </c>
      <c r="C15" s="15">
        <v>7</v>
      </c>
      <c r="D15" s="15">
        <v>7</v>
      </c>
      <c r="E15" s="15">
        <v>7</v>
      </c>
      <c r="F15" s="15">
        <v>10</v>
      </c>
      <c r="G15" s="15">
        <v>9</v>
      </c>
      <c r="H15" s="16">
        <v>6</v>
      </c>
      <c r="I15" s="16">
        <v>5</v>
      </c>
      <c r="J15" s="15">
        <v>9</v>
      </c>
      <c r="K15" s="16">
        <v>7</v>
      </c>
      <c r="L15" s="16">
        <v>7</v>
      </c>
      <c r="M15" s="16">
        <v>8</v>
      </c>
    </row>
    <row r="16" spans="1:13" x14ac:dyDescent="0.25">
      <c r="A16" s="5" t="s">
        <v>8</v>
      </c>
      <c r="B16" s="16">
        <f>B15/B14*100</f>
        <v>90</v>
      </c>
      <c r="C16" s="16">
        <f t="shared" ref="C16:M16" si="5">C15/C14*100</f>
        <v>70</v>
      </c>
      <c r="D16" s="16">
        <f t="shared" si="5"/>
        <v>70</v>
      </c>
      <c r="E16" s="16">
        <f t="shared" si="5"/>
        <v>70</v>
      </c>
      <c r="F16" s="16">
        <f t="shared" si="5"/>
        <v>100</v>
      </c>
      <c r="G16" s="16">
        <f t="shared" si="5"/>
        <v>90</v>
      </c>
      <c r="H16" s="16">
        <f t="shared" si="5"/>
        <v>60</v>
      </c>
      <c r="I16" s="16">
        <f t="shared" si="5"/>
        <v>50</v>
      </c>
      <c r="J16" s="16">
        <f t="shared" si="5"/>
        <v>90</v>
      </c>
      <c r="K16" s="16">
        <f t="shared" si="5"/>
        <v>70</v>
      </c>
      <c r="L16" s="16">
        <f t="shared" si="5"/>
        <v>70</v>
      </c>
      <c r="M16" s="16">
        <f t="shared" si="5"/>
        <v>80</v>
      </c>
    </row>
    <row r="17" spans="1:13" x14ac:dyDescent="0.25">
      <c r="A17" s="5" t="s">
        <v>9</v>
      </c>
      <c r="B17" s="16">
        <f t="shared" ref="B17:J17" si="6">100-B16</f>
        <v>10</v>
      </c>
      <c r="C17" s="16">
        <f t="shared" si="6"/>
        <v>30</v>
      </c>
      <c r="D17" s="16">
        <f t="shared" si="6"/>
        <v>30</v>
      </c>
      <c r="E17" s="16">
        <f t="shared" si="6"/>
        <v>30</v>
      </c>
      <c r="F17" s="16">
        <f t="shared" si="6"/>
        <v>0</v>
      </c>
      <c r="G17" s="16">
        <f>100-G16</f>
        <v>10</v>
      </c>
      <c r="H17" s="16">
        <f t="shared" si="6"/>
        <v>40</v>
      </c>
      <c r="I17" s="16">
        <f t="shared" si="6"/>
        <v>50</v>
      </c>
      <c r="J17" s="16">
        <f t="shared" si="6"/>
        <v>10</v>
      </c>
      <c r="K17" s="16">
        <f>100-K16</f>
        <v>30</v>
      </c>
      <c r="L17" s="16">
        <f>100-L16</f>
        <v>30</v>
      </c>
      <c r="M17" s="16">
        <f>100-M16</f>
        <v>20</v>
      </c>
    </row>
    <row r="18" spans="1:13" x14ac:dyDescent="0.25">
      <c r="A18" s="3" t="s">
        <v>50</v>
      </c>
      <c r="B18" s="16">
        <f t="shared" ref="B18:M18" si="7">B3*100</f>
        <v>28.999999999999996</v>
      </c>
      <c r="C18" s="16">
        <f t="shared" si="7"/>
        <v>28.999999999999996</v>
      </c>
      <c r="D18" s="16">
        <f t="shared" si="7"/>
        <v>28.999999999999996</v>
      </c>
      <c r="E18" s="16">
        <f t="shared" si="7"/>
        <v>28.999999999999996</v>
      </c>
      <c r="F18" s="16">
        <f t="shared" si="7"/>
        <v>28.999999999999996</v>
      </c>
      <c r="G18" s="16">
        <f t="shared" si="7"/>
        <v>28.999999999999996</v>
      </c>
      <c r="H18" s="16">
        <f t="shared" si="7"/>
        <v>28.999999999999996</v>
      </c>
      <c r="I18" s="16">
        <f t="shared" si="7"/>
        <v>28.999999999999996</v>
      </c>
      <c r="J18" s="16">
        <f t="shared" si="7"/>
        <v>28.999999999999996</v>
      </c>
      <c r="K18" s="16">
        <f t="shared" si="7"/>
        <v>28.999999999999996</v>
      </c>
      <c r="L18" s="16">
        <f t="shared" si="7"/>
        <v>28.999999999999996</v>
      </c>
      <c r="M18" s="16">
        <f t="shared" si="7"/>
        <v>28.999999999999996</v>
      </c>
    </row>
    <row r="19" spans="1:13" x14ac:dyDescent="0.25">
      <c r="A19" s="3" t="s">
        <v>51</v>
      </c>
      <c r="B19" s="16">
        <f t="shared" ref="B19:D19" si="8">B13/100*B18</f>
        <v>5.8840579710144914</v>
      </c>
      <c r="C19" s="16">
        <f t="shared" si="8"/>
        <v>17.231884057971012</v>
      </c>
      <c r="D19" s="16">
        <f t="shared" si="8"/>
        <v>5.0434782608695663</v>
      </c>
      <c r="E19" s="16">
        <f>E13/100*E18</f>
        <v>19.753623188405797</v>
      </c>
      <c r="F19" s="16">
        <f t="shared" ref="F19:M19" si="9">F13/100*F18</f>
        <v>1.6811594202898541</v>
      </c>
      <c r="G19" s="16">
        <f>G13/100*G18</f>
        <v>3.3623188405797082</v>
      </c>
      <c r="H19" s="16">
        <f t="shared" si="9"/>
        <v>9.2463768115941996</v>
      </c>
      <c r="I19" s="16">
        <f t="shared" si="9"/>
        <v>18.913043478260867</v>
      </c>
      <c r="J19" s="16">
        <f>J13/100*J18</f>
        <v>7.1449275362318811</v>
      </c>
      <c r="K19" s="16">
        <f t="shared" si="9"/>
        <v>8.8260869565217384</v>
      </c>
      <c r="L19" s="16">
        <f t="shared" si="9"/>
        <v>14.710144927536227</v>
      </c>
      <c r="M19" s="16">
        <f t="shared" si="9"/>
        <v>7.5652173913043503</v>
      </c>
    </row>
    <row r="20" spans="1:13" x14ac:dyDescent="0.25">
      <c r="A20" s="3" t="s">
        <v>6</v>
      </c>
      <c r="B20" s="16">
        <f>B4*100</f>
        <v>2</v>
      </c>
      <c r="C20" s="16">
        <f t="shared" ref="C20:M20" si="10">C4*100</f>
        <v>2</v>
      </c>
      <c r="D20" s="16">
        <f t="shared" si="10"/>
        <v>2</v>
      </c>
      <c r="E20" s="16">
        <f t="shared" si="10"/>
        <v>2</v>
      </c>
      <c r="F20" s="16">
        <f t="shared" si="10"/>
        <v>2</v>
      </c>
      <c r="G20" s="16">
        <f t="shared" si="10"/>
        <v>2</v>
      </c>
      <c r="H20" s="16">
        <f t="shared" si="10"/>
        <v>2</v>
      </c>
      <c r="I20" s="16">
        <f t="shared" si="10"/>
        <v>2</v>
      </c>
      <c r="J20" s="16">
        <f t="shared" si="10"/>
        <v>2</v>
      </c>
      <c r="K20" s="16">
        <f t="shared" si="10"/>
        <v>2</v>
      </c>
      <c r="L20" s="16">
        <f t="shared" si="10"/>
        <v>2</v>
      </c>
      <c r="M20" s="16">
        <f t="shared" si="10"/>
        <v>2</v>
      </c>
    </row>
    <row r="21" spans="1:13" x14ac:dyDescent="0.25">
      <c r="A21" s="3" t="s">
        <v>7</v>
      </c>
      <c r="B21" s="16">
        <f>B17/100*B20</f>
        <v>0.2</v>
      </c>
      <c r="C21" s="16">
        <f t="shared" ref="C21" si="11">C17/100*C20</f>
        <v>0.6</v>
      </c>
      <c r="D21" s="16">
        <f>D17/100*D20</f>
        <v>0.6</v>
      </c>
      <c r="E21" s="16">
        <f>E17/100*E20</f>
        <v>0.6</v>
      </c>
      <c r="F21" s="16">
        <f t="shared" ref="F21:I21" si="12">F17/100*F20</f>
        <v>0</v>
      </c>
      <c r="G21" s="16">
        <f>G17/100*G20</f>
        <v>0.2</v>
      </c>
      <c r="H21" s="16">
        <f t="shared" si="12"/>
        <v>0.8</v>
      </c>
      <c r="I21" s="16">
        <f t="shared" si="12"/>
        <v>1</v>
      </c>
      <c r="J21" s="16">
        <f>J17/100*J20</f>
        <v>0.2</v>
      </c>
      <c r="K21" s="16">
        <f t="shared" ref="K21:M21" si="13">K17/100*K20</f>
        <v>0.6</v>
      </c>
      <c r="L21" s="16">
        <f t="shared" si="13"/>
        <v>0.6</v>
      </c>
      <c r="M21" s="16">
        <f t="shared" si="13"/>
        <v>0.4</v>
      </c>
    </row>
    <row r="22" spans="1:13" x14ac:dyDescent="0.25">
      <c r="A22" s="3" t="s">
        <v>46</v>
      </c>
      <c r="B22" s="16">
        <f>100-B12</f>
        <v>40.328502415458942</v>
      </c>
      <c r="C22" s="16">
        <f>100-C12</f>
        <v>82.231884057971016</v>
      </c>
      <c r="D22" s="16">
        <f>100-D12</f>
        <v>42.443478260869576</v>
      </c>
      <c r="E22" s="15"/>
      <c r="F22" s="15"/>
      <c r="G22" s="15"/>
      <c r="H22" s="15"/>
      <c r="I22" s="15"/>
      <c r="J22" s="15"/>
      <c r="K22" s="15"/>
      <c r="L22" s="15"/>
      <c r="M22" s="15"/>
    </row>
    <row r="23" spans="1:13" x14ac:dyDescent="0.25">
      <c r="A23" s="3"/>
      <c r="B23" s="16">
        <f>B12-C12</f>
        <v>41.903381642512073</v>
      </c>
      <c r="C23" s="16"/>
      <c r="D23" s="16">
        <f>D12-E12</f>
        <v>39.754589371980671</v>
      </c>
      <c r="E23" s="15"/>
      <c r="F23" s="15"/>
      <c r="G23" s="15"/>
      <c r="H23" s="15"/>
      <c r="I23" s="15"/>
      <c r="J23" s="15"/>
      <c r="K23" s="15"/>
      <c r="L23" s="15"/>
      <c r="M23" s="15"/>
    </row>
    <row r="24" spans="1:13" x14ac:dyDescent="0.25">
      <c r="A24" s="3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7" spans="1:13" x14ac:dyDescent="0.25">
      <c r="A27" s="11" t="s">
        <v>29</v>
      </c>
      <c r="B27" s="16">
        <f t="shared" ref="B27:M27" si="14">B19</f>
        <v>5.8840579710144914</v>
      </c>
      <c r="C27" s="16">
        <f t="shared" si="14"/>
        <v>17.231884057971012</v>
      </c>
      <c r="D27" s="16">
        <f t="shared" si="14"/>
        <v>5.0434782608695663</v>
      </c>
      <c r="E27" s="16">
        <f t="shared" si="14"/>
        <v>19.753623188405797</v>
      </c>
      <c r="F27" s="16">
        <f t="shared" si="14"/>
        <v>1.6811594202898541</v>
      </c>
      <c r="G27" s="16">
        <f t="shared" si="14"/>
        <v>3.3623188405797082</v>
      </c>
      <c r="H27" s="16">
        <f t="shared" si="14"/>
        <v>9.2463768115941996</v>
      </c>
      <c r="I27" s="16">
        <f t="shared" si="14"/>
        <v>18.913043478260867</v>
      </c>
      <c r="J27" s="16">
        <f t="shared" si="14"/>
        <v>7.1449275362318811</v>
      </c>
      <c r="K27" s="16">
        <f t="shared" si="14"/>
        <v>8.8260869565217384</v>
      </c>
      <c r="L27" s="16">
        <f t="shared" si="14"/>
        <v>14.710144927536227</v>
      </c>
      <c r="M27" s="16">
        <f t="shared" si="14"/>
        <v>7.5652173913043503</v>
      </c>
    </row>
    <row r="28" spans="1:13" x14ac:dyDescent="0.25">
      <c r="A28" s="11" t="s">
        <v>30</v>
      </c>
      <c r="B28" s="10">
        <v>5.3893805309734502</v>
      </c>
      <c r="C28" s="10">
        <v>15.6548672566372</v>
      </c>
      <c r="D28" s="10">
        <v>4.1061946902654842</v>
      </c>
      <c r="E28" s="10">
        <v>18.477876106194689</v>
      </c>
      <c r="F28" s="10">
        <v>1.2831858407079637</v>
      </c>
      <c r="G28" s="10">
        <v>2.5663716814159314</v>
      </c>
      <c r="H28" s="10">
        <v>8.212389380530972</v>
      </c>
      <c r="I28" s="10">
        <v>17.19469026548672</v>
      </c>
      <c r="J28" s="10">
        <v>7.6991150442477858</v>
      </c>
      <c r="K28" s="10">
        <v>7.4424778761061923</v>
      </c>
      <c r="L28" s="10">
        <v>12.061946902654865</v>
      </c>
      <c r="M28" s="10">
        <v>8.4690265486725664</v>
      </c>
    </row>
    <row r="29" spans="1:13" x14ac:dyDescent="0.25">
      <c r="B29" s="14">
        <f>B27-B28</f>
        <v>0.49467744004104119</v>
      </c>
      <c r="C29" s="14">
        <f t="shared" ref="C29:M29" si="15">C27-C28</f>
        <v>1.5770168013338122</v>
      </c>
      <c r="D29" s="14">
        <f t="shared" si="15"/>
        <v>0.93728357060408207</v>
      </c>
      <c r="E29" s="14">
        <f t="shared" si="15"/>
        <v>1.2757470822111081</v>
      </c>
      <c r="F29" s="14">
        <f t="shared" si="15"/>
        <v>0.39797357958189039</v>
      </c>
      <c r="G29" s="14">
        <f t="shared" si="15"/>
        <v>0.79594715916377679</v>
      </c>
      <c r="H29" s="14">
        <f t="shared" si="15"/>
        <v>1.0339874310632275</v>
      </c>
      <c r="I29" s="14">
        <f t="shared" si="15"/>
        <v>1.7183532127741472</v>
      </c>
      <c r="J29" s="14">
        <f t="shared" si="15"/>
        <v>-0.55418750801590466</v>
      </c>
      <c r="K29" s="14">
        <f t="shared" si="15"/>
        <v>1.3836090804155461</v>
      </c>
      <c r="L29" s="14">
        <f t="shared" si="15"/>
        <v>2.6481980248813617</v>
      </c>
      <c r="M29" s="14">
        <f t="shared" si="15"/>
        <v>-0.9038091573682161</v>
      </c>
    </row>
    <row r="30" spans="1:13" x14ac:dyDescent="0.25">
      <c r="B30"/>
      <c r="C30"/>
      <c r="D30"/>
      <c r="E30"/>
      <c r="F30"/>
      <c r="G30"/>
      <c r="H30"/>
      <c r="I30"/>
      <c r="J30"/>
      <c r="K30"/>
      <c r="L30"/>
      <c r="M30"/>
    </row>
    <row r="32" spans="1:13" x14ac:dyDescent="0.25">
      <c r="A32" s="11" t="s">
        <v>15</v>
      </c>
      <c r="B32">
        <v>135</v>
      </c>
      <c r="C32">
        <v>135</v>
      </c>
      <c r="D32">
        <v>135</v>
      </c>
      <c r="E32">
        <v>135</v>
      </c>
      <c r="F32">
        <v>135</v>
      </c>
      <c r="G32">
        <v>135</v>
      </c>
      <c r="H32">
        <v>135</v>
      </c>
      <c r="I32">
        <v>135</v>
      </c>
      <c r="J32">
        <v>135</v>
      </c>
      <c r="K32">
        <v>135</v>
      </c>
      <c r="L32">
        <v>135</v>
      </c>
      <c r="M32">
        <v>135</v>
      </c>
    </row>
    <row r="33" spans="1:13" x14ac:dyDescent="0.25">
      <c r="A33" s="11" t="s">
        <v>43</v>
      </c>
      <c r="B33">
        <v>68</v>
      </c>
      <c r="C33">
        <v>9</v>
      </c>
      <c r="D33">
        <v>63</v>
      </c>
      <c r="E33">
        <v>14</v>
      </c>
      <c r="F33">
        <f>F32-41</f>
        <v>94</v>
      </c>
      <c r="G33">
        <f>G32-71</f>
        <v>64</v>
      </c>
      <c r="H33">
        <v>37</v>
      </c>
      <c r="I33">
        <v>8</v>
      </c>
      <c r="J33">
        <f>9+13+20</f>
        <v>42</v>
      </c>
      <c r="K33">
        <f>14+27</f>
        <v>41</v>
      </c>
      <c r="L33">
        <f>14+7</f>
        <v>21</v>
      </c>
      <c r="M33">
        <f>9+29</f>
        <v>38</v>
      </c>
    </row>
    <row r="34" spans="1:13" x14ac:dyDescent="0.25">
      <c r="A34" s="11" t="s">
        <v>16</v>
      </c>
      <c r="B34" s="14">
        <f>B33/B32*100</f>
        <v>50.370370370370367</v>
      </c>
      <c r="C34" s="14">
        <f t="shared" ref="C34:L34" si="16">C33/C32*100</f>
        <v>6.666666666666667</v>
      </c>
      <c r="D34" s="14">
        <f t="shared" si="16"/>
        <v>46.666666666666664</v>
      </c>
      <c r="E34" s="14">
        <f t="shared" si="16"/>
        <v>10.37037037037037</v>
      </c>
      <c r="F34" s="14">
        <f>F33/F32*100</f>
        <v>69.629629629629633</v>
      </c>
      <c r="G34" s="14">
        <f t="shared" si="16"/>
        <v>47.407407407407412</v>
      </c>
      <c r="H34" s="14">
        <f t="shared" si="16"/>
        <v>27.407407407407408</v>
      </c>
      <c r="I34" s="14">
        <f t="shared" si="16"/>
        <v>5.9259259259259265</v>
      </c>
      <c r="J34" s="14">
        <f t="shared" si="16"/>
        <v>31.111111111111111</v>
      </c>
      <c r="K34" s="14">
        <f t="shared" si="16"/>
        <v>30.37037037037037</v>
      </c>
      <c r="L34" s="14">
        <f t="shared" si="16"/>
        <v>15.555555555555555</v>
      </c>
      <c r="M34" s="14">
        <f>M33/M32*100</f>
        <v>28.148148148148149</v>
      </c>
    </row>
    <row r="35" spans="1:13" x14ac:dyDescent="0.25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25">
      <c r="A36" s="11" t="s">
        <v>33</v>
      </c>
      <c r="B36" s="12">
        <f>(B3*B11)+(B5*B8)+(B4*B16)</f>
        <v>59.671497584541058</v>
      </c>
      <c r="C36" s="12">
        <f>(C3*C11)+(C5*C8)+(C4*C16)</f>
        <v>17.768115942028984</v>
      </c>
      <c r="D36" s="12">
        <f>(D3*D11)+(D5*D8)+(D4*D16)</f>
        <v>57.556521739130424</v>
      </c>
      <c r="E36" s="12">
        <f t="shared" ref="E36:M36" si="17">(E3*E11)+(E5*E8)+(E4*E16)</f>
        <v>17.801932367149753</v>
      </c>
      <c r="F36" s="12">
        <f t="shared" si="17"/>
        <v>77.363285024154592</v>
      </c>
      <c r="G36" s="12">
        <f t="shared" si="17"/>
        <v>60.148792270531395</v>
      </c>
      <c r="H36" s="12">
        <f t="shared" si="17"/>
        <v>39.864734299516911</v>
      </c>
      <c r="I36" s="12">
        <f t="shared" si="17"/>
        <v>15.175845410628018</v>
      </c>
      <c r="J36" s="12">
        <f t="shared" si="17"/>
        <v>45.121739130434776</v>
      </c>
      <c r="K36" s="12">
        <f t="shared" si="17"/>
        <v>42.529468599033812</v>
      </c>
      <c r="L36" s="12">
        <f t="shared" si="17"/>
        <v>26.423188405797099</v>
      </c>
      <c r="M36" s="12">
        <f t="shared" si="17"/>
        <v>42.457004830917874</v>
      </c>
    </row>
    <row r="37" spans="1:13" x14ac:dyDescent="0.25">
      <c r="A37" s="11" t="s">
        <v>32</v>
      </c>
      <c r="B37" s="14">
        <v>61.684905183312253</v>
      </c>
      <c r="C37" s="14">
        <v>20.265132743362827</v>
      </c>
      <c r="D37" s="14">
        <v>60.990948166877367</v>
      </c>
      <c r="E37" s="14">
        <v>19.019266750948162</v>
      </c>
      <c r="F37" s="14">
        <v>79.00252844500632</v>
      </c>
      <c r="G37" s="14">
        <v>63.719342604298348</v>
      </c>
      <c r="H37" s="14">
        <v>43.673324905183307</v>
      </c>
      <c r="I37" s="14">
        <v>17.536738305941846</v>
      </c>
      <c r="J37" s="14">
        <v>47.15231352718078</v>
      </c>
      <c r="K37" s="14">
        <v>46.220379266750946</v>
      </c>
      <c r="L37" s="14">
        <v>28.983767383059416</v>
      </c>
      <c r="M37" s="14">
        <v>44.605259165613148</v>
      </c>
    </row>
    <row r="38" spans="1:13" x14ac:dyDescent="0.25">
      <c r="B38" s="14">
        <f>B36-B37</f>
        <v>-2.0134075987711952</v>
      </c>
      <c r="C38" s="14">
        <f t="shared" ref="C38:M38" si="18">C36-C37</f>
        <v>-2.4970168013338423</v>
      </c>
      <c r="D38" s="14">
        <f t="shared" si="18"/>
        <v>-3.4344264277469421</v>
      </c>
      <c r="E38" s="14">
        <f t="shared" si="18"/>
        <v>-1.2173343837984092</v>
      </c>
      <c r="F38" s="14">
        <f t="shared" si="18"/>
        <v>-1.6392434208517273</v>
      </c>
      <c r="G38" s="14">
        <f t="shared" si="18"/>
        <v>-3.5705503337669526</v>
      </c>
      <c r="H38" s="14">
        <f t="shared" si="18"/>
        <v>-3.8085906056663958</v>
      </c>
      <c r="I38" s="14">
        <f t="shared" si="18"/>
        <v>-2.3608928953138282</v>
      </c>
      <c r="J38" s="14">
        <f t="shared" si="18"/>
        <v>-2.0305743967460046</v>
      </c>
      <c r="K38" s="14">
        <f t="shared" si="18"/>
        <v>-3.6909106677171337</v>
      </c>
      <c r="L38" s="14">
        <f t="shared" si="18"/>
        <v>-2.5605789772623169</v>
      </c>
      <c r="M38" s="14">
        <f t="shared" si="18"/>
        <v>-2.1482543346952738</v>
      </c>
    </row>
  </sheetData>
  <mergeCells count="4">
    <mergeCell ref="B1:E1"/>
    <mergeCell ref="F1:G1"/>
    <mergeCell ref="H1:I1"/>
    <mergeCell ref="J1:M1"/>
  </mergeCells>
  <conditionalFormatting sqref="B29:M29">
    <cfRule type="colorScale" priority="3">
      <colorScale>
        <cfvo type="min"/>
        <cfvo type="max"/>
        <color theme="5"/>
        <color theme="5" tint="0.59999389629810485"/>
      </colorScale>
    </cfRule>
  </conditionalFormatting>
  <conditionalFormatting sqref="B38:M38">
    <cfRule type="colorScale" priority="1">
      <colorScale>
        <cfvo type="min"/>
        <cfvo type="max"/>
        <color theme="5"/>
        <color theme="5" tint="0.59999389629810485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9894-1746-4836-AFE7-1B8935AB9335}">
  <dimension ref="A1:N29"/>
  <sheetViews>
    <sheetView tabSelected="1" zoomScale="50" zoomScaleNormal="50" workbookViewId="0">
      <selection activeCell="Q23" sqref="Q23"/>
    </sheetView>
  </sheetViews>
  <sheetFormatPr defaultRowHeight="15" x14ac:dyDescent="0.25"/>
  <cols>
    <col min="1" max="1" width="24.42578125" style="23" customWidth="1"/>
    <col min="2" max="13" width="14.7109375" style="23" customWidth="1"/>
  </cols>
  <sheetData>
    <row r="1" spans="1:14" x14ac:dyDescent="0.25">
      <c r="A1" s="18"/>
      <c r="B1" s="33" t="s">
        <v>22</v>
      </c>
      <c r="C1" s="33"/>
      <c r="D1" s="33"/>
      <c r="E1" s="33"/>
      <c r="F1" s="33" t="s">
        <v>23</v>
      </c>
      <c r="G1" s="33"/>
      <c r="H1" s="33" t="s">
        <v>24</v>
      </c>
      <c r="I1" s="33"/>
      <c r="J1" s="34" t="s">
        <v>21</v>
      </c>
      <c r="K1" s="34"/>
      <c r="L1" s="34"/>
      <c r="M1" s="34"/>
    </row>
    <row r="2" spans="1:14" ht="75" x14ac:dyDescent="0.25">
      <c r="A2" s="19"/>
      <c r="B2" s="20" t="s">
        <v>1</v>
      </c>
      <c r="C2" s="20" t="s">
        <v>2</v>
      </c>
      <c r="D2" s="20" t="s">
        <v>3</v>
      </c>
      <c r="E2" s="20" t="s">
        <v>4</v>
      </c>
      <c r="F2" s="20" t="s">
        <v>12</v>
      </c>
      <c r="G2" s="20" t="s">
        <v>13</v>
      </c>
      <c r="H2" s="20" t="s">
        <v>12</v>
      </c>
      <c r="I2" s="20" t="s">
        <v>14</v>
      </c>
      <c r="J2" s="21" t="s">
        <v>28</v>
      </c>
      <c r="K2" s="21" t="s">
        <v>25</v>
      </c>
      <c r="L2" s="21" t="s">
        <v>26</v>
      </c>
      <c r="M2" s="21" t="s">
        <v>27</v>
      </c>
    </row>
    <row r="3" spans="1:14" x14ac:dyDescent="0.25">
      <c r="A3" s="18" t="s">
        <v>48</v>
      </c>
      <c r="B3" s="22">
        <v>0.28999999999999998</v>
      </c>
      <c r="C3" s="22">
        <v>0.28999999999999998</v>
      </c>
      <c r="D3" s="22">
        <v>0.28999999999999998</v>
      </c>
      <c r="E3" s="22">
        <v>0.28999999999999998</v>
      </c>
      <c r="F3" s="22">
        <v>0.28999999999999998</v>
      </c>
      <c r="G3" s="22">
        <v>0.28999999999999998</v>
      </c>
      <c r="H3" s="22">
        <v>0.28999999999999998</v>
      </c>
      <c r="I3" s="22">
        <v>0.28999999999999998</v>
      </c>
      <c r="J3" s="22">
        <v>0.28999999999999998</v>
      </c>
      <c r="K3" s="22">
        <v>0.28999999999999998</v>
      </c>
      <c r="L3" s="22">
        <v>0.28999999999999998</v>
      </c>
      <c r="M3" s="22">
        <v>0.28999999999999998</v>
      </c>
    </row>
    <row r="4" spans="1:14" x14ac:dyDescent="0.25">
      <c r="A4" s="18" t="s">
        <v>5</v>
      </c>
      <c r="B4" s="22">
        <v>0.01</v>
      </c>
      <c r="C4" s="22">
        <v>0.01</v>
      </c>
      <c r="D4" s="22">
        <v>0.01</v>
      </c>
      <c r="E4" s="22">
        <v>0.01</v>
      </c>
      <c r="F4" s="22">
        <v>0.01</v>
      </c>
      <c r="G4" s="22">
        <v>0.01</v>
      </c>
      <c r="H4" s="22">
        <v>0.01</v>
      </c>
      <c r="I4" s="22">
        <v>0.01</v>
      </c>
      <c r="J4" s="22">
        <v>0.01</v>
      </c>
      <c r="K4" s="22">
        <v>0.01</v>
      </c>
      <c r="L4" s="22">
        <v>0.01</v>
      </c>
      <c r="M4" s="22">
        <v>0.01</v>
      </c>
    </row>
    <row r="5" spans="1:14" x14ac:dyDescent="0.25">
      <c r="A5" s="18" t="s">
        <v>11</v>
      </c>
      <c r="B5" s="22">
        <f>1-B3-B4</f>
        <v>0.7</v>
      </c>
      <c r="C5" s="22">
        <f t="shared" ref="C5:M5" si="0">1-C3-C4</f>
        <v>0.7</v>
      </c>
      <c r="D5" s="22">
        <f t="shared" si="0"/>
        <v>0.7</v>
      </c>
      <c r="E5" s="22">
        <f t="shared" si="0"/>
        <v>0.7</v>
      </c>
      <c r="F5" s="22">
        <f t="shared" si="0"/>
        <v>0.7</v>
      </c>
      <c r="G5" s="22">
        <f t="shared" si="0"/>
        <v>0.7</v>
      </c>
      <c r="H5" s="22">
        <f t="shared" si="0"/>
        <v>0.7</v>
      </c>
      <c r="I5" s="22">
        <f t="shared" si="0"/>
        <v>0.7</v>
      </c>
      <c r="J5" s="22">
        <f t="shared" si="0"/>
        <v>0.7</v>
      </c>
      <c r="K5" s="22">
        <f t="shared" si="0"/>
        <v>0.7</v>
      </c>
      <c r="L5" s="22">
        <f t="shared" si="0"/>
        <v>0.7</v>
      </c>
      <c r="M5" s="22">
        <f t="shared" si="0"/>
        <v>0.7</v>
      </c>
    </row>
    <row r="6" spans="1:14" x14ac:dyDescent="0.25">
      <c r="A6" s="18" t="s">
        <v>15</v>
      </c>
      <c r="B6" s="17">
        <v>175</v>
      </c>
      <c r="C6" s="17">
        <v>175</v>
      </c>
      <c r="D6" s="17">
        <v>175</v>
      </c>
      <c r="E6" s="17">
        <v>175</v>
      </c>
      <c r="F6" s="17">
        <v>175</v>
      </c>
      <c r="G6" s="17">
        <v>175</v>
      </c>
      <c r="H6" s="17">
        <v>175</v>
      </c>
      <c r="I6" s="17">
        <v>175</v>
      </c>
      <c r="J6" s="17">
        <v>175</v>
      </c>
      <c r="K6" s="17">
        <v>175</v>
      </c>
      <c r="L6" s="17">
        <v>175</v>
      </c>
      <c r="M6" s="17">
        <v>175</v>
      </c>
    </row>
    <row r="7" spans="1:14" x14ac:dyDescent="0.25">
      <c r="A7" s="18" t="s">
        <v>43</v>
      </c>
      <c r="B7" s="17">
        <v>92</v>
      </c>
      <c r="C7" s="17">
        <v>14</v>
      </c>
      <c r="D7" s="17">
        <v>88</v>
      </c>
      <c r="E7" s="17">
        <v>18</v>
      </c>
      <c r="F7" s="17">
        <f>F6-50</f>
        <v>125</v>
      </c>
      <c r="G7" s="17">
        <f>G6-85</f>
        <v>90</v>
      </c>
      <c r="H7" s="17">
        <v>55</v>
      </c>
      <c r="I7" s="17">
        <v>12</v>
      </c>
      <c r="J7" s="17">
        <f>14+15+32</f>
        <v>61</v>
      </c>
      <c r="K7" s="17">
        <f>18+41</f>
        <v>59</v>
      </c>
      <c r="L7" s="17">
        <f>18+9</f>
        <v>27</v>
      </c>
      <c r="M7" s="17">
        <f>14+43</f>
        <v>57</v>
      </c>
    </row>
    <row r="8" spans="1:14" x14ac:dyDescent="0.25">
      <c r="A8" s="18" t="s">
        <v>16</v>
      </c>
      <c r="B8" s="17">
        <f>B7/B6*100</f>
        <v>52.571428571428569</v>
      </c>
      <c r="C8" s="17">
        <f t="shared" ref="C8:M8" si="1">C7/C6*100</f>
        <v>8</v>
      </c>
      <c r="D8" s="17">
        <f t="shared" si="1"/>
        <v>50.285714285714292</v>
      </c>
      <c r="E8" s="17">
        <f t="shared" si="1"/>
        <v>10.285714285714285</v>
      </c>
      <c r="F8" s="17">
        <f t="shared" si="1"/>
        <v>71.428571428571431</v>
      </c>
      <c r="G8" s="17">
        <f t="shared" si="1"/>
        <v>51.428571428571423</v>
      </c>
      <c r="H8" s="17">
        <f t="shared" si="1"/>
        <v>31.428571428571427</v>
      </c>
      <c r="I8" s="17">
        <f t="shared" si="1"/>
        <v>6.8571428571428577</v>
      </c>
      <c r="J8" s="17">
        <f t="shared" si="1"/>
        <v>34.857142857142861</v>
      </c>
      <c r="K8" s="17">
        <f t="shared" si="1"/>
        <v>33.714285714285715</v>
      </c>
      <c r="L8" s="17">
        <f t="shared" si="1"/>
        <v>15.428571428571427</v>
      </c>
      <c r="M8" s="17">
        <f t="shared" si="1"/>
        <v>32.571428571428577</v>
      </c>
    </row>
    <row r="9" spans="1:14" x14ac:dyDescent="0.25">
      <c r="A9" s="18" t="s">
        <v>17</v>
      </c>
      <c r="B9" s="17">
        <v>113</v>
      </c>
      <c r="C9" s="17">
        <v>113</v>
      </c>
      <c r="D9" s="17">
        <v>113</v>
      </c>
      <c r="E9" s="17">
        <v>113</v>
      </c>
      <c r="F9" s="17">
        <v>113</v>
      </c>
      <c r="G9" s="17">
        <v>113</v>
      </c>
      <c r="H9" s="17">
        <v>113</v>
      </c>
      <c r="I9" s="17">
        <v>113</v>
      </c>
      <c r="J9" s="17">
        <v>113</v>
      </c>
      <c r="K9" s="17">
        <v>113</v>
      </c>
      <c r="L9" s="17">
        <v>113</v>
      </c>
      <c r="M9" s="17">
        <v>113</v>
      </c>
    </row>
    <row r="10" spans="1:14" x14ac:dyDescent="0.25">
      <c r="A10" s="18" t="s">
        <v>44</v>
      </c>
      <c r="B10" s="17">
        <v>92</v>
      </c>
      <c r="C10" s="17">
        <v>52</v>
      </c>
      <c r="D10" s="17">
        <v>97</v>
      </c>
      <c r="E10" s="17">
        <v>41</v>
      </c>
      <c r="F10" s="17">
        <f>F9-5</f>
        <v>108</v>
      </c>
      <c r="G10" s="17">
        <f>G9-10</f>
        <v>103</v>
      </c>
      <c r="H10" s="17">
        <v>81</v>
      </c>
      <c r="I10" s="17">
        <v>46</v>
      </c>
      <c r="J10" s="17">
        <f>45+20+18</f>
        <v>83</v>
      </c>
      <c r="K10" s="17">
        <f>41+43</f>
        <v>84</v>
      </c>
      <c r="L10" s="17">
        <f>41+25</f>
        <v>66</v>
      </c>
      <c r="M10" s="17">
        <f>45+35</f>
        <v>80</v>
      </c>
    </row>
    <row r="11" spans="1:14" x14ac:dyDescent="0.25">
      <c r="A11" s="18" t="s">
        <v>18</v>
      </c>
      <c r="B11" s="16">
        <f>B10/B9*100</f>
        <v>81.415929203539832</v>
      </c>
      <c r="C11" s="16">
        <f t="shared" ref="C11:M11" si="2">C10/C9*100</f>
        <v>46.017699115044245</v>
      </c>
      <c r="D11" s="16">
        <f>D10/D9*100</f>
        <v>85.840707964601776</v>
      </c>
      <c r="E11" s="16">
        <f t="shared" si="2"/>
        <v>36.283185840707965</v>
      </c>
      <c r="F11" s="16">
        <f t="shared" si="2"/>
        <v>95.575221238938056</v>
      </c>
      <c r="G11" s="16">
        <f t="shared" si="2"/>
        <v>91.150442477876098</v>
      </c>
      <c r="H11" s="16">
        <f t="shared" si="2"/>
        <v>71.681415929203538</v>
      </c>
      <c r="I11" s="16">
        <f t="shared" si="2"/>
        <v>40.707964601769916</v>
      </c>
      <c r="J11" s="16">
        <f>J10/J9*100</f>
        <v>73.451327433628322</v>
      </c>
      <c r="K11" s="16">
        <f t="shared" si="2"/>
        <v>74.336283185840713</v>
      </c>
      <c r="L11" s="16">
        <f t="shared" si="2"/>
        <v>58.407079646017699</v>
      </c>
      <c r="M11" s="16">
        <f t="shared" si="2"/>
        <v>70.796460176991147</v>
      </c>
    </row>
    <row r="12" spans="1:14" x14ac:dyDescent="0.25">
      <c r="A12" s="18" t="s">
        <v>0</v>
      </c>
      <c r="B12" s="16">
        <f>(B11*B3)+(B8*B5)+(B16*B4)</f>
        <v>61.310619469026541</v>
      </c>
      <c r="C12" s="16">
        <f>(C11*C3)+(C8*C5)+(C16*C4)</f>
        <v>19.645132743362829</v>
      </c>
      <c r="D12" s="16">
        <f>(D11*D3)+(D8*D5)+(D16*D4)</f>
        <v>60.793805309734523</v>
      </c>
      <c r="E12" s="16">
        <f t="shared" ref="E12:L12" si="3">(E11*E3)+(E8*E5)+(E16*E4)</f>
        <v>18.422123893805306</v>
      </c>
      <c r="F12" s="16">
        <f>(F11*F3)+(F8*F5)+(F16*F4)</f>
        <v>78.716814159292028</v>
      </c>
      <c r="G12" s="16">
        <f t="shared" si="3"/>
        <v>63.333628318584054</v>
      </c>
      <c r="H12" s="16">
        <f t="shared" si="3"/>
        <v>43.387610619469022</v>
      </c>
      <c r="I12" s="16">
        <f t="shared" si="3"/>
        <v>17.105309734513273</v>
      </c>
      <c r="J12" s="16">
        <f>(J11*J3)+(J8*J5)+(J16*J4)</f>
        <v>46.600884955752214</v>
      </c>
      <c r="K12" s="16">
        <f t="shared" si="3"/>
        <v>45.857522123893801</v>
      </c>
      <c r="L12" s="16">
        <f t="shared" si="3"/>
        <v>28.438053097345129</v>
      </c>
      <c r="M12" s="16">
        <f>(M11*M3)+(M8*M5)+(M16*M4)</f>
        <v>44.130973451327428</v>
      </c>
    </row>
    <row r="13" spans="1:14" ht="30" x14ac:dyDescent="0.25">
      <c r="A13" s="18" t="s">
        <v>49</v>
      </c>
      <c r="B13" s="16">
        <f>100-B11</f>
        <v>18.584070796460168</v>
      </c>
      <c r="C13" s="16">
        <f t="shared" ref="C13:M13" si="4">100-C11</f>
        <v>53.982300884955755</v>
      </c>
      <c r="D13" s="16">
        <f>100-D11</f>
        <v>14.159292035398224</v>
      </c>
      <c r="E13" s="16">
        <f t="shared" si="4"/>
        <v>63.716814159292035</v>
      </c>
      <c r="F13" s="16">
        <f t="shared" si="4"/>
        <v>4.424778761061944</v>
      </c>
      <c r="G13" s="16">
        <f t="shared" si="4"/>
        <v>8.8495575221239022</v>
      </c>
      <c r="H13" s="16">
        <f t="shared" si="4"/>
        <v>28.318584070796462</v>
      </c>
      <c r="I13" s="16">
        <f t="shared" si="4"/>
        <v>59.292035398230084</v>
      </c>
      <c r="J13" s="16">
        <f>100-J11</f>
        <v>26.548672566371678</v>
      </c>
      <c r="K13" s="16">
        <f t="shared" si="4"/>
        <v>25.663716814159287</v>
      </c>
      <c r="L13" s="16">
        <f t="shared" si="4"/>
        <v>41.592920353982301</v>
      </c>
      <c r="M13" s="16">
        <f t="shared" si="4"/>
        <v>29.203539823008853</v>
      </c>
    </row>
    <row r="14" spans="1:14" x14ac:dyDescent="0.25">
      <c r="A14" s="18" t="s">
        <v>19</v>
      </c>
      <c r="B14" s="17">
        <v>10</v>
      </c>
      <c r="C14" s="17">
        <v>10</v>
      </c>
      <c r="D14" s="17">
        <v>10</v>
      </c>
      <c r="E14" s="17">
        <v>10</v>
      </c>
      <c r="F14" s="17">
        <v>10</v>
      </c>
      <c r="G14" s="17">
        <v>10</v>
      </c>
      <c r="H14" s="17">
        <v>10</v>
      </c>
      <c r="I14" s="17">
        <v>10</v>
      </c>
      <c r="J14" s="17">
        <v>10</v>
      </c>
      <c r="K14" s="17">
        <v>10</v>
      </c>
      <c r="L14" s="17">
        <v>10</v>
      </c>
      <c r="M14" s="17">
        <v>10</v>
      </c>
      <c r="N14" s="24"/>
    </row>
    <row r="15" spans="1:14" x14ac:dyDescent="0.25">
      <c r="A15" s="18" t="s">
        <v>45</v>
      </c>
      <c r="B15" s="17">
        <v>9</v>
      </c>
      <c r="C15" s="17">
        <v>7</v>
      </c>
      <c r="D15" s="17">
        <v>7</v>
      </c>
      <c r="E15" s="17">
        <v>7</v>
      </c>
      <c r="F15" s="17">
        <v>10</v>
      </c>
      <c r="G15" s="17">
        <v>9</v>
      </c>
      <c r="H15" s="17">
        <v>6</v>
      </c>
      <c r="I15" s="17">
        <v>5</v>
      </c>
      <c r="J15" s="17">
        <v>9</v>
      </c>
      <c r="K15" s="17">
        <v>7</v>
      </c>
      <c r="L15" s="17">
        <v>7</v>
      </c>
      <c r="M15" s="17">
        <v>8</v>
      </c>
      <c r="N15" s="24"/>
    </row>
    <row r="16" spans="1:14" x14ac:dyDescent="0.25">
      <c r="A16" s="18" t="s">
        <v>8</v>
      </c>
      <c r="B16" s="16">
        <f>B15/B14*100</f>
        <v>90</v>
      </c>
      <c r="C16" s="16">
        <f t="shared" ref="C16:M16" si="5">C15/C14*100</f>
        <v>70</v>
      </c>
      <c r="D16" s="16">
        <f t="shared" si="5"/>
        <v>70</v>
      </c>
      <c r="E16" s="16">
        <f t="shared" si="5"/>
        <v>70</v>
      </c>
      <c r="F16" s="16">
        <f t="shared" si="5"/>
        <v>100</v>
      </c>
      <c r="G16" s="16">
        <f t="shared" si="5"/>
        <v>90</v>
      </c>
      <c r="H16" s="16">
        <f t="shared" si="5"/>
        <v>60</v>
      </c>
      <c r="I16" s="16">
        <f t="shared" si="5"/>
        <v>50</v>
      </c>
      <c r="J16" s="16">
        <f t="shared" si="5"/>
        <v>90</v>
      </c>
      <c r="K16" s="16">
        <f t="shared" si="5"/>
        <v>70</v>
      </c>
      <c r="L16" s="16">
        <f t="shared" si="5"/>
        <v>70</v>
      </c>
      <c r="M16" s="16">
        <f t="shared" si="5"/>
        <v>80</v>
      </c>
      <c r="N16" s="24"/>
    </row>
    <row r="17" spans="1:14" x14ac:dyDescent="0.25">
      <c r="A17" s="18" t="s">
        <v>9</v>
      </c>
      <c r="B17" s="16">
        <f t="shared" ref="B17:J17" si="6">100-B16</f>
        <v>10</v>
      </c>
      <c r="C17" s="16">
        <f t="shared" si="6"/>
        <v>30</v>
      </c>
      <c r="D17" s="16">
        <f t="shared" si="6"/>
        <v>30</v>
      </c>
      <c r="E17" s="16">
        <f t="shared" si="6"/>
        <v>30</v>
      </c>
      <c r="F17" s="16">
        <f t="shared" si="6"/>
        <v>0</v>
      </c>
      <c r="G17" s="16">
        <f>100-G16</f>
        <v>10</v>
      </c>
      <c r="H17" s="16">
        <f t="shared" si="6"/>
        <v>40</v>
      </c>
      <c r="I17" s="16">
        <f t="shared" si="6"/>
        <v>50</v>
      </c>
      <c r="J17" s="16">
        <f t="shared" si="6"/>
        <v>10</v>
      </c>
      <c r="K17" s="16">
        <f>100-K16</f>
        <v>30</v>
      </c>
      <c r="L17" s="16">
        <f>100-L16</f>
        <v>30</v>
      </c>
      <c r="M17" s="16">
        <f>100-M16</f>
        <v>20</v>
      </c>
      <c r="N17" s="24"/>
    </row>
    <row r="18" spans="1:14" x14ac:dyDescent="0.25">
      <c r="A18" s="18" t="s">
        <v>50</v>
      </c>
      <c r="B18" s="16">
        <f t="shared" ref="B18:M18" si="7">B3*100</f>
        <v>28.999999999999996</v>
      </c>
      <c r="C18" s="16">
        <f t="shared" si="7"/>
        <v>28.999999999999996</v>
      </c>
      <c r="D18" s="16">
        <f t="shared" si="7"/>
        <v>28.999999999999996</v>
      </c>
      <c r="E18" s="16">
        <f t="shared" si="7"/>
        <v>28.999999999999996</v>
      </c>
      <c r="F18" s="16">
        <f t="shared" si="7"/>
        <v>28.999999999999996</v>
      </c>
      <c r="G18" s="16">
        <f t="shared" si="7"/>
        <v>28.999999999999996</v>
      </c>
      <c r="H18" s="16">
        <f t="shared" si="7"/>
        <v>28.999999999999996</v>
      </c>
      <c r="I18" s="16">
        <f t="shared" si="7"/>
        <v>28.999999999999996</v>
      </c>
      <c r="J18" s="16">
        <f t="shared" si="7"/>
        <v>28.999999999999996</v>
      </c>
      <c r="K18" s="16">
        <f t="shared" si="7"/>
        <v>28.999999999999996</v>
      </c>
      <c r="L18" s="16">
        <f t="shared" si="7"/>
        <v>28.999999999999996</v>
      </c>
      <c r="M18" s="16">
        <f t="shared" si="7"/>
        <v>28.999999999999996</v>
      </c>
      <c r="N18" s="24"/>
    </row>
    <row r="19" spans="1:14" x14ac:dyDescent="0.25">
      <c r="A19" s="18" t="s">
        <v>51</v>
      </c>
      <c r="B19" s="16">
        <f t="shared" ref="B19:D19" si="8">B13/100*B18</f>
        <v>5.3893805309734475</v>
      </c>
      <c r="C19" s="16">
        <f t="shared" si="8"/>
        <v>15.654867256637168</v>
      </c>
      <c r="D19" s="16">
        <f t="shared" si="8"/>
        <v>4.1061946902654842</v>
      </c>
      <c r="E19" s="16">
        <f>E13/100*E18</f>
        <v>18.477876106194689</v>
      </c>
      <c r="F19" s="16">
        <f t="shared" ref="F19:M19" si="9">F13/100*F18</f>
        <v>1.2831858407079637</v>
      </c>
      <c r="G19" s="16">
        <f>G13/100*G18</f>
        <v>2.5663716814159314</v>
      </c>
      <c r="H19" s="16">
        <f t="shared" si="9"/>
        <v>8.212389380530972</v>
      </c>
      <c r="I19" s="16">
        <f t="shared" si="9"/>
        <v>17.19469026548672</v>
      </c>
      <c r="J19" s="16">
        <f>J13/100*J18</f>
        <v>7.6991150442477858</v>
      </c>
      <c r="K19" s="16">
        <f t="shared" si="9"/>
        <v>7.4424778761061923</v>
      </c>
      <c r="L19" s="16">
        <f t="shared" si="9"/>
        <v>12.061946902654865</v>
      </c>
      <c r="M19" s="16">
        <f t="shared" si="9"/>
        <v>8.4690265486725664</v>
      </c>
      <c r="N19" s="24"/>
    </row>
    <row r="20" spans="1:14" x14ac:dyDescent="0.25">
      <c r="A20" s="18" t="s">
        <v>6</v>
      </c>
      <c r="B20" s="16">
        <f>B4*100</f>
        <v>1</v>
      </c>
      <c r="C20" s="16">
        <f t="shared" ref="C20:M20" si="10">C4*100</f>
        <v>1</v>
      </c>
      <c r="D20" s="16">
        <f t="shared" si="10"/>
        <v>1</v>
      </c>
      <c r="E20" s="16">
        <f t="shared" si="10"/>
        <v>1</v>
      </c>
      <c r="F20" s="16">
        <f t="shared" si="10"/>
        <v>1</v>
      </c>
      <c r="G20" s="16">
        <f t="shared" si="10"/>
        <v>1</v>
      </c>
      <c r="H20" s="16">
        <f t="shared" si="10"/>
        <v>1</v>
      </c>
      <c r="I20" s="16">
        <f t="shared" si="10"/>
        <v>1</v>
      </c>
      <c r="J20" s="16">
        <f t="shared" si="10"/>
        <v>1</v>
      </c>
      <c r="K20" s="16">
        <f t="shared" si="10"/>
        <v>1</v>
      </c>
      <c r="L20" s="16">
        <f t="shared" si="10"/>
        <v>1</v>
      </c>
      <c r="M20" s="16">
        <f t="shared" si="10"/>
        <v>1</v>
      </c>
      <c r="N20" s="24"/>
    </row>
    <row r="21" spans="1:14" x14ac:dyDescent="0.25">
      <c r="A21" s="18" t="s">
        <v>7</v>
      </c>
      <c r="B21" s="16">
        <f>B17/100*B20</f>
        <v>0.1</v>
      </c>
      <c r="C21" s="16">
        <f t="shared" ref="C21" si="11">C17/100*C20</f>
        <v>0.3</v>
      </c>
      <c r="D21" s="16">
        <f>D17/100*D20</f>
        <v>0.3</v>
      </c>
      <c r="E21" s="16">
        <f>E17/100*E20</f>
        <v>0.3</v>
      </c>
      <c r="F21" s="16">
        <f t="shared" ref="F21:I21" si="12">F17/100*F20</f>
        <v>0</v>
      </c>
      <c r="G21" s="16">
        <f>G17/100*G20</f>
        <v>0.1</v>
      </c>
      <c r="H21" s="16">
        <f t="shared" si="12"/>
        <v>0.4</v>
      </c>
      <c r="I21" s="16">
        <f t="shared" si="12"/>
        <v>0.5</v>
      </c>
      <c r="J21" s="16">
        <f>J17/100*J20</f>
        <v>0.1</v>
      </c>
      <c r="K21" s="16">
        <f t="shared" ref="K21:M21" si="13">K17/100*K20</f>
        <v>0.3</v>
      </c>
      <c r="L21" s="16">
        <f t="shared" si="13"/>
        <v>0.3</v>
      </c>
      <c r="M21" s="16">
        <f t="shared" si="13"/>
        <v>0.2</v>
      </c>
      <c r="N21" s="24"/>
    </row>
    <row r="22" spans="1:14" x14ac:dyDescent="0.25">
      <c r="A22" s="18" t="s">
        <v>46</v>
      </c>
      <c r="B22" s="16">
        <f>100-B12</f>
        <v>38.689380530973459</v>
      </c>
      <c r="C22" s="16">
        <f>100-C12</f>
        <v>80.354867256637164</v>
      </c>
      <c r="D22" s="16">
        <f>100-D12</f>
        <v>39.206194690265477</v>
      </c>
      <c r="E22" s="16"/>
      <c r="F22" s="16"/>
      <c r="G22" s="16"/>
      <c r="H22" s="16"/>
      <c r="I22" s="16"/>
      <c r="J22" s="16"/>
      <c r="K22" s="16"/>
      <c r="L22" s="16"/>
      <c r="M22" s="16"/>
      <c r="N22" s="24"/>
    </row>
    <row r="23" spans="1:14" x14ac:dyDescent="0.25">
      <c r="A23" s="18"/>
      <c r="B23" s="16">
        <f>B12-C12</f>
        <v>41.665486725663712</v>
      </c>
      <c r="C23" s="16"/>
      <c r="D23" s="16">
        <f>D12-E12</f>
        <v>42.371681415929217</v>
      </c>
      <c r="E23" s="16"/>
      <c r="F23" s="16"/>
      <c r="G23" s="16"/>
      <c r="H23" s="16"/>
      <c r="I23" s="16"/>
      <c r="J23" s="16"/>
      <c r="K23" s="16"/>
      <c r="L23" s="16"/>
      <c r="M23" s="16"/>
      <c r="N23" s="24"/>
    </row>
    <row r="24" spans="1:14" x14ac:dyDescent="0.25">
      <c r="A24" s="18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4"/>
    </row>
    <row r="25" spans="1:14" x14ac:dyDescent="0.25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4"/>
    </row>
    <row r="27" spans="1:14" x14ac:dyDescent="0.25">
      <c r="A27" s="11" t="s">
        <v>31</v>
      </c>
      <c r="B27" s="14">
        <f>B12</f>
        <v>61.310619469026541</v>
      </c>
      <c r="C27" s="14">
        <f t="shared" ref="C27:M27" si="14">C12</f>
        <v>19.645132743362829</v>
      </c>
      <c r="D27" s="14">
        <f t="shared" si="14"/>
        <v>60.793805309734523</v>
      </c>
      <c r="E27" s="14">
        <f t="shared" si="14"/>
        <v>18.422123893805306</v>
      </c>
      <c r="F27" s="14">
        <f t="shared" si="14"/>
        <v>78.716814159292028</v>
      </c>
      <c r="G27" s="14">
        <f t="shared" si="14"/>
        <v>63.333628318584054</v>
      </c>
      <c r="H27" s="14">
        <f t="shared" si="14"/>
        <v>43.387610619469022</v>
      </c>
      <c r="I27" s="14">
        <f t="shared" si="14"/>
        <v>17.105309734513273</v>
      </c>
      <c r="J27" s="14">
        <f t="shared" si="14"/>
        <v>46.600884955752214</v>
      </c>
      <c r="K27" s="14">
        <f t="shared" si="14"/>
        <v>45.857522123893801</v>
      </c>
      <c r="L27" s="14">
        <f t="shared" si="14"/>
        <v>28.438053097345129</v>
      </c>
      <c r="M27" s="14">
        <f t="shared" si="14"/>
        <v>44.130973451327428</v>
      </c>
    </row>
    <row r="28" spans="1:14" x14ac:dyDescent="0.25">
      <c r="A28" s="11" t="s">
        <v>32</v>
      </c>
      <c r="B28" s="14">
        <v>61.684905183312303</v>
      </c>
      <c r="C28" s="14">
        <v>20.265132743362827</v>
      </c>
      <c r="D28" s="14">
        <v>60.990948166877367</v>
      </c>
      <c r="E28" s="14">
        <v>19.019266750948162</v>
      </c>
      <c r="F28" s="14">
        <v>79.00252844500632</v>
      </c>
      <c r="G28" s="14">
        <v>63.719342604298348</v>
      </c>
      <c r="H28" s="14">
        <v>43.673324905183307</v>
      </c>
      <c r="I28" s="14">
        <v>17.536738305941846</v>
      </c>
      <c r="J28" s="14">
        <v>47.15231352718078</v>
      </c>
      <c r="K28" s="14">
        <v>46.220379266750946</v>
      </c>
      <c r="L28" s="14">
        <v>28.983767383059416</v>
      </c>
      <c r="M28" s="14">
        <v>44.605259165613148</v>
      </c>
    </row>
    <row r="29" spans="1:14" x14ac:dyDescent="0.25">
      <c r="A29" s="11"/>
      <c r="B29" s="14">
        <f>B27-B28</f>
        <v>-0.37428571428576163</v>
      </c>
      <c r="C29" s="14">
        <f t="shared" ref="C29:M29" si="15">C27-C28</f>
        <v>-0.61999999999999744</v>
      </c>
      <c r="D29" s="14">
        <f t="shared" si="15"/>
        <v>-0.1971428571428433</v>
      </c>
      <c r="E29" s="14">
        <f t="shared" si="15"/>
        <v>-0.59714285714285609</v>
      </c>
      <c r="F29" s="14">
        <f t="shared" si="15"/>
        <v>-0.2857142857142918</v>
      </c>
      <c r="G29" s="14">
        <f t="shared" si="15"/>
        <v>-0.38571428571429323</v>
      </c>
      <c r="H29" s="14">
        <f t="shared" si="15"/>
        <v>-0.2857142857142847</v>
      </c>
      <c r="I29" s="14">
        <f t="shared" si="15"/>
        <v>-0.43142857142857238</v>
      </c>
      <c r="J29" s="14">
        <f t="shared" si="15"/>
        <v>-0.55142857142856627</v>
      </c>
      <c r="K29" s="14">
        <f t="shared" si="15"/>
        <v>-0.36285714285714477</v>
      </c>
      <c r="L29" s="14">
        <f t="shared" si="15"/>
        <v>-0.54571428571428626</v>
      </c>
      <c r="M29" s="14">
        <f t="shared" si="15"/>
        <v>-0.47428571428572042</v>
      </c>
    </row>
  </sheetData>
  <mergeCells count="4">
    <mergeCell ref="B1:E1"/>
    <mergeCell ref="F1:G1"/>
    <mergeCell ref="H1:I1"/>
    <mergeCell ref="J1:M1"/>
  </mergeCells>
  <conditionalFormatting sqref="B29:M29">
    <cfRule type="colorScale" priority="1">
      <colorScale>
        <cfvo type="min"/>
        <cfvo type="max"/>
        <color theme="5"/>
        <color theme="5" tint="0.5999938962981048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Base-case</vt:lpstr>
      <vt:lpstr>Sens_AIN_treated</vt:lpstr>
      <vt:lpstr>Sens_Cyt restriction</vt:lpstr>
      <vt:lpstr>Sens_50% cancer prevalance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Rozemeijer, K. (Kirsten)</dc:creator>
  <cp:lastModifiedBy>Rozemeijer, K. (Kirsten)</cp:lastModifiedBy>
  <dcterms:created xsi:type="dcterms:W3CDTF">2023-12-05T12:40:23Z</dcterms:created>
  <dcterms:modified xsi:type="dcterms:W3CDTF">2025-05-23T13:35:27Z</dcterms:modified>
</cp:coreProperties>
</file>